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est List (581)" sheetId="2" r:id="rId6"/>
    <sheet state="visible" name="Beckmen et al (105)" sheetId="3" r:id="rId7"/>
    <sheet state="visible" name="Benitez lopez et al (60)" sheetId="4" r:id="rId8"/>
    <sheet state="visible" name="IPBES 2.1.12-2.1.17 (119)" sheetId="5" r:id="rId9"/>
    <sheet state="visible" name="Jaureguiberry et al (139)" sheetId="6" r:id="rId10"/>
    <sheet state="visible" name="Moullec et al (46)" sheetId="7" r:id="rId11"/>
    <sheet state="visible" name="Urban Et al (112)" sheetId="8" r:id="rId12"/>
    <sheet state="visible" name="Retreival Results" sheetId="9" r:id="rId13"/>
    <sheet state="visible" name="Retrieval Check Query" sheetId="10" r:id="rId14"/>
  </sheets>
  <definedNames>
    <definedName hidden="1" localSheetId="8" name="_xlnm._FilterDatabase">'Retreival Results'!$A$1:$N$498</definedName>
  </definedNames>
  <calcPr/>
</workbook>
</file>

<file path=xl/sharedStrings.xml><?xml version="1.0" encoding="utf-8"?>
<sst xmlns="http://schemas.openxmlformats.org/spreadsheetml/2006/main" count="73430" uniqueCount="11193">
  <si>
    <t>Test List</t>
  </si>
  <si>
    <t>The dataset below provides a test list that is used to check the comprehensiveness of the search query presented in the protocol</t>
  </si>
  <si>
    <t>Test List Creation</t>
  </si>
  <si>
    <t>Records considered eligible for biodiversity change by their source authors were drawn from six published reviews and assessments. For each source, a detailed account of how the original data were extracted from the publication and transformed into the present dataset is provided in the supplementary materials.</t>
  </si>
  <si>
    <t>Final Test List</t>
  </si>
  <si>
    <t>Final Test list, the union of all sources. This is the benchmark upon which the search comprehensiveness is assessed.</t>
  </si>
  <si>
    <t xml:space="preserve"># Records Retrievaed </t>
  </si>
  <si>
    <t>This is the # of records returned for this test list by our search query in the protocol</t>
  </si>
  <si>
    <t>Source</t>
  </si>
  <si>
    <t>DOI</t>
  </si>
  <si>
    <t>Test List Count</t>
  </si>
  <si>
    <t># Records retrieved</t>
  </si>
  <si>
    <t>Recall %</t>
  </si>
  <si>
    <t>Moullec et al</t>
  </si>
  <si>
    <t>10.1186/s13750-021-00234-y</t>
  </si>
  <si>
    <t>Jaureguiberry et al</t>
  </si>
  <si>
    <t>10.1126/sciadv.abm9982</t>
  </si>
  <si>
    <t xml:space="preserve">IPBES 2.1.12-2.1.17 </t>
  </si>
  <si>
    <t>10.5281/zenodo.3831673</t>
  </si>
  <si>
    <t xml:space="preserve">Beckmen et al </t>
  </si>
  <si>
    <t>10.1111/gcb.14606</t>
  </si>
  <si>
    <t>Benitez lopez et al</t>
  </si>
  <si>
    <t>10.1126/science.aaj1891</t>
  </si>
  <si>
    <t>Urban Et al</t>
  </si>
  <si>
    <t>10.1126/science.aaa4984</t>
  </si>
  <si>
    <t>-</t>
  </si>
  <si>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</si>
  <si>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</si>
  <si>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</si>
  <si>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</si>
  <si>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</si>
  <si>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</si>
  <si>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</si>
  <si>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</si>
  <si>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</si>
  <si>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</si>
  <si>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</si>
  <si>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</si>
  <si>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</si>
  <si>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</si>
  <si>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</si>
  <si>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</si>
  <si>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</si>
  <si>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</si>
  <si>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</si>
  <si>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</si>
  <si>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</si>
  <si>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</si>
  <si>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</si>
  <si>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</si>
  <si>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</si>
  <si>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</si>
  <si>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</si>
  <si>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</si>
  <si>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</si>
  <si>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</si>
  <si>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</si>
  <si>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</si>
  <si>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</si>
  <si>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</si>
  <si>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</si>
  <si>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</si>
  <si>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</si>
  <si>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</si>
  <si>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</si>
  <si>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</si>
  <si>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</si>
  <si>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</si>
  <si>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</si>
  <si>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</si>
  <si>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</si>
  <si>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</si>
  <si>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</si>
  <si>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</si>
  <si>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</si>
  <si>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</si>
  <si>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</si>
  <si>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</si>
  <si>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</si>
  <si>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</si>
  <si>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</si>
  <si>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</si>
  <si>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</si>
  <si>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</si>
  <si>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</si>
  <si>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</si>
  <si>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</si>
  <si>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</si>
  <si>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</si>
  <si>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</si>
  <si>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</si>
  <si>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</si>
  <si>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</si>
  <si>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</si>
  <si>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</si>
  <si>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</si>
  <si>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</si>
  <si>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</si>
  <si>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Gray, TNE; Phan, C</t>
  </si>
  <si>
    <t/>
  </si>
  <si>
    <t>Gray, Thomas N. E.; Phan, Channa</t>
  </si>
  <si>
    <t>HABITAT PREFERENCES AND ACTIVITY PATTERNS OF THE LARGER MAMMAL COMMUNITY IN PHNOM PRICH WILDLIFE SANCTUARY, CAMBODIA</t>
  </si>
  <si>
    <t>RAFFLES BULLETIN OF ZOOLOGY</t>
  </si>
  <si>
    <t>English</t>
  </si>
  <si>
    <t>Article</t>
  </si>
  <si>
    <t>Camera-trap; deciduous dipterocarp forest; wild cattle; human disturbance; Indochina</t>
  </si>
  <si>
    <t>PHOTOGRAPHIC RATES; ESTIMATE DENSITIES; PREY POPULATIONS; ACTIVITY PERIODS; FOREST; CONSERVATION; DIVERSITY; ABUNDANCE; TIGERS; BIODIVERSITY</t>
  </si>
  <si>
    <t>The northern and eastern plains of Cambodia support one of the largest extents of lowland deciduous forest in South-east Asia and are globally significant for mammal conservation. Between Dec.2008 and Aug.2009 intensive camera-trapping was conducted within mosaic deciduous dipterocarp and mixed-deciduous/semi-evergreen forest in the east of Phnom Prich Wildlife Sanctuary, Mondulkiri province, Cambodia. Forty camera-trap locations were set up for &gt;2700 camera-trap nights producing 707 independent encounters of 23 mammal species. Eight globally threatened species of mammals were recorded including the Asian elephant (Elephas maximus), banteng (Bos javanicus) and dhole (Cuon alpinus). Two species, the gaur (Bos gaurus) and pig-tailed macaque (Macaca nemestrina), showed significant preference for forest type (higher Relative Abundance Index of both species in mixed-deciduous/semi-evergreen forest). The mix of drier deciduous dipterocarp forest and wetter mixed-deciduous and semi-evergreen forest appears important for maintaining the conservation value of the site. Camera trap encounter rates were lower in areas within a day's walk from villages at the periphery of the protected area whilst cathemeral species displayed higher proportions of nocturnal activity than in similar studies from elsewhere in South-east Asia. We suggest disturbance and hunting may therefore be affecting the distribution and activity patterns of key species. Managing the Non Timber Forest Product (NTFP) collectors as well as finalising, and enforcing, zonation within the protected area are recommended conservation measures for the mammal community.</t>
  </si>
  <si>
    <t>[Gray, Thomas N. E.; Phan, Channa] World Wide Fund Nat Greater Mekong, Cambodia Country Program, Phnom Penh, Cambodia</t>
  </si>
  <si>
    <t>Gray, TNE (corresponding author), World Wide Fund Nat Greater Mekong, Cambodia Country Program, House 54,St 352,Boeung Keng Kang 1,POB 2467, Phnom Penh, Cambodia.</t>
  </si>
  <si>
    <t>tomnegray@hotmail.com; phanchannal@yahoo.com</t>
  </si>
  <si>
    <t>Gray, Thomas/AAK-6800-2020</t>
  </si>
  <si>
    <t>WWF-US; Humanscale</t>
  </si>
  <si>
    <t>This study was conducted as part of WWF Greater Mekong Cambodia Program's Eastern Plains Landscape project. Major funding was provided by WWF-US and Humanscale. Two anonymous reviewers provided comments which improved the quality a this manuscript. Work in PPWS was supported by His Excellency Chay Samith and Chak Sokhavicheaboth. We thank Sary Tre, Sin Senoun and Sin Somoan for assistance in data collection and Craig Bruce, Pem Maly and Seng Teak for logistical support.</t>
  </si>
  <si>
    <t>NATL UNIV SINGAPORE, SCHOOL BIOLOGICAL SCIENCES</t>
  </si>
  <si>
    <t>SINGAPORE</t>
  </si>
  <si>
    <t>DEPT ZOOLOGY, KENT RIDGE, SINGAPORE 0511, SINGAPORE</t>
  </si>
  <si>
    <t>0217-2445</t>
  </si>
  <si>
    <t>RAFFLES B ZOOL</t>
  </si>
  <si>
    <t>Raffles Bull. Zool.</t>
  </si>
  <si>
    <t>AUG 31</t>
  </si>
  <si>
    <t>Zoology</t>
  </si>
  <si>
    <t>Science Citation Index Expanded (SCI-EXPANDED)</t>
  </si>
  <si>
    <t>905YN</t>
  </si>
  <si>
    <t>2025-12-20</t>
  </si>
  <si>
    <t>WOS:000301312200022</t>
  </si>
  <si>
    <t>Gautam, M; Gupta, S</t>
  </si>
  <si>
    <t>Gautam, Monika; Gupta, Sharmita</t>
  </si>
  <si>
    <t>POPULATION STATUS AND CONSERVATION REQUIREMENT OF SOME ENDANGERED PLANTS GROWING IN DAYALBAGH EDUCATIONAL INSTITUTE, AGRA</t>
  </si>
  <si>
    <t>INTERNATIONAL JOURNAL OF CONSERVATION SCIENCE</t>
  </si>
  <si>
    <t>Threatened plants; Population status; Conservation requirement; Importance Value Index (IVI)</t>
  </si>
  <si>
    <t>The study area is rich in plant diversity but there is an urgent need of conservation. Some rare and endangered plants are still found abundantly in the region, but without protection these plants may become endangered in the near future. Endangered plant species have been categorized by the IUCN (International union for conservation of nature) as the ones likely to become extinct. When the death rate of the species exceeds its birth rate for a prolonged duration, that species is called endangered and eventually it may become extinct. Such are Adhatoda vasica, Ageratum conysoides, Agave americana, Aloe vera, Ammania baccifera, Alternanthera sessilis, Asparagus adscendens, Cactus, Centella asiatica, Costus speciosus, Chlorophytum tuberosum, Gloriosa superba, Piper longum, Sinopodophyllum hexandrum, Rauwolfia serpentina, Saraca asoca, Strebles asper, Tribulus terrestris, Withania somnifera, Zamia pygmeae. Among these threatened plants 4 species were assessed as Critically Endangered (CR), 7 as Endangered (EW), 2 as Vulnerable (VU), 5 as Least Concern (LC) and 1 as Data deficient (DD) by the IUCN Red List in Uttar Pradesh and in the study area. The extinction and decline in plant diversity is caused by many factors, such as population growth, high rates of habitat modification and deforestation, climate change, pollution, the spread of invasive alien species and over-exploitation. Threatened species are being rehabilitated and restored to a protected area from their former habitats.</t>
  </si>
  <si>
    <t>[Gautam, Monika; Gupta, Sharmita] DEI, Fac Sci, Dept Bot, Agra 282005, Uttar Pradesh, India</t>
  </si>
  <si>
    <t>Dayalbagh Educational Institute (DEI)</t>
  </si>
  <si>
    <t>Gupta, S (corresponding author), DEI, Fac Sci, Dept Bot, Agra 282005, Uttar Pradesh, India.</t>
  </si>
  <si>
    <t>drsharmitagupta123@gmail.com</t>
  </si>
  <si>
    <t>; Gupta, Sharmita/LUZ-5886-2024</t>
  </si>
  <si>
    <t>, Sharmita Gupta/0009-0009-6234-9631;</t>
  </si>
  <si>
    <t>UNIV ALEXANDRU IOAN CUZA IASI, ARHEOINVEST INTERDISCIPLINARY PLATFORM</t>
  </si>
  <si>
    <t>IASI</t>
  </si>
  <si>
    <t>LAB SCI INVES &amp; CONSERVATION, BLVD CAROL I, NO 22, CORP G, DEMISOL, IASI, 700506, ROMANIA</t>
  </si>
  <si>
    <t>2067-533X</t>
  </si>
  <si>
    <t>2067-8223</t>
  </si>
  <si>
    <t>INT J CONSERV SCI</t>
  </si>
  <si>
    <t>Int. J. Conserv. Sci.</t>
  </si>
  <si>
    <t>OCT-DEC</t>
  </si>
  <si>
    <t>Art</t>
  </si>
  <si>
    <t>Emerging Sources Citation Index (ESCI)</t>
  </si>
  <si>
    <t>CY3ZZ</t>
  </si>
  <si>
    <t>WOS:000366349700011</t>
  </si>
  <si>
    <t>Krogmann, U; Rogers, BF; Kumudini, S</t>
  </si>
  <si>
    <t>Krogmann, U.; Rogers, B. F.; Kumudini, S.</t>
  </si>
  <si>
    <t>Effects of Mulching Blueberry Plants With Cranberry Fruits and Leaves On Yield, Nutrient Uptake and Weed Suppression</t>
  </si>
  <si>
    <t>COMPOST SCIENCE &amp; UTILIZATION</t>
  </si>
  <si>
    <t>SOIL-TEMPERATURE; AMENDMENTS; COMPOST; GROWTH; WATER</t>
  </si>
  <si>
    <t>Integration of local organic wastes as mulches into farm production can provide waste management options and an alternative to landfilling. In 2000, cranberry growers needed ways to dispose of excess cranberries caused by overproduction and a federal regulation limiting the fruit's marketable production. This study examined the use of excess cranberry fruits and leaves as mulches on established blueberry plants. The objective of this study was to determine the effects of these novel mulches on established blueberry plant nutrient uptake, fruit yield, selected soil chemical properties and weed suppression. A randomized block design was set up and maintained for two years with four different mulch treatments (no mulch, 5.1-cm cranberry fruit, 10.2-cm cranberry fruit and 10.2-cm cranberry leaves). Leaf tissue nutrients (N, P, K, Ca, Mg, Mn, Fe, Cu, Zn, S, B, Al), fruit yield and average fruit size, selected soil properties, weed biomass and number of weed types were determined. In the second year, the fruit yield in the mulched treatments was lower than in the control (P&lt;0.05), but not the fruit size. One possible reason is a significant decrease in leaf nitrogen uptake observed in some mulch plots. Weed biomass was significantly reduced along with species diversity. This study shows that novel mulches need to be carefully evaluated before being used due to their potential environmental and plant impacts.</t>
  </si>
  <si>
    <t>[Krogmann, U.; Rogers, B. F.] Rutgers State Univ, Dept Environm Sci, New Brunswick, NJ 08903 USA; [Kumudini, S.] Univ Kentucky, Lexington, KY USA</t>
  </si>
  <si>
    <t>Rutgers University System; Rutgers University New Brunswick; University of Kentucky</t>
  </si>
  <si>
    <t>Krogmann, U (corresponding author), Rutgers State Univ, Dept Environm Sci, New Brunswick, NJ 08903 USA.</t>
  </si>
  <si>
    <t>New Jersey Department of Environmental Protection; Division of Watershed Management; New Jersey Agricultural Experiment Station</t>
  </si>
  <si>
    <t>The authors would like to thank the staff of the Phillip E. Marucci Center for Cranberry and Blueberry Research for maintaining the plots and the New Jersey Department of Environmental Protection, Division of Watershed Management, and the New Jersey Agricultural Experiment Station for financial support.</t>
  </si>
  <si>
    <t>TAYLOR &amp; FRANCIS INC</t>
  </si>
  <si>
    <t>PHILADELPHIA</t>
  </si>
  <si>
    <t>530 WALNUT STREET, STE 850, PHILADELPHIA, PA 19106 USA</t>
  </si>
  <si>
    <t>1065-657X</t>
  </si>
  <si>
    <t>2326-2397</t>
  </si>
  <si>
    <t>COMPOST SCI UTIL</t>
  </si>
  <si>
    <t>Compost Sci. Util.</t>
  </si>
  <si>
    <t>FAL</t>
  </si>
  <si>
    <t>Ecology; Soil Science</t>
  </si>
  <si>
    <t>Environmental Sciences &amp; Ecology; Agriculture</t>
  </si>
  <si>
    <t>391DX</t>
  </si>
  <si>
    <t>WOS:000262214800002</t>
  </si>
  <si>
    <t>Sippola, AL; Siitonen, J; Punttila, P</t>
  </si>
  <si>
    <t>Beetle diversity in timberline forests: a comparison between old-growth and regeneration areas in Finnish Lapland</t>
  </si>
  <si>
    <t>ANNALES ZOOLOGICI FENNICI</t>
  </si>
  <si>
    <t>COARSE WOODY DEBRIS; BOREAL FORESTS; SAPROXYLIC BEETLES; CONIFEROUS FOREST; SOUTHERN FINLAND; CARABID BEETLES; RUSSIAN KARELIA; BARK BEETLES; COLEOPTERA; INVERTEBRATES</t>
  </si>
  <si>
    <t>We compared beetle fauna among six types of forests: (1) old-growth pine, (2) old-growth spruce and (3) old-growth mixed forests; (4) 1-year-old and (5) 15-year-old seed-tree cut pine forests, and (6) 15-year-old clear-cut spruce forests using window trapping. In the old-growth forests, species richness was explained by site productivity, amount and quality of coarse woody debris (CWD), and tree species composition. Many of the explaining variables, e.g., site productivity, volume of living timber and volume of CWD were intercorrelated. Beetle assemblages varied according to the site fertility and successional stage. The species compositions of non-saproxylic species were rather similar in the seed-tree-cut areas and in the old-growth pine forests, but the species composition of saproxylics differed between the two forest types. On the contrary, the species compositions of both saproxylics and non-saproxylics differed distinctly between the old-growth spruce forest and clear-cut sites. Species colonising recently died trees, soil-dwelling open-habitat species and some polypore-living cisids were more abundant in regeneration areas than in old-growth forests, whereas species of many other mycetophagous beetle fan-dlies were practically absent from the logged sites. Compared with old-growth forests, the proportion of nationally rare saproxylic species was high at the recently cut sites, but clearly lower at the old regeneration sites. This indicates that in the long run the changes in the amount and quality of CWD may have detrimental effects to rare saproxylic species in the regeneration areas.</t>
  </si>
  <si>
    <t>Univ Lapland, Arctic Ctr, FIN-96101 Rovaniemi, Finland; Finnish Forest Res Inst, Vantaa Res Ctr, FIN-01301 Vantaa, Finland; Finnish Environm Inst, Nat &amp; Land Use Div, FIN-00251 Helsinki, Finland</t>
  </si>
  <si>
    <t>University of Lapland; Natural Resources Institute Finland (Luke); Finnish Environment Institute</t>
  </si>
  <si>
    <t>Sippola, AL (corresponding author), Univ Lapland, Arctic Ctr, POB 122, FIN-96101 Rovaniemi, Finland.</t>
  </si>
  <si>
    <t>Ylisirniö, Anna-Liisa/L-4444-2013; Punttila, Pekka/ABH-1138-2020; Siitonen, Juha/D-7117-2017</t>
  </si>
  <si>
    <t>Punttila, Pekka/0000-0002-0076-9499;</t>
  </si>
  <si>
    <t>FINNISH ZOOLOGICAL BOTANICAL PUBLISHING BOARD</t>
  </si>
  <si>
    <t>UNIV HELSINKI</t>
  </si>
  <si>
    <t>P O BOX 17, FIN-00014 UNIV HELSINKI, FINLAND</t>
  </si>
  <si>
    <t>0003-455X</t>
  </si>
  <si>
    <t>ANN ZOOL FENN</t>
  </si>
  <si>
    <t>Ann. Zool. Fenn.</t>
  </si>
  <si>
    <t>Ecology; Zoology</t>
  </si>
  <si>
    <t>Environmental Sciences &amp; Ecology; Zoology</t>
  </si>
  <si>
    <t>532MP</t>
  </si>
  <si>
    <t>WOS:000174479300009</t>
  </si>
  <si>
    <t>Vintu, V; Samuil, C; Sirbu, C; Popovici, CI; Stavarache, M</t>
  </si>
  <si>
    <t>Vintu, Vasile; Samuil, Costel; Sirbu, Culita; Popovici, Constantin Iulian; Stavarache, Mihai</t>
  </si>
  <si>
    <t>Sustainable Management of Nardus stricta L. Grasslands in Romania's Carpathians</t>
  </si>
  <si>
    <t>NOTULAE BOTANICAE HORTI AGROBOTANICI CLUJ-NAPOCA</t>
  </si>
  <si>
    <t>biodiversity; fertilization; fodder quality; grassland; productivity</t>
  </si>
  <si>
    <t>HAY MEADOW; SPECIES-RICHNESS; NUTRITIVE-VALUE; PLANT; SOIL; FERTILIZATION; PRODUCTIVITY; BIODIVERSITY; RESTORATION; DIVERSITY</t>
  </si>
  <si>
    <t>The grassland area of Romania covers over 4.8 million hectares, of which more than a half are located in upland areas. In the present research it has been studied the influence of organic fertilization on the productivity, vegetal canopy and fodder quality of the intramontane Depression of Vatra Dornei, from the North-Eastern Romanian Carpathians, at rates of 20-50 Mg ha(-1), applied either on a yearly basis, or every two years. The purpose of this study is to underline the dynamics of productivity and phytocenosis biodiversity, due to the application of some practical, technical measures meant to improve the production and fodder quality of Nardus stricta L. permanent grasslands, with minimal effects on the environment. The organic fertilizer rates triggered changes in the canopy structure by reducing the percentage of Nardus strum L species, from 70% to 14-31%, and increasing the percentage of legumes, as well as the productivity and fodder quality 5-30%, respectively.</t>
  </si>
  <si>
    <t>[Vintu, Vasile; Samuil, Costel; Sirbu, Culita; Popovici, Constantin Iulian; Stavarache, Mihai] Univ Agr Sci &amp; Vet Med, Iasi 700490, Romania</t>
  </si>
  <si>
    <t>Iasi University of Life Sciences, Romania</t>
  </si>
  <si>
    <t>Vintu, V (corresponding author), Univ Agr Sci &amp; Vet Med, 3 Allea M Sadoveanu, Iasi 700490, Romania.</t>
  </si>
  <si>
    <t>vvintu@uaiasi.ro</t>
  </si>
  <si>
    <t>Sirbu, Culita/KQU-1995-2024; Samuil, Costel/J-4484-2012; Vintu, Vasile/LZI-5594-2025</t>
  </si>
  <si>
    <t>Vintu, Vasile/0000-0001-9641-9401; Samuil, Costel/0000-0001-6321-2869;</t>
  </si>
  <si>
    <t>UNIV AGR SCI &amp; VETERINARY MED CLUJ-NAPOCA</t>
  </si>
  <si>
    <t>CLUJ-NAPOCA</t>
  </si>
  <si>
    <t>3-5 MANASTUR ST, CLUJ-NAPOCA, 400372, ROMANIA</t>
  </si>
  <si>
    <t>0255-965X</t>
  </si>
  <si>
    <t>1842-4309</t>
  </si>
  <si>
    <t>NOT BOT HORTI AGROBO</t>
  </si>
  <si>
    <t>Not. Bot. Horti Agrobot. Cluj-Na.</t>
  </si>
  <si>
    <t>JUL-DEC</t>
  </si>
  <si>
    <t>Plant Sciences</t>
  </si>
  <si>
    <t>856QX</t>
  </si>
  <si>
    <t>WOS:000297659600020</t>
  </si>
  <si>
    <t>Nijman, V</t>
  </si>
  <si>
    <t>Effects of habitat disturbance and hunting on the density and the biomass of the endemic Hose's leaf monkey Presbytis hosei (Thomas, 1889) (Mammalia: Primates: Cercopithecidae) in east Borneo</t>
  </si>
  <si>
    <t>CONTRIBUTIONS TO ZOOLOGY</t>
  </si>
  <si>
    <t>colobines; conservation; logging; primates; shifting cultivation</t>
  </si>
  <si>
    <t>NASALIS-LARVATUS; CONSERVATION; KALIMANTAN; FOREST; BIODIVERSITY; HOTSPOTS</t>
  </si>
  <si>
    <t>Hose's leaf monkey Presbytis hosei is endemic to Borneo and occurs only in tall forest. In recent decades Borneo has lost a large part of its forest cover, mostly in low-lying coastal regions. Large intact tracts of forest remain in the interior, but these are by and large inhabited by tribes that subsist in part by hunting. The combined effects of habitat disturbance and hunting on the densities and biomass of Hose's leaf monkey were studied in Kayan Mentarang National Park in Borneo's far interior. Over four months, data on densities and hunting were collected by transect walks in four forest types. Hose's leaf monkeys were hunted to deter crop-raiding, for their meat, and to obtain bezoar stones (visceral secretions used in traditional medicine). Hose's leaf monkeys occurred in single male groups of 7-8 individuals in densities from 0.8 to 2.3 groups km(-2). Densities of Hose's leaf monkeys were positively correlated with certain vegetation characteristics, e.g. tree height and height of first bough, and negatively correlated with distance to the nearest village. Biomass of Hose's leaf monkeys declined considerably as a result of habitat disturbance and hunting from 92 kg km(-2) in primary hill forest inside the reserve to 38 kg km(-2) in old secondary forest and 31 kg km(-2) in young secondary forest near villages. A review of the few studies conducted on the effects of habitat disturbance and hunting on Hose's leaf monkeys reveal inconsistent trends in biomass and density responses.</t>
  </si>
  <si>
    <t>Univ Amsterdam, Inst Biodivers &amp; Ecosyst Dynam, Zool Museum, NL-1090 GT Amsterdam, Netherlands</t>
  </si>
  <si>
    <t>University of Amsterdam</t>
  </si>
  <si>
    <t>Nijman, V (corresponding author), Univ Amsterdam, Inst Biodivers &amp; Ecosyst Dynam, Zool Museum, POB 94766, NL-1090 GT Amsterdam, Netherlands.</t>
  </si>
  <si>
    <t>nijman@science.uva.nl</t>
  </si>
  <si>
    <t>; Nijman, Vincent/AHD-8685-2022</t>
  </si>
  <si>
    <t>Nijman, Vincent/0000-0002-5600-4276;</t>
  </si>
  <si>
    <t>BRILL</t>
  </si>
  <si>
    <t>LEIDEN</t>
  </si>
  <si>
    <t>PLANTIJNSTRAAT 2, P O BOX 9000, 2300 PA LEIDEN, NETHERLANDS</t>
  </si>
  <si>
    <t>1383-4517</t>
  </si>
  <si>
    <t>1875-9866</t>
  </si>
  <si>
    <t>CONTRIB ZOOL</t>
  </si>
  <si>
    <t>Contrib. Zool.</t>
  </si>
  <si>
    <t>10.1163/18759866-07304004</t>
  </si>
  <si>
    <t>910KA</t>
  </si>
  <si>
    <t>Bronze</t>
  </si>
  <si>
    <t>WOS:000227928800004</t>
  </si>
  <si>
    <t>Kramberger, B; Kaligaric, M</t>
  </si>
  <si>
    <t>Kramberger, Branko; Kaligaric, Mitia</t>
  </si>
  <si>
    <t>Semi-natural grasslands: The effects of cutting frequency on long-term changes of floristic composition</t>
  </si>
  <si>
    <t>POLISH JOURNAL OF ECOLOGY</t>
  </si>
  <si>
    <t>cutting frequency; floristic composition; late cut; natural reseeding; seminatural grassland</t>
  </si>
  <si>
    <t>NATURE CONSERVATION; SEED BANKS; MANAGEMENT; COMMUNITY; AGRICULTURE; POPULATION; PASTURE; FORAGE</t>
  </si>
  <si>
    <t>The objective of the experiment was to study the effects of different frequencies of cutting on long-term changes in the floristic composition of grassland, with an emphasis on the effects of very late cutting. Cutting at 2, 4, 6, 8 10 and 12-weekly intervals was applied from 1995 to 2006 in a randomized block experiment on semi-natural grassland fertilized with 170 kg N, 40 kg P and 150 kg K ha(-1). The floristic composition of treatments was determined in May 1995, 1999, 2002 and 2006. In the final year (2006) the proportion of grasses in the dry matter of harvest was highest (77%) in the treatment with the least frequent cuts, and it was the highest obtained during the whole experiment. Under very frequent cuts, the proportion of grasses ranged only from 45 to 57%. Among legumes, only Trifolium repens L. was represented in high proportions in the dry matter of the harvest (from 19 to 25%) in 2006, but only in the treatments involving high cutting frequencies. The proportion of non-legume forbs in treatments involving low cutting frequency did not exceed other treatments; moreover, their proportion in the dry matter of the harvest in the treatment with the lowest cutting frequency decreased significantly to the lowest value (19%). The increased proportion of grasses in treatments with low cutting frequency indicates that a very late cut does not necessarily mean that forbs increase in the floristic composition, but can help grasses to retain their dominant and stable proportion in the semi-natural sward. Consequently, when farmers are being provided with financial incentives with the aim of protecting diversity and the natural environment, it is worth recommending also a very late cutting, which includes natural reseeding to a greater extent. This can help to find a compromise between farmers' expectations of stable yield and quality forage, and the public interest in having grasslands of high biodiversity.</t>
  </si>
  <si>
    <t>[Kramberger, Branko] Univ Maribor, Fac Agr, SLO-2000 Maribor, Slovenia; [Kaligaric, Mitia] Univ Maribor, Dept Biol, SLO-2000 Maribor, Slovenia</t>
  </si>
  <si>
    <t>University of Maribor; University of Maribor</t>
  </si>
  <si>
    <t>Kramberger, B (corresponding author), Univ Maribor, Fac Agr, Vrbanska 30, SLO-2000 Maribor, Slovenia.</t>
  </si>
  <si>
    <t>branko.kramberger@uni-mb.si</t>
  </si>
  <si>
    <t>Wrbka, Thomas/A-5699-2010</t>
  </si>
  <si>
    <t>Wrbka, Thomas/0000-0002-1451-9108</t>
  </si>
  <si>
    <t>POLISH ACAD SCIENCES INST ECOLOGY</t>
  </si>
  <si>
    <t>LOMIANKI</t>
  </si>
  <si>
    <t>DZIEKANOW LESNY NEAR WARSAW, 05-092 LOMIANKI, POLAND</t>
  </si>
  <si>
    <t>1505-2249</t>
  </si>
  <si>
    <t>POL J ECOL</t>
  </si>
  <si>
    <t>Pol. J. Ecol.</t>
  </si>
  <si>
    <t>Ecology</t>
  </si>
  <si>
    <t>Environmental Sciences &amp; Ecology</t>
  </si>
  <si>
    <t>275YE</t>
  </si>
  <si>
    <t>WOS:000254107400003</t>
  </si>
  <si>
    <t>Crow, TR; Buckley, DS; Nauertz, EA; Zasada, JC</t>
  </si>
  <si>
    <t>Effects of management on the composition and structure of northern hardwood forests in Upper Michigan</t>
  </si>
  <si>
    <t>FOREST SCIENCE</t>
  </si>
  <si>
    <t>plant diversity; stand structure; northern hardwoods; Acer saccharum; silviculture; Michigan; forest management; old-growth</t>
  </si>
  <si>
    <t>OLD-GROWTH; BIOLOGICAL DIVERSITY; PLANT DIVERSITY; BIODIVERSITY; ECOSYSTEMS; WOOD</t>
  </si>
  <si>
    <t>To improve our understanding of how management affects the composition and structure of northern hardwood forests, we compared managed with unmanaged sugar maple (Acer saccharum Marsh.) dominated forests. Unmanaged old-growth and unmanaged second-growth forests provided baselines for comparing the effects of even-aged and uneven-aged forest management on selected aspects of biological diversity. Three replications of each condition were located on the Winegar Moraine in Michigan's Upper Peninsula. Old-growth forests were multistoried, dominated by a few, large trees with well-developed crowns extending over a subcanopy stratum 10-15 m in height and an abundance of woody vegetation (mostly sugar maple seedlings) at 2-3 m. This complex stand structure contrasts with the relatively uniform structure of unmanaged second-growth forests with a closed overstory canopy and limited understory development. Forest management, both even- and uneven-aged, created forest structures that were more complex than their unmanaged second-growth baselines, yet managed forests lacked some of the structural complexity characteristic of old-growth. Managed forests had fewer large trees (stem diameter at 1.37 m &gt; 50 cm) and considerably less basal area in dead trees when compared with old-growth. There were fewer tree species in managed forests because commercially important tree species were favored for retention and, when present, early successional species (e.g., Populus grandidentata Michx., Populus tremuloides Michx.) were harvested. A subcanopy comprised of large shrubs and small trees characteristic of old growth was absent in managed forests, but this structural element may develop with time under management. As expected, thinning the overstory and disturbing the forest floor through tree harvesting promoted understory development in managed forests, Most of the added species, however, were common in the landscape and thus added little to overall species richness.</t>
  </si>
  <si>
    <t>USDA, Forest Serv, N Cent Res Stn, Grand Rapids, MN 55744 USA; Univ Tennessee, Dept Forest Wildlife &amp; Fisheries, Knoxville, TN 37901 USA; USDA, Forest Serv, N Cent Res Stn, Rhinelander, WI 54501 USA</t>
  </si>
  <si>
    <t>United States Department of Agriculture (USDA); United States Forest Service; University of Tennessee System; University of Tennessee Knoxville; United States Department of Agriculture (USDA); United States Forest Service</t>
  </si>
  <si>
    <t>Crow, TR (corresponding author), USDA, Forest Serv, N Cent Res Stn, Grand Rapids, MN 55744 USA.</t>
  </si>
  <si>
    <t>tcrow@fs.fed.us</t>
  </si>
  <si>
    <t>SPRINGERNATURE</t>
  </si>
  <si>
    <t>LONDON</t>
  </si>
  <si>
    <t>CAMPUS, 4 CRINAN ST, LONDON, N1 9XW, ENGLAND</t>
  </si>
  <si>
    <t>0015-749X</t>
  </si>
  <si>
    <t>1938-3738</t>
  </si>
  <si>
    <t>FOREST SCI</t>
  </si>
  <si>
    <t>For. Sci.</t>
  </si>
  <si>
    <t>FEB</t>
  </si>
  <si>
    <t>Forestry</t>
  </si>
  <si>
    <t>521NH</t>
  </si>
  <si>
    <t>WOS:000173846700015</t>
  </si>
  <si>
    <t>B</t>
  </si>
  <si>
    <t>Gros, P; Prouzet, P</t>
  </si>
  <si>
    <t>Monaco, A; Prouzet, P</t>
  </si>
  <si>
    <t>Gros, Philippe; Prouzet, Patrick</t>
  </si>
  <si>
    <t>The Impact of Global Change on the Dynamics of Marine Living Resources</t>
  </si>
  <si>
    <t>ECOSYSTEM SUSTAINABILITY AND GLOBAL CHANGE</t>
  </si>
  <si>
    <t>Wiley-ISTE</t>
  </si>
  <si>
    <t>Article; Book Chapter</t>
  </si>
  <si>
    <t>SALMON SALMO-SALAR; EXPLOITED FISH STOCKS; SOLE SOLEA-SOLEA; CLIMATE-CHANGE; OCEAN ACIDIFICATION; FEEDING AQUACULTURE; CAPTURE FISHERIES; JELLYFISH BLOOMS; SPAWNING STOCK; FOOD-WEB</t>
  </si>
  <si>
    <t>[Gros, Philippe] IFREMER, Brest, France; [Prouzet, Patrick] IFREMER, Issy Les Moulineaux, France</t>
  </si>
  <si>
    <t>Ifremer; Ifremer</t>
  </si>
  <si>
    <t>Gros, P (corresponding author), IFREMER, Brest, France.</t>
  </si>
  <si>
    <t>ISTE LTD</t>
  </si>
  <si>
    <t>27-37 ST GEORGES RD, 3RD FLR, TUITION HOUSE, LONDON, SW19 4EU, ENGLAND</t>
  </si>
  <si>
    <t>978-1-119-00770-8; 978-1-84821-703-4</t>
  </si>
  <si>
    <t>WILEY-ISTE</t>
  </si>
  <si>
    <t>10.1002/9781119007708</t>
  </si>
  <si>
    <t>Ecology; Marine &amp; Freshwater Biology; Oceanography</t>
  </si>
  <si>
    <t>Book Citation Index – Science (BKCI-S)</t>
  </si>
  <si>
    <t>Environmental Sciences &amp; Ecology; Marine &amp; Freshwater Biology; Oceanography</t>
  </si>
  <si>
    <t>BD9CK</t>
  </si>
  <si>
    <t>WOS:000364520200005</t>
  </si>
  <si>
    <t>McClean, CJ; Lovett, JC; Küper, W; Hannah, L; Sommer, JH; Barthlott, W; Termansen, M; Smith, GE; Tokamine, S; Taplin, JRD</t>
  </si>
  <si>
    <t>African plant diversity and climate change</t>
  </si>
  <si>
    <t>ANNALS OF THE MISSOURI BOTANICAL GARDEN</t>
  </si>
  <si>
    <t>Africa; biodiversity; climate change; conservation; extinction; Global Strategy for Plant Conservation (GSPC); Important Plant Areas</t>
  </si>
  <si>
    <t>BIODIVERSITY; CONSERVATION; VEGETATION; FORESTS; MODELS; FIRE; PALEOENVIRONMENTS; ENVELOPE; IMPACTS; AREAS</t>
  </si>
  <si>
    <t>International goals have been set to protect global plant diversity and limit ecosystem damage due to climate change, but large-scale effects of changing climate on species distributions have yet to be fully considered in conservation efforts. For sub-Saharan Africa we study the shifts in climatically suitable areas for 5197 African plant species under future climate models for the years 2025, 2055, and 2085 generated by the Hadley Centers third generation coupled ocean-atmosphere General Circulation Model. We use three species distribution models, a Box model, a simple genetic algorithm, and a Bayes-based genetic algorithm. The results show major shifts in areas suitable for most species with large geographical changes in species composition. The areas of suitable climate for 81%-97% of the 5197 African plant species are projected to decrease in size and/or shift in location, many to higher altitudes, and 25%-42% are projected to lose all of their area by 2085. In particular, the models indicate dramatic change in the Guineo-Congolian forests, mirroring proposed ecological dynamics in the past. Although these models are preliminary and may overestimate potential extinctions, they suggest that efforts to protect African plant diversity should take future climate-forced distribution changes into account.</t>
  </si>
  <si>
    <t>Univ York, Ctr Ecol Law &amp; Policy, Dept Environm, York YO10 5DD, N Yorkshire, England; Univ Bonn, Nees Inst Biodivers Plants, D-53115 Bonn, Germany; Conservat Int, Ctr Appl Biodivers Sci, Washington, DC 20036 USA; S African Natl Biodivers Inst, Pretoria, South Africa; Univ Pretoria, Dept Bot, Herbarium, ZA-0002 Pretoria, South Africa</t>
  </si>
  <si>
    <t>University of York - UK; University of Bonn; Conservation International; South African National Biodiversity Institute; University of Pretoria</t>
  </si>
  <si>
    <t>McClean, CJ (corresponding author), Univ York, Ctr Ecol Law &amp; Policy, Dept Environm, York YO10 5DD, N Yorkshire, England.</t>
  </si>
  <si>
    <t>Smith, Gideon/0000-0002-5417-9208</t>
  </si>
  <si>
    <t>MISSOURI BOTANICAL GARDEN</t>
  </si>
  <si>
    <t>ST LOUIS</t>
  </si>
  <si>
    <t>4344 Shaw Blvd, ST LOUIS, MO 63110 USA</t>
  </si>
  <si>
    <t>0026-6493</t>
  </si>
  <si>
    <t>2162-4372</t>
  </si>
  <si>
    <t>ANN MO BOT GARD</t>
  </si>
  <si>
    <t>Ann. Mo. Bot. Gard.</t>
  </si>
  <si>
    <t>951RP</t>
  </si>
  <si>
    <t>WOS:000230948700001</t>
  </si>
  <si>
    <t>Opdal, AF; Lindemann, C; Aksnes, DL</t>
  </si>
  <si>
    <t>Opdal, Anders Frugard; Lindemann, Christian; Aksnes, Dag L.</t>
  </si>
  <si>
    <t>Centennial decline in North Sea water clarity causes strong delay in phytoplankton bloom timing</t>
  </si>
  <si>
    <t>GLOBAL CHANGE BIOLOGY</t>
  </si>
  <si>
    <t>CDOM; climate change; phenology; phytoplankton; Secchi disk; water clarity</t>
  </si>
  <si>
    <t>DISSOLVED ORGANIC-CARBON; BALTIC SEA; CLIMATE-CHANGE; OPTICAL-PROPERTIES; SECCHI DEPTH; MATTER CDOM; TRENDS; OCEAN; PLANKTON; ABSORPTION</t>
  </si>
  <si>
    <t>With climate warming, a widespread expectation is that events in spring, such as flowering, bird migrations, and insect bursts, will occur earlier because of increasing temperature. At high latitudes, increased ocean temperature is suggested to advance the spring phytoplankton bloom due to earlier stabilization of the water column. However, climate warming is also expected to cause browning in lakes and rivers due to increases in terrestrial greening, ultimately reducing water clarity in coastal areas where freshwater drain. In shallow areas, decreased retention of sediments on the seabed will add to this effect. Both browning and resuspension of sediments imply a reduction of the euphotic zone and Sverdrup's critical depth leading to a delay in the spring bloom, counteracting the effect of increasing temperature. Here, we provide evidence that such a transparency reduction has already taken place in both the deep and shallow areas of the North Sea during the 20th century. A sensitivity analysis using a water column model suggests that the reduced transparency might have caused up to 3 weeks delay in the spring bloom over the last century. This delay stands in contrast to the earlier bloom onset expected from global warming, thus highlighting the importance of including changing water transparency in analyses of phytoplankton phenology and primary production. This appears to be of particular relevance for coastal waters, where increased concentrations of absorbing and scattering substances (sediments, dissolved organic matter) have been suggested to lead to coastal darkening.</t>
  </si>
  <si>
    <t>[Opdal, Anders Frugard; Lindemann, Christian; Aksnes, Dag L.] Univ Bergen, Dept Biol Sci, N-5020 Bergen, Norway</t>
  </si>
  <si>
    <t>University of Bergen</t>
  </si>
  <si>
    <t>Opdal, AF (corresponding author), Univ Bergen, Dept Biol Sci, N-5020 Bergen, Norway.</t>
  </si>
  <si>
    <t>anders.opdal@uib.no</t>
  </si>
  <si>
    <t>Aksnes, Dag/A-9093-2011; Lindemann, Christian/C-6609-2018</t>
  </si>
  <si>
    <t>Lindemann, Christian/0000-0003-3684-2480; Opdal, Anders Frugård/0000-0002-7246-6622</t>
  </si>
  <si>
    <t>Norges Forskningsrad [15078, 287490]; NERC [SAH01001] Funding Source: UKRI; Natural Environment Research Council [SAH01001] Funding Source: researchfish</t>
  </si>
  <si>
    <t>Norges Forskningsrad(Research Council of Norway); NERC(UK Research &amp; Innovation (UKRI)Natural Environment Research Council (NERC)); Natural Environment Research Council(UK Research &amp; Innovation (UKRI)Natural Environment Research Council (NERC))</t>
  </si>
  <si>
    <t>Norges Forskningsrad, Grant/Award Number: 15078 and 287490</t>
  </si>
  <si>
    <t>WILEY</t>
  </si>
  <si>
    <t>HOBOKEN</t>
  </si>
  <si>
    <t>111 RIVER ST, HOBOKEN 07030-5774, NJ USA</t>
  </si>
  <si>
    <t>1354-1013</t>
  </si>
  <si>
    <t>1365-2486</t>
  </si>
  <si>
    <t>GLOBAL CHANGE BIOL</t>
  </si>
  <si>
    <t>Glob. Change Biol.</t>
  </si>
  <si>
    <t>NOV</t>
  </si>
  <si>
    <t>10.1111/gcb.14810</t>
  </si>
  <si>
    <t>SEP 2019</t>
  </si>
  <si>
    <t>Biodiversity Conservation; Ecology; Environmental Sciences</t>
  </si>
  <si>
    <t>Biodiversity &amp; Conservation; Environmental Sciences &amp; Ecology</t>
  </si>
  <si>
    <t>JC3JG</t>
  </si>
  <si>
    <t>hybrid</t>
  </si>
  <si>
    <t>WOS:000486782400001</t>
  </si>
  <si>
    <t>McLean, M; Mouillot, D; Lindegren, M; Villéger, S; Engelhard, G; Murgier, J; Auber, A</t>
  </si>
  <si>
    <t>McLean, Matthew; Mouillot, David; Lindegren, Martin; Villeger, Sebastien; Engelhard, Georg; Murgier, Juliette; Auber, Arnaud</t>
  </si>
  <si>
    <t>Fish communities diverge in species but converge in traits over three decades of warming</t>
  </si>
  <si>
    <t>biotic homogenization; climate change; community ecology; ecological traits; ecosystem functioning; fisheries; functional diversity; spatio-temporal dynamics</t>
  </si>
  <si>
    <t>FUNCTIONAL DIVERSITY; NORTH-SEA; CLIMATE-CHANGE; PLANT TRAITS; REGIME SHIFT; SHELF SEAS; PATTERNS; ECOLOGY; BIODIVERSITY; CONSEQUENCES</t>
  </si>
  <si>
    <t>Describing the spatial and temporal dynamics of communities is essential for understanding the impacts of global environmental change on biodiversity and ecosystem functioning. Trait-based approaches can provide better insight than species-based (i.e. taxonomic) approaches into community assembly and ecosystem functioning, but comparing species and trait dynamics may reveal important patterns for understanding community responses to environmental change. Here, we used a 33-year database of fish monitoring to compare the spatio-temporal dynamics of taxonomic and trait structure in North Sea fish communities. We found that the majority of variation in both taxonomic and trait structure was explained by a pronounced spatial gradient, with distinct communities in the southern and northern North Sea related to depth, sea surface temperature, salinity and bed shear stress. Both taxonomic and trait structure changed significantly over time; however taxonomically, communities in the south and north diverged towards different species, becoming more dissimilar over time, yet they converged towards the same traits regardless of species differences. In particular, communities shifted towards smaller, faster growing species with higher thermal preferences and pelagic water column position. Although taxonomic structure changed over time, its spatial distribution remained relatively stable, whereas in trait structure, the southern zone of the North Sea shifted northward and expanded, leading to homogenization. Our findings suggest that global environmental change, notably climate warming, will lead to convergence towards traits more adapted for novel environments regardless of species composition.</t>
  </si>
  <si>
    <t>[McLean, Matthew; Murgier, Juliette; Auber, Arnaud] IFREMER, Unite Halieut Manche &amp; Mer Nord, 150 Quai Gambetta,BP699, F-62321 Boulogne Sur Mer, France; [McLean, Matthew; Mouillot, David; Villeger, Sebastien] Univ Montpellier, CNRS, IFREMER, MARBEC,IRD, Montpellier, France; [Mouillot, David] James Cook Univ, Australian Res Council, Ctr Excellence Coral Reef Studies, Townsville, Qld, Australia; [Lindegren, Martin] Tech Univ Denmark, Natl Inst Aquat Resources, Ctr Ocean Life, Lyngby, Denmark; [Engelhard, Georg] Cefas, Lowestoft, Suffolk, England; [Engelhard, Georg] Univ East Anglia, CCSUS, Norwich, Norfolk, England</t>
  </si>
  <si>
    <t>Ifremer; Institut de Recherche pour le Developpement (IRD); Ifremer; Centre National de la Recherche Scientifique (CNRS); Universite de Montpellier; James Cook University; Technical University of Denmark; Centre for Environment Fisheries &amp; Aquaculture Science; University of East Anglia</t>
  </si>
  <si>
    <t>McLean, M (corresponding author), IFREMER, Unite Halieut Manche &amp; Mer Nord, 150 Quai Gambetta,BP699, F-62321 Boulogne Sur Mer, France.</t>
  </si>
  <si>
    <t>mcleamj@gmail.com</t>
  </si>
  <si>
    <t>; McLean, Matthew/HNI-0504-2023; Villéger, Sébastien/C-6272-2011; Mouillot, David/HCH-5670-2022; Auber, Arnaud/AAI-8794-2021</t>
  </si>
  <si>
    <t>Lindegren, Martin/0000-0002-9185-951X; Auber, Arnaud/0000-0002-8415-1652; McLean, Matthew/0000-0001-6518-6043; Villéger, Sébastien/0000-0002-2362-7178; Engelhard, Georg H/0000-0002-7821-7029</t>
  </si>
  <si>
    <t>Region Hauts-de-France; VKR Center for Ocean Life; Fondation pour la Recherche sur la Biodiversite [2014-10824]; Villum Fonden [13159]; Electricite de France; Institut Francais de Recherche pour l'Exploitation de la Mer; Villum Fonden [00013159] Funding Source: researchfish</t>
  </si>
  <si>
    <t>Region Hauts-de-France(Region Hauts-de-France); VKR Center for Ocean Life; Fondation pour la Recherche sur la Biodiversite; Villum Fonden(Villum Fonden); Electricite de France; Institut Francais de Recherche pour l'Exploitation de la Mer; Villum Fonden(Villum Fonden)</t>
  </si>
  <si>
    <t>Region Hauts-de-France; VKR Center for Ocean Life; Fondation pour la Recherche sur la Biodiversite, Grant/Award Number: astre 2014-10824; Villum Fonden, Grant/Award Number: 13159; Electricite de France; Institut Francais de Recherche pour l'Exploitation de la Mer</t>
  </si>
  <si>
    <t>10.1111/gcb.14785</t>
  </si>
  <si>
    <t>AUG 2019</t>
  </si>
  <si>
    <t>Green Submitted, Bronze</t>
  </si>
  <si>
    <t>WOS:000482780600001</t>
  </si>
  <si>
    <t>van Beusekom, JEE; Carstensen, J; Dolch, T; Grage, A; Hofmeister, R; Lenhart, H; Kerimoglu, O; Kolbe, K; Pätsch, J; Rick, J; Rönn, L; Ruiter, H</t>
  </si>
  <si>
    <t>van Beusekom, Justus E. E.; Carstensen, Jacob; Dolch, Tobias; Grage, Annika; Hofmeister, Richard; Lenhart, Hermann; Kerimoglu, Onur; Kolbe, Kerstin; Paetsch, Johannes; Rick, Johannes; Roenn, Lena; Ruiter, Hans</t>
  </si>
  <si>
    <t>Wadden Sea Eutrophication: Long-Term Trends and Regional Differences</t>
  </si>
  <si>
    <t>FRONTIERS IN MARINE SCIENCE</t>
  </si>
  <si>
    <t>eutrophication indicators; Wadden Sea; North Sea; nutrients; long-term trends; phytoplankton; submersed vegetation; sediments</t>
  </si>
  <si>
    <t>NORTH-SEA; WESTERNMOST INLET; WATER DISCHARGE; PHYTOPLANKTON; NUTRIENT; LIMITATION; PHOSPHORUS; NITROGEN; DYNAMICS; MATTER</t>
  </si>
  <si>
    <t>The Wadden Sea is a shallow intertidal coastal sea, largely protected by barrier islands and fringing the North Sea coasts of Netherlands, Germany, and Denmark. It is subject to influences from both the North Sea and major European rivers. Nutrient enrichment from these rivers since the 1950s has impacted the Wadden Sea ecology including loss of seagrass, increased phytoplankton blooms, and increased green macroalgae blooms. Rivers are the major source of nutrients causing Wadden Sea eutrophication. The nutrient input of the major rivers impacting the Wadden Sea reached a maximum during the 1980s and decreased at an average pace of about 2.5% per year for total Nitrogen (TN) and about 5% per year for total Phosphorus (TP), leading to decreasing nutrient levels but also increasing N/P ratios. During the past decade, the lowest nutrient inputs since 1977 were observed but these declining trends are leveling out for TP. Phytoplankton biomass (measured as chlorophyll a) in the Wadden Sea has decreased since the 1980s and presently reached a comparatively low level. In tidal inlet stations with a long-term monitoring, summer phytoplankton levels correlate with riverine TN and TP loads but stations located closer to the coast behave in a more complex manner. Regional differences are observed, with highest chlorophyll a levels in the southern Wadden Sea and lowest levels in the northern Wadden Sea. Model data support the hypothesis that the higher eutrophication levels in the southern Wadden Sea are linked to a more intense coastward accumulation of organic matter produced in the North Sea.</t>
  </si>
  <si>
    <t>[van Beusekom, Justus E. E.; Hofmeister, Richard; Kerimoglu, Onur] Helmholtz Zentrum Geesthacht, Inst Kustenforsch, Geesthacht, Germany; [Carstensen, Jacob] Aarhus Univ, Dept Biosci, Roskilde, Denmark; [Dolch, Tobias; Rick, Johannes] Helmholtz Zentrum Polar &amp; Meeresforsch, Wadden Sea Stn Sylt, Alfred Wegener Inst, Bremerhaven, Germany; [Grage, Annika] Bundesamt Seeschifffahrt &amp; Hydrog, Hamburg, Germany; [Lenhart, Hermann] Univ Hamburg, Dept Informat, Hamburg, Germany; [Kolbe, Kerstin; Roenn, Lena] Betriebsstelle Brake Oldenburg, Niedersachs Landesbetrieb Wasserwirtschaft Kusten, Oldenburg, Germany; [Paetsch, Johannes] Univ Hamburg, Inst Oceanog, Hamburg, Germany; [Ruiter, Hans] Rijkswaterstaat, Utrecht, Netherlands</t>
  </si>
  <si>
    <t>Helmholtz Association; Helmholtz-Zentrum Hereon; Aarhus University; Helmholtz Association; Alfred Wegener Institute, Helmholtz Centre for Polar &amp; Marine Research; University of Hamburg; University of Hamburg</t>
  </si>
  <si>
    <t>van Beusekom, JEE (corresponding author), Helmholtz Zentrum Geesthacht, Inst Kustenforsch, Geesthacht, Germany.</t>
  </si>
  <si>
    <t>justus.van.beusekom@hzg.de</t>
  </si>
  <si>
    <t>; van Beusekom, Justus/F-7674-2012; Dolch, Tobias/O-2887-2017; Carstensen, Jacob/I-7460-2013; Kerimoglu, Onur/E-4953-2013</t>
  </si>
  <si>
    <t>Kerimoglu, Onur/0000-0003-4289-4404; Rönn, Lena/0009-0009-9789-5763; Dolch, Tobias/0000-0001-6038-6695; Carstensen, Jacob/0000-0003-0016-6118;</t>
  </si>
  <si>
    <t>FRONTIERS MEDIA SA</t>
  </si>
  <si>
    <t>LAUSANNE</t>
  </si>
  <si>
    <t>AVENUE DU TRIBUNAL FEDERAL 34, LAUSANNE, CH-1015, SWITZERLAND</t>
  </si>
  <si>
    <t>2296-7745</t>
  </si>
  <si>
    <t>FRONT MAR SCI</t>
  </si>
  <si>
    <t>Front. Mar. Sci.</t>
  </si>
  <si>
    <t>JUL 4</t>
  </si>
  <si>
    <t>10.3389/fmars.2019.00370</t>
  </si>
  <si>
    <t>Environmental Sciences; Marine &amp; Freshwater Biology</t>
  </si>
  <si>
    <t>Environmental Sciences &amp; Ecology; Marine &amp; Freshwater Biology</t>
  </si>
  <si>
    <t>IG4HY</t>
  </si>
  <si>
    <t>Green Submitted, Green Published, gold</t>
  </si>
  <si>
    <t>WOS:000473765900001</t>
  </si>
  <si>
    <t>Lyu, Z; Genet, H; He, YJ; Zhuang, QL; McGuire, AD; Bennett, A; Breen, A; Clein, J; Euskirchen, ES; Johnson, K; Kurkowski, T; Pastick, NJ; Rupp, TS; Wylie, BK; Zhu, ZL</t>
  </si>
  <si>
    <t>Lyu, Zhou; Genet, Helene; He, Yujie; Zhuang, Qianlai; McGuire, A. David; Bennett, Alec; Breen, Amy; Clein, Joy; Euskirchen, Eugenie S.; Johnson, Kristofer; Kurkowski, Tom; Pastick, Neal J.; Rupp, T. Scott; Wylie, Bruce K.; Zhu, Zhiliang</t>
  </si>
  <si>
    <t>The role of environmental driving factors in historical and projected carbon dynamics of wetland ecosystems in Alaska</t>
  </si>
  <si>
    <t>ECOLOGICAL APPLICATIONS</t>
  </si>
  <si>
    <t>Alaska; Alaska carbon cycle; atmospheric CO2; carbon balance; climate change; fire; global warming potential; methane; wetlands</t>
  </si>
  <si>
    <t>GREENHOUSE-PLUS FEEDBACK; SEASON-LONG MEASUREMENT; ARCTIC CLIMATE-CHANGE; PERMAFROST CARBON; METHANE EMISSIONS; ELEVATED CO2; TERRESTRIAL ECOSYSTEMS; POLAR AMPLIFICATION; GROWING-SEASON; BOREAL FOREST</t>
  </si>
  <si>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</si>
  <si>
    <t>[Lyu, Zhou; He, Yujie; Zhuang, Qianlai] Purdue Univ, Earth Atmospher &amp; Planetary Sci, W Lafayette, IN 47907 USA; [Genet, Helene; Clein, Joy; Euskirchen, Eugenie S.] Univ Alaska Fairbanks, Inst Arctic Biol, Fairbanks, AK 99775 USA; [McGuire, A. David] Univ Alaska Fairbanks, US Geol Survey, Alaska Cooperat Fish &amp; Wildlife Res Unit, Fairbanks, AK 99775 USA; [Bennett, Alec; Breen, Amy; Kurkowski, Tom; Rupp, T. Scott] Univ Alaska Fairbanks, Int Arctic Res Ctr, Scenarios Network Alaska &amp; Arctic Planning, Fairbanks, AK 99775 USA; [Johnson, Kristofer] US Forest Serv, USDA, Northern Res Stn, Newtown Sq, PA 19073 USA; [Pastick, Neal J.] Univ Minnesota, Dept Forest Resources, St Paul, MN 55108 USA; [Pastick, Neal J.] US Geol Survey, Stinger Ghaffarian Technol Inc, Sioux Falls, SD 57198 USA; [Wylie, Bruce K.] US Geol Survey, Earth Resources Observat Syst Ctr, Sioux Falls, SD 57198 USA; [Zhu, Zhiliang] US Geol Survey, Reston, VA 12201 USA</t>
  </si>
  <si>
    <t>Purdue University System; Purdue University; University of Alaska System; University of Alaska Fairbanks; United States Department of the Interior; United States Geological Survey; University of Alaska System; University of Alaska Fairbanks; University of Alaska System; University of Alaska Fairbanks; United States Department of Agriculture (USDA); United States Forest Service; University of Minnesota System; University of Minnesota Twin Cities; Stinger Ghaffarian Technologies, Inc. (SGT); United States Department of the Interior; United States Geological Survey; United States Department of the Interior; United States Geological Survey; United States Department of the Interior; United States Geological Survey</t>
  </si>
  <si>
    <t>Zhuang, QL (corresponding author), Purdue Univ, Earth Atmospher &amp; Planetary Sci, W Lafayette, IN 47907 USA.</t>
  </si>
  <si>
    <t>qzhuang@purdue.edu</t>
  </si>
  <si>
    <t>; Lyu, Zhou/AAD-7454-2021; Zhuang, Qianlai/A-5670-2009; Zhu, Zhiliang/I-2686-2018; Wylie, Bruce/H-3182-2014; Lyu, Zhou/D-3513-2019; He, Yujie/E-2514-2017</t>
  </si>
  <si>
    <t>Pastick, Neal/0000-0002-8169-3018; Lyu, Zhou/0000-0003-3015-9410; Clein, Joy/0000-0002-2816-5312</t>
  </si>
  <si>
    <t>U.S. Geological Survey (USGS) Land Change Science Program; Alaska Climate Science Center from the U.S. Geological Survey [G10AC00588]; Bonanza Creek Long-Term Ecological Research Program - National Science Foundation; U.S. Forest Service; DOE [DE-SC0008092]; NSF [IIS-1027955]</t>
  </si>
  <si>
    <t>U.S. Geological Survey (USGS) Land Change Science Program; Alaska Climate Science Center from the U.S. Geological Survey; Bonanza Creek Long-Term Ecological Research Program - National Science Foundation; U.S. Forest Service(United States Department of Agriculture (USDA)United States Forest Service); DOE(United States Department of Energy (DOE)); NSF(National Science Foundation (NSF))</t>
  </si>
  <si>
    <t>This research was funded by the U.S. Geological Survey (USGS) Land Change Science Program. Additional support was provided by the Alaska Climate Science Center through Grant/Cooperative Agreement G10AC00588 from the U.S. Geological Survey and by the Bonanza Creek Long-Term Ecological Research Program funded by the National Science Foundation and the U.S. Forest Service. The research was also partially supported by DOE project DE-SC0008092 and NSF project IIS-1027955 to Q. Zhuang. Any use of trade, firm, or product names is for descriptive purposes only and does not imply endorsement by the U.S. Government. We acknowledge the World Climate Research Programme's Working Group on Coupled Modeling, which is responsible for CMIP, and we thank all the climate modeling groups for producing and making available their model output. We also thank the U.S. Department of Energy's Program for Climate Model Diagnosis and Intercomparison for providing coordinating support and leading development of software infrastructure in partnership with the Global Organization for Earth System Science Portals.</t>
  </si>
  <si>
    <t>1051-0761</t>
  </si>
  <si>
    <t>1939-5582</t>
  </si>
  <si>
    <t>ECOL APPL</t>
  </si>
  <si>
    <t>Ecol. Appl.</t>
  </si>
  <si>
    <t>SEP</t>
  </si>
  <si>
    <t>10.1002/eap.1755</t>
  </si>
  <si>
    <t>Ecology; Environmental Sciences</t>
  </si>
  <si>
    <t>GS3VZ</t>
  </si>
  <si>
    <t>Green Submitted</t>
  </si>
  <si>
    <t>WOS:000443555100001</t>
  </si>
  <si>
    <t>Easterday, K; Mclntyre, P; Kelly, M</t>
  </si>
  <si>
    <t>Easterday, Kelly; Mclntyre, Patrick; Kelly, Maggi</t>
  </si>
  <si>
    <t>Land ownership and 20th century changes to forest structure in California</t>
  </si>
  <si>
    <t>FOREST ECOLOGY AND MANAGEMENT</t>
  </si>
  <si>
    <t>Forest structure; Forest change; Land management; Land ownership; California; Vegetation Type Mapping (VTM)</t>
  </si>
  <si>
    <t>SPATIAL-PATTERNS; CONIFER FORESTS; CLIMATE-CHANGE; SIERRA-NEVADA; DECLINE; SHIFTS; ECOSYSTEMS; TREES</t>
  </si>
  <si>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</si>
  <si>
    <t>[Easterday, Kelly; Kelly, Maggi] Univ Calif Berkeley, Dept Environm Sci Policy &amp; Management, 134 Mulford Hall 3114, Berkeley, CA 94720 USA; [Mclntyre, Patrick] Western North Amer Nat Serve, 1680 38th St,Suite 120, Boulder, CO 80301 USA; [Kelly, Maggi] Univ Calif, Div Agr &amp; Nat Resources UC ANR, Oakland, CA USA</t>
  </si>
  <si>
    <t>University of California System; University of California Berkeley; University of California System; University of California Berkeley</t>
  </si>
  <si>
    <t>Kelly, M (corresponding author), Univ Calif Berkeley, Dept Environm Sci Policy &amp; Management, 134 Mulford Hall 3114, Berkeley, CA 94720 USA.</t>
  </si>
  <si>
    <t>Patrick_McIntyre@NatureServe.org; maggi@berkeley.edu</t>
  </si>
  <si>
    <t>McIntyre, Patrick/0000-0002-7800-6416; Easterday, Kelly/0000-0002-1678-0975</t>
  </si>
  <si>
    <t>Bancroft Library fellowship; Institute for the Study of Ecological and Evolutionary Climate Impacts (ISEECI) fellowship</t>
  </si>
  <si>
    <t>We would like to thank UC Berkeley's Geospatial Innovation Facility (GIF) for hosting the vtm.berkeley.edu website and providing access to the data. We thank A. Kelly and L Pitcher for providing early feedback on the manuscript. ICE was supported by The Bancroft Library fellowship and The Institute for the Study of Ecological and Evolutionary Climate Impacts (ISEECI) fellowship.</t>
  </si>
  <si>
    <t>ELSEVIER</t>
  </si>
  <si>
    <t>AMSTERDAM</t>
  </si>
  <si>
    <t>RADARWEG 29, 1043 NX AMSTERDAM, NETHERLANDS</t>
  </si>
  <si>
    <t>0378-1127</t>
  </si>
  <si>
    <t>1872-7042</t>
  </si>
  <si>
    <t>FOREST ECOL MANAG</t>
  </si>
  <si>
    <t>For. Ecol. Manage.</t>
  </si>
  <si>
    <t>AUG 15</t>
  </si>
  <si>
    <t>10.1016/j.foreco.2018.04.012</t>
  </si>
  <si>
    <t>GH7SO</t>
  </si>
  <si>
    <t>Green Published, hybrid</t>
  </si>
  <si>
    <t>WOS:000433653900015</t>
  </si>
  <si>
    <t>Cowburn, B; Samoilys, MA; Obura, D</t>
  </si>
  <si>
    <t>Cowburn, B.; Samoilys, M. A.; Obura, D.</t>
  </si>
  <si>
    <t>The current status of coral reefs and their vulnerability to climate change and multiple human stresses in the Comoros Archipelago, Western Indian Ocean</t>
  </si>
  <si>
    <t>MARINE POLLUTION BULLETIN</t>
  </si>
  <si>
    <t>Climate change; Coral bleaching; Resilience; Artisanal fisheries; Pollution</t>
  </si>
  <si>
    <t>BASE-LINES; RESILIENCE; FISHERIES; IMPACTS; WORLDS; COMMUNITIES; MANAGEMENT; TRENDS; FUTURE</t>
  </si>
  <si>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</si>
  <si>
    <t>[Cowburn, B.; Samoilys, M. A.; Obura, D.] CORDIO East Africa, 9 Kibaki Flats,POB 10135, Mombasa 80101, Kenya; [Samoilys, M. A.] Univ Oxford, Dept Zool, Oxford OX2 6GG, England</t>
  </si>
  <si>
    <t>University of Oxford</t>
  </si>
  <si>
    <t>Samoilys, MA (corresponding author), CORDIO East Africa, 9 Kibaki Flats,POB 10135, Mombasa 80101, Kenya.;Samoilys, MA (corresponding author), Univ Oxford, Dept Zool, Oxford OX2 6GG, England.</t>
  </si>
  <si>
    <t>msamoilys@cordioea.net</t>
  </si>
  <si>
    <t>WWF Madagascar; Dresy Lovasoa and Harisoa Rakotondrazafy; Western Indian Ocean Marine Science Association grant (WIOMSA) [MASMA/OR/2008/05]; Pervoli Trust fellowship</t>
  </si>
  <si>
    <t>WWF Madagascar; Dresy Lovasoa and Harisoa Rakotondrazafy; Western Indian Ocean Marine Science Association grant (WIOMSA); Pervoli Trust fellowship</t>
  </si>
  <si>
    <t>This study was made possible by funding and logistical support provided by WWF Madagascar and in particular we would like to acknowledge the support provided by Dresy Lovasoa and Harisoa Rakotondrazafy for the work conducted in 2016. The surveys in 2010 were funded through a Western Indian Ocean Marine Science Association grant (WIOMSA:MASMA/OR/2008/05) to CORDIO East Africa. M.S. was supported by a Pervoli Trust fellowship. We appreciate the logistical support provided by the staff at Parc National de Moheli and Laka Lodge for completing our fieldwork. Finally, we would like to thank Juliet Furaha, Peter Musembi, Daniel Davis and Philippe Robert for their assistance in data collection in 2016.</t>
  </si>
  <si>
    <t>PERGAMON-ELSEVIER SCIENCE LTD</t>
  </si>
  <si>
    <t>OXFORD</t>
  </si>
  <si>
    <t>THE BOULEVARD, LANGFORD LANE, KIDLINGTON, OXFORD OX5 1GB, ENGLAND</t>
  </si>
  <si>
    <t>0025-326X</t>
  </si>
  <si>
    <t>1879-3363</t>
  </si>
  <si>
    <t>MAR POLLUT BULL</t>
  </si>
  <si>
    <t>Mar. Pollut. Bull.</t>
  </si>
  <si>
    <t>AUG</t>
  </si>
  <si>
    <t>10.1016/j.marpolbul.2018.04.065</t>
  </si>
  <si>
    <t>GQ6RU</t>
  </si>
  <si>
    <t>WOS:000441853600107</t>
  </si>
  <si>
    <t>Muthukrishnan, R; Fong, P</t>
  </si>
  <si>
    <t>Muthukrishnan, Ranjan; Fong, Peggy</t>
  </si>
  <si>
    <t>Rapid recovery of a coral dominated Eastern Tropical Pacific reef after experimentally produced anthropogenic disturbance</t>
  </si>
  <si>
    <t>MARINE ENVIRONMENTAL RESEARCH</t>
  </si>
  <si>
    <t>Coral reef; Anthropogenic disturbance; Multiple stressors; Recovery</t>
  </si>
  <si>
    <t>ALTERNATE STABLE STATES; PHASE-SHIFTS; KANEOHE BAY; MACROALGAL DOMINANCE; COMMUNITY STRUCTURE; CLIMATE-CHANGE; RESILIENCE; HERBIVORY; SEDIMENTS; NUTRIENT</t>
  </si>
  <si>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</si>
  <si>
    <t>[Muthukrishnan, Ranjan; Fong, Peggy] Univ Calif Los Angeles, Dept Ecol &amp; Evolutionary Biol, Los Angeles, CA 90095 USA; [Muthukrishnan, Ranjan] Univ Minnesota, Dept Fisheries Wildlife &amp; Conservat Biol, St Paul, MN 55108 USA</t>
  </si>
  <si>
    <t>University of California System; University of California Los Angeles; University of Minnesota System; University of Minnesota Twin Cities</t>
  </si>
  <si>
    <t>Muthukrishnan, R (corresponding author), Univ Calif Los Angeles, Dept Ecol &amp; Evolutionary Biol, Los Angeles, CA 90095 USA.</t>
  </si>
  <si>
    <t>mrunj@umn.edu</t>
  </si>
  <si>
    <t>Muthukrishnan, Ranjan/0000-0002-7001-6249</t>
  </si>
  <si>
    <t>NSF Graduate Research Fellowship; UCLA Graduate Division fellowships; NSF [OCE-0002317]</t>
  </si>
  <si>
    <t>NSF Graduate Research Fellowship(National Science Foundation (NSF)); UCLA Graduate Division fellowships; NSF(National Science Foundation (NSF))</t>
  </si>
  <si>
    <t>We thank B. Fodor, J. Shannon, and S. Hogan, S. Kappus, L. Toth, I. Enochs and V. Brandtneris for assistance in the field and J. Mate, E. Ochoa and the Smithsonian Tropical Research Institute for logistical support in Panama. This work was supported by an NSF Graduate Research Fellowship and UCLA Graduate Division fellowships to RM and NSF grant OCE-0002317 to PF and P. Glynn.</t>
  </si>
  <si>
    <t>ELSEVIER SCI LTD</t>
  </si>
  <si>
    <t>London</t>
  </si>
  <si>
    <t>125 London Wall, London, ENGLAND</t>
  </si>
  <si>
    <t>0141-1136</t>
  </si>
  <si>
    <t>1879-0291</t>
  </si>
  <si>
    <t>MAR ENVIRON RES</t>
  </si>
  <si>
    <t>Mar. Environ. Res.</t>
  </si>
  <si>
    <t>10.1016/j.marenvres.2018.05.008</t>
  </si>
  <si>
    <t>Environmental Sciences; Marine &amp; Freshwater Biology; Toxicology</t>
  </si>
  <si>
    <t>Environmental Sciences &amp; Ecology; Marine &amp; Freshwater Biology; Toxicology</t>
  </si>
  <si>
    <t>GL1ZA</t>
  </si>
  <si>
    <t>WOS:000436911600009</t>
  </si>
  <si>
    <t>Grahmann, ED; Fulbright, TE; Hernández, F; Hehman, MW; Wester, DB; Ortega-Santos, A; Martin, BA</t>
  </si>
  <si>
    <t>Grahmann, Eric D.; Fulbright, Timothy E.; Hernandez, Fidel; Hehman, Michael W.; Wester, David B.; Ortega-Santos, Alfonso; Martin, Blake A.</t>
  </si>
  <si>
    <t>Demographic and Density Response of Northern Bobwhites to Pyric Herbivory of Non-Native Grasslands</t>
  </si>
  <si>
    <t>RANGELAND ECOLOGY &amp; MANAGEMENT</t>
  </si>
  <si>
    <t>buffelgrass; Colinus virginianus; grazing; Northern bobwhite; patch burning; pyric herbivory</t>
  </si>
  <si>
    <t>PATCH-BURN MANAGEMENT; SOUTH TEXAS; TALLGRASS PRAIRIE; HABITAT MANAGEMENT; COMMUNITY RESPONSE; BREEDING BIRDS; BUFFEL GRASS; FIRE; RANGELAND; HETEROGENEITY</t>
  </si>
  <si>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</si>
  <si>
    <t>[Grahmann, Eric D.; Fulbright, Timothy E.; Hernandez, Fidel; Wester, David B.; Ortega-Santos, Alfonso] Texas A&amp;M Univ, Dept Anim &amp; Wildlife Sci, Caesar Kleberg Wildlife Res Inst, 700 Univ Blvd, Kingsville, TX 78363 USA; [Hehman, Michael W.; Martin, Blake A.] Hixon Ranch, Cotulla, TX 78014 USA</t>
  </si>
  <si>
    <t>Texas A&amp;M University System; Texas A&amp;M University Kingsville</t>
  </si>
  <si>
    <t>Grahmann, ED (corresponding author), Texas A&amp;M Univ, Dept Anim &amp; Wildlife Sci, Caesar Kleberg Wildlife Res Inst, 700 Univ Blvd, Kingsville, TX 78363 USA.</t>
  </si>
  <si>
    <t>eric.grahmann@tamuk.edu</t>
  </si>
  <si>
    <t>South Texas Charity Weekend; Houston Livestock Show and Rodeo; South Texas Chapter of Quail Coalition; Harvey Weil Sportsman Foundation; Arthur Seeligson Conservation Fund; Texas A&amp;M University-Kingsville Presidential Scholars Program; Meadows Endowed Professorship in Semiarid Land Ecology</t>
  </si>
  <si>
    <t>We would like to thank the Hixon family for their generous in kind support and use of their ranch. Other funding was provided by South Texas Charity Weekend, the Houston Livestock Show and Rodeo, South Texas Chapter of Quail Coalition, the Harvey Weil Sportsman Foundation, Arthur Seeligson Conservation Fund, the Texas A&amp;M University-Kingsville Presidential Scholars Program, Mr. Rene Barrientos, and the Meadows Endowed Professorship in Semiarid Land Ecology.</t>
  </si>
  <si>
    <t>SOC RANGE MANAGEMENT</t>
  </si>
  <si>
    <t>LAKEWOOD</t>
  </si>
  <si>
    <t>445 UNION BLVD, STE 230, LAKEWOOD, CO 80228-1259 USA</t>
  </si>
  <si>
    <t>1550-7424</t>
  </si>
  <si>
    <t>1551-5028</t>
  </si>
  <si>
    <t>RANGELAND ECOL MANAG</t>
  </si>
  <si>
    <t>Rangel. Ecol. Manag.</t>
  </si>
  <si>
    <t>JUL</t>
  </si>
  <si>
    <t>10.1016/j.rama.2018.02.008</t>
  </si>
  <si>
    <t>GJ6GA</t>
  </si>
  <si>
    <t>WOS:000435480900008</t>
  </si>
  <si>
    <t>Lindenmayer, DB; McBurney, L; Blair, D; Wood, J; Banks, SC</t>
  </si>
  <si>
    <t>Lindenmayer, David B.; McBurney, Lachlan; Blair, David; Wood, Jeff; Banks, Sam C.</t>
  </si>
  <si>
    <t>From unburnt to salvage logged: Quantifying bird responses to different levels of disturbance severity</t>
  </si>
  <si>
    <t>JOURNAL OF APPLIED ECOLOGY</t>
  </si>
  <si>
    <t>mountain ash; salvage logging; variable retention harvesting</t>
  </si>
  <si>
    <t>RETENTION FORESTRY; CENTRAL HIGHLANDS; CLIMATE-CHANGE; FIRE; BIODIVERSITY; WILDFIRE; VICTORIA; IMPACTS; CAPACITY</t>
  </si>
  <si>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</si>
  <si>
    <t>[Lindenmayer, David B.; McBurney, Lachlan; Blair, David; Wood, Jeff; Banks, Sam C.] Australian Natl Univ, Fenner Sch Environm &amp; Soc, Canberra, ACT, Australia; [Lindenmayer, David B.; McBurney, Lachlan; Blair, David; Wood, Jeff; Banks, Sam C.] Australian Natl Univ, Fenner Sch Environm &amp; Soc, Long Term Ecol Res Network, Canberra, ACT, Australia</t>
  </si>
  <si>
    <t>Australian National University; Australian National University</t>
  </si>
  <si>
    <t>Lindenmayer, DB (corresponding author), Australian Natl Univ, Fenner Sch Environm &amp; Soc, Canberra, ACT, Australia.;Lindenmayer, DB (corresponding author), Australian Natl Univ, Fenner Sch Environm &amp; Soc, Long Term Ecol Res Network, Canberra, ACT, Australia.</t>
  </si>
  <si>
    <t>david.lindenmayer@anu.edu.au.au</t>
  </si>
  <si>
    <t>Lindenmayer, David/P-7183-2017; Lindenmayer, David B/P-7183-2017; Banks, Sam/K-4907-2012</t>
  </si>
  <si>
    <t>Lindenmayer, David B/0000-0002-4766-4088; Banks, Sam/0000-0003-2415-0057</t>
  </si>
  <si>
    <t>Australian Research Council [DP1097170]; Parks Victoria; Victorian Department of Environment, Land, Water and Planning; Australian Research Council [DP1097170] Funding Source: Australian Research Council</t>
  </si>
  <si>
    <t>Australian Research Council(Australian Research Council); Parks Victoria; Victorian Department of Environment, Land, Water and Planning; Australian Research Council(Australian Research Council)</t>
  </si>
  <si>
    <t>Australian Research Council, Grant/Award Number: DP1097170; Parks Victoria; Victorian Department of Environment, Land, Water and Planning</t>
  </si>
  <si>
    <t>0021-8901</t>
  </si>
  <si>
    <t>1365-2664</t>
  </si>
  <si>
    <t>J APPL ECOL</t>
  </si>
  <si>
    <t>J. Appl. Ecol.</t>
  </si>
  <si>
    <t>10.1111/1365-2664.13137</t>
  </si>
  <si>
    <t>Biodiversity Conservation; Ecology</t>
  </si>
  <si>
    <t>GJ0UP</t>
  </si>
  <si>
    <t>WOS:000434970200007</t>
  </si>
  <si>
    <t>Turubanova, S; Potapov, PV; Tyukavina, A; Hansen, MC</t>
  </si>
  <si>
    <t>Turubanova, Svetlana; Potapov, Peter V.; Tyukavina, Alexandra; Hansen, Matthew C.</t>
  </si>
  <si>
    <t>Ongoing primary forest loss in Brazil, Democratic Republic of the Congo, and Indonesia</t>
  </si>
  <si>
    <t>ENVIRONMENTAL RESEARCH LETTERS</t>
  </si>
  <si>
    <t>deforestation; primary forest; remote sensing</t>
  </si>
  <si>
    <t>ESTIMATING AREA; COVER LOSS; DEFORESTATION; BIODIVERSITY; EMISSIONS; ACCURACY; CARBON; INTACT; TRENDS</t>
  </si>
  <si>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</si>
  <si>
    <t>[Turubanova, Svetlana; Potapov, Peter V.; Tyukavina, Alexandra; Hansen, Matthew C.] Univ Maryland, College Pk, MD 20742 USA</t>
  </si>
  <si>
    <t>University System of Maryland; University of Maryland College Park</t>
  </si>
  <si>
    <t>Hansen, MC (corresponding author), Univ Maryland, College Pk, MD 20742 USA.</t>
  </si>
  <si>
    <t>mhansen@umd.edu</t>
  </si>
  <si>
    <t>Potapov, Peter/AAE-7388-2019; Tyukavina, Alexandra/AGW-0785-2022; Hansen, Matthew/ABE-7226-2020</t>
  </si>
  <si>
    <t>Potapov, Peter/0000-0003-3977-0021; Tyukavina, Alexana/0000-0003-3872-9844</t>
  </si>
  <si>
    <t>IOP Publishing Ltd</t>
  </si>
  <si>
    <t>BRISTOL</t>
  </si>
  <si>
    <t>TEMPLE CIRCUS, TEMPLE WAY, BRISTOL BS1 6BE, ENGLAND</t>
  </si>
  <si>
    <t>1748-9326</t>
  </si>
  <si>
    <t>ENVIRON RES LETT</t>
  </si>
  <si>
    <t>Environ. Res. Lett.</t>
  </si>
  <si>
    <t>10.1088/1748-9326/aacd1c</t>
  </si>
  <si>
    <t>Environmental Sciences; Meteorology &amp; Atmospheric Sciences</t>
  </si>
  <si>
    <t>Environmental Sciences &amp; Ecology; Meteorology &amp; Atmospheric Sciences</t>
  </si>
  <si>
    <t>GN0NL</t>
  </si>
  <si>
    <t>gold</t>
  </si>
  <si>
    <t>WOS:000438666900001</t>
  </si>
  <si>
    <t>Zhang, C; Ding, LY; Ding, CZ; Chen, LQ; Sun, J; Jiang, XM</t>
  </si>
  <si>
    <t>Zhang, Chao; Ding, Liuyong; Ding, Chengzhi; Chen, Liqiang; Sun, Jie; Jiang, Xiaoming</t>
  </si>
  <si>
    <t>Responses of species and phylogenetic diversity of fish communities in the Lancang River to hydropower development and exotic invasions</t>
  </si>
  <si>
    <t>ECOLOGICAL INDICATORS</t>
  </si>
  <si>
    <t>Fish assemblages; Hydropower development; Exotic invasion; Species diversity; Phylogenetic diversity</t>
  </si>
  <si>
    <t>TAXONOMIC DISTINCTNESS INDEXES; MEKONG RIVER; HABITAT FRAGMENTATION; WATER TEMPERATURE; NILE TILAPIA; BIODIVERSITY; HOMOGENIZATION; EXTINCTION; INTRODUCTIONS; ASSEMBLAGES</t>
  </si>
  <si>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</si>
  <si>
    <t>[Zhang, Chao; Ding, Liuyong; Ding, Chengzhi; Chen, Liqiang; Sun, Jie] Yunnan Univ, Yunnan Key Lab Int Rivers &amp; Transboundary Ecosecu, Kunming 650091, Yunnan, Peoples R China; [Zhang, Chao; Ding, Liuyong; Ding, Chengzhi; Chen, Liqiang; Sun, Jie] Yunnan Univ, Inst Int Rivers &amp; Ecosecur, Kunming 650091, Yunnan, Peoples R China; [Jiang, Xiaoming] Xian Univ Technol, State Key Lab Ecohydraul Northwest Arid Reg China, Xian 710048, Shaanxi, Peoples R China</t>
  </si>
  <si>
    <t>Yunnan University; Yunnan University; Xi'an University of Technology</t>
  </si>
  <si>
    <t>Ding, CZ (corresponding author), Yunnan Univ, Yunnan Key Lab Int Rivers &amp; Transboundary Ecosecu, Kunming 650091, Yunnan, Peoples R China.;Ding, CZ (corresponding author), Yunnan Univ, Inst Int Rivers &amp; Ecosecur, Kunming 650091, Yunnan, Peoples R China.;Jiang, XM (corresponding author), Xian Univ Technol, State Key Lab Ecohydraul Northwest Arid Reg China, Xian 710048, Shaanxi, Peoples R China.</t>
  </si>
  <si>
    <t>chzhding@ynu.edu.cn; jxm123.83@163.com</t>
  </si>
  <si>
    <t>Chen, Liqiang/0000-0001-5430-4585; Ding, Chengzhi/0000-0001-5215-7374; Ding, Liuyong/0000-0002-5490-182X</t>
  </si>
  <si>
    <t>National Key Research and Development Program of China [2016YFA0601601]; National Natural Science Foundation of China [41501574, 31770460]; Yunnan Applied Basic Research Projects [2016FB079]; project Balancing River Health and Hydropower Requirements in LCR Basin; CGIAR Fund</t>
  </si>
  <si>
    <t>National Key Research and Development Program of China(National Key Research &amp; Development Program of China); National Natural Science Foundation of China(National Natural Science Foundation of China (NSFC)); Yunnan Applied Basic Research Projects; project Balancing River Health and Hydropower Requirements in LCR Basin; CGIAR Fund(CGIAR)</t>
  </si>
  <si>
    <t>The authors wish to thank Dr. Chunlong Liu for helpful comments and suggestions on the manuscript. We appreciated the journal editors and three anonymous reviewers for their valuable comments and suggestions. This study was financially supported by the National Key Research and Development Program of China (2016YFA0601601), the National Natural Science Foundation of China (grants 41501574, 31770460) and the Yunnan Applied Basic Research Projects (2016FB079), the project Balancing River Health and Hydropower Requirements in the LCR Basin, which is a part of the CGIAR Research Program on Water, Land and Ecosystem (WLE) and supported by CGIAR Fund Donors.</t>
  </si>
  <si>
    <t>1470-160X</t>
  </si>
  <si>
    <t>1872-7034</t>
  </si>
  <si>
    <t>ECOL INDIC</t>
  </si>
  <si>
    <t>Ecol. Indic.</t>
  </si>
  <si>
    <t>10.1016/j.ecolind.2018.03.004</t>
  </si>
  <si>
    <t>Biodiversity Conservation; Environmental Sciences</t>
  </si>
  <si>
    <t>GO7QL</t>
  </si>
  <si>
    <t>WOS:000440266100029</t>
  </si>
  <si>
    <t>Rappaport, DI; Morton, DC; Longo, M; Keller, M; Dubayah, R; dos-Santos, MN</t>
  </si>
  <si>
    <t>Rappaport, Danielle I.; Morton, Douglas C.; Longo, Marcos; Keller, Michael; Dubayah, Ralph; dos-Santos, Maiza Nara</t>
  </si>
  <si>
    <t>Quantifying long-term changes in carbon stocks and forest structure from Amazon forest degradation</t>
  </si>
  <si>
    <t>aboveground biomass; forest structure; habitat; understory fires; carbon cycling; airborne lidar; REDD</t>
  </si>
  <si>
    <t>TREE MORTALITY; LAND-USE; ABOVEGROUND BIOMASS; TROPICAL FORESTS; BRAZILIAN AMAZON; FIRE; DROUGHT; SUSCEPTIBILITY; PROJECTIONS; INCREASES</t>
  </si>
  <si>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</si>
  <si>
    <t>[Rappaport, Danielle I.; Dubayah, Ralph] Univ Maryland, Dept Geog Sci, College Pk, MD 20742 USA; [Morton, Douglas C.] NASA, Goddard Space Flight Ctr, Greenbelt, MD USA; [Longo, Marcos; Keller, Michael; dos-Santos, Maiza Nara] Brazilian Agr Res Corp EMBRAPA, Embrapa Agr Informat, Campinas, SP, Brazil; [Longo, Marcos; Keller, Michael] CALTECH, NASA, Jet Prop Lab, Pasadena, CA 91125 USA; [Keller, Michael] US Forest Serv, USDA, Int Inst Trop Forestry, San Juan, PR USA</t>
  </si>
  <si>
    <t>University System of Maryland; University of Maryland College Park; National Aeronautics &amp; Space Administration (NASA); NASA Goddard Space Flight Center; Empresa Brasileira de Pesquisa Agropecuaria (EMBRAPA); California Institute of Technology; National Aeronautics &amp; Space Administration (NASA); NASA Jet Propulsion Laboratory (JPL); United States Department of Agriculture (USDA); United States Forest Service</t>
  </si>
  <si>
    <t>Rappaport, DI (corresponding author), Univ Maryland, Dept Geog Sci, College Pk, MD 20742 USA.</t>
  </si>
  <si>
    <t>drappap@umd.edu</t>
  </si>
  <si>
    <t>; Keller, Michael/A-8976-2012; Morton, Douglas/D-5044-2012; Longo, Marcos/F-5033-2014</t>
  </si>
  <si>
    <t>Rappaport, Danielle/0000-0001-9122-9684; Keller, Michael/0000-0002-0253-3359; dos-Santos, Maiza/0000-0003-2720-2393; Longo, Marcos/0000-0001-5062-6245</t>
  </si>
  <si>
    <t>National Science Foundation Doctoral Dissertation Research Improvement Grant [1634168]; NASA Earth and Space Science Fellowship; NASA's Carbon Monitoring System program; Brazilian National Council for Scientific and Technological Development (CNPq) [457927/2013-5]; Sao Paulo State Research Foundation (FAPESP) [2015/07227-6]; Next Generation Ecosystem Experiments-Tropics - US Department of Energy, Office of Science, Office of Biological and Environmental Research; Science Without Borders program; Sustainable Landscapes Brazil project; Brazilian Agricultural ResearchCorporation (EMBRAPA); US Forest Service, USAID; US Department of State; Direct For Social, Behav &amp; Economic Scie; Division Of Behavioral and Cognitive Sci [1634168] Funding Source: National Science Foundation</t>
  </si>
  <si>
    <t>National Science Foundation Doctoral Dissertation Research Improvement Grant; NASA Earth and Space Science Fellowship; NASA's Carbon Monitoring System program; Brazilian National Council for Scientific and Technological Development (CNPq)(Conselho Nacional de Desenvolvimento Cientifico e Tecnologico (CNPQ)); Sao Paulo State Research Foundation (FAPESP)(Fundacao de Amparo a Pesquisa do Estado de Sao Paulo (FAPESP)); Next Generation Ecosystem Experiments-Tropics - US Department of Energy, Office of Science, Office of Biological and Environmental Research(United States Department of Energy (DOE)); Science Without Borders program; Sustainable Landscapes Brazil project; Brazilian Agricultural ResearchCorporation (EMBRAPA)(Empresa Brasileira de Pesquisa Agropecuaria (EMBRAPA)); US Forest Service, USAID(United States Agency for International Development (USAID)); US Department of State; Direct For Social, Behav &amp; Economic Scie; Division Of Behavioral and Cognitive Sci(National Science Foundation (NSF)NSF - Directorate for Social, Behavioral &amp; Economic Sciences (SBE))</t>
  </si>
  <si>
    <t>This work was partially supported by a National Science Foundation Doctoral Dissertation Research Improvement Grant (grant 1634168), a NASA Earth and Space Science Fellowship (D Rappaport), and NASA's Carbon Monitoring System program. Additional support was provided by the Brazilian National Council for Scientific and Technological Development (CNPq, grant 457927/2013-5) and Science Without Borders program (D Morton), and the Sao Paulo State Research Foundation (FAPESP, grant 2015/07227-6, M Longo). M Keller was supported as part of the Next Generation Ecosystem Experiments-Tropics, funded by the US Department of Energy, Office of Science, Office of Biological and Environmental Research. Support for data acquisition and M.N. dos-Santos was provided by the Sustainable Landscapes Brazil project, a collaboration of the Brazilian Agricultural ResearchCorporation (EMBRAPA), the US Forest Service, USAID, and the US Department of State. We gratefully acknowledge the assistance from Hyeungu Choi with lidar data processing.</t>
  </si>
  <si>
    <t>JUN</t>
  </si>
  <si>
    <t>10.1088/1748-9326/aac331</t>
  </si>
  <si>
    <t>GI9AZ</t>
  </si>
  <si>
    <t>WOS:000434818600001</t>
  </si>
  <si>
    <t>Brown, MI; Pearce, T; Leon, J; Sidle, R; Wilson, R</t>
  </si>
  <si>
    <t>Brown, Matthew I.; Pearce, Tristan; Leon, Javier; Sidle, Roy; Wilson, Rachele</t>
  </si>
  <si>
    <t>Using remote sensing and traditional ecological knowledge (TEK) to understand mangrove change on the Maroochy River, Queensland, Australia</t>
  </si>
  <si>
    <t>APPLIED GEOGRAPHY</t>
  </si>
  <si>
    <t>Ecosystem services; Traditional owners; Indigenous knowledge; Kabi Kabi; Gubbi Gubbi; Participatory mapping; Knowledge system</t>
  </si>
  <si>
    <t>DIFFERENCE WATER INDEX; SEA-LEVEL RISE; CLIMATE-CHANGE; ECOSYSTEM SERVICES; IMAGE-ANALYSIS; COVER CHANGES; FORESTS; ADAPTATION; COMMUNITY; FISHES</t>
  </si>
  <si>
    <t>Mangrove forests support a variety of ecosystem functions and services imperative for ecosystem health. Despite the importance of mangroves, however, mangrove forests worldwide are under threat from human development and climate change. To date, most research on mangrove change in Australia has drawn on approximately 40 years of remotely sensed imagery, a fraction of the time period required to assess spatial change. To improve our understanding of mangrove change, data were collected using historic and current remotely sensed satellite imagery and participatory mapping with Kabi Kabi Traditional Owners to assess mangrove change on the Maroochy River, Queensland, Australia. The results indicate that mangrove extent in the lower Maroochy River has changed significantly since European colonisation in the mid to late 1800s, and declined in recent decades by approximately 30%, a rate similar to global estimates of mangrove loss. Past drivers of change included land clearing for cattle grazing and sugar cane production, and present drivers include agricultural activities, population growth, rapid urbanisation and discharge of pollutants and sewage. These changes have consequences for coastal protection, water purification, biodiversity and cultural services. This research demonstrates how using traditional ecological knowledge (TEK) and remote sensing for understanding ecosystem change, particularly where scientific data are limited, can increase the time period during which change is assessed and enhance the detail and scope of the assessment.</t>
  </si>
  <si>
    <t>[Brown, Matthew I.; Pearce, Tristan; Leon, Javier; Sidle, Roy; Wilson, Rachele] Univ Sunshine Coast, Sustainabil Res Ctr, 90 Sippy Downs Dr, Sippy Downs, Qld 4558, Australia; [Brown, Matthew I.; Leon, Javier; Wilson, Rachele] Univ Sunshine Coast, Sch Sci &amp; Engn, 90 Sippy Downs Dr, Sippy Downs, Qld 4558, Australia; [Pearce, Tristan] Univ Guelph, Dept Geog, 50 Stone Rd East, Guelph, ON N1G 2W1, Canada</t>
  </si>
  <si>
    <t>University of the Sunshine Coast; University of the Sunshine Coast; University of Guelph</t>
  </si>
  <si>
    <t>Pearce, T (corresponding author), Univ Sunshine Coast, Sustainabil Res Ctr, 90 Sippy Downs Dr, Sippy Downs, Qld 4558, Australia.</t>
  </si>
  <si>
    <t>matthew.jm.brown@gmail.com; tpearce@usc.edu.au; jleon@usc.edu.au; rsidle@usc.edu.au; rwilson2@usc.edu.au</t>
  </si>
  <si>
    <t>Leon, Javier/J-3971-2012; Pearce, Tristan/L-9139-2019; Wilson, Rachele/GWU-7198-2022; Leon, Javier/J-3971-2012; Sidle, Roy/I-8616-2017</t>
  </si>
  <si>
    <t>Leon, Javier/0000-0002-4201-5804; Wilson, Rachele/0000-0002-2567-3151; Leon, Javier/0000-0002-4201-5804;</t>
  </si>
  <si>
    <t>University of the Sunshine Coast Faculty of Science, Health, Education and Engineering; USC Vice Chancellor Research Award</t>
  </si>
  <si>
    <t>We acknowledge the Kabi Kabi peoples, and their Elders both past and present, who are the Traditional Owners and custodians of the Country on which this research was conducted. We thank the members and friends of Bunya Bunya Country Aboriginal Corporation (BBCAC) for generously contributing to this research, the participants who shared their knowledge and advice throughout the duration of this project. We would particularly like to thank Kerry Jones, Sean Fleischfresser, Rodney Jones, Arnold Jones and Genevieve Jones for their intellectual contributions. The research was funded by the University of the Sunshine Coast Faculty of Science, Health, Education and Engineering and a USC Vice Chancellor Research Award. Thank you Nearmap for the images used in this research and the Digital Globe Foundation for supplying QuickBird satellite imagery.</t>
  </si>
  <si>
    <t>THE BOULEVARD, LANGFORD LANE, KIDLINGTON, OXFORD OX5 1GB, OXON, ENGLAND</t>
  </si>
  <si>
    <t>0143-6228</t>
  </si>
  <si>
    <t>1873-7730</t>
  </si>
  <si>
    <t>APPL GEOGR</t>
  </si>
  <si>
    <t>Appl. Geogr.</t>
  </si>
  <si>
    <t>MAY</t>
  </si>
  <si>
    <t>10.1016/j.apgeog.2018.03.006</t>
  </si>
  <si>
    <t>Geography</t>
  </si>
  <si>
    <t>Social Science Citation Index (SSCI)</t>
  </si>
  <si>
    <t>GF8PC</t>
  </si>
  <si>
    <t>WOS:000432233800006</t>
  </si>
  <si>
    <t>Lindegren, M; Van Deurs, M; MacKenzie, BR; Clausen, LW; Christensen, A; Rindorf, A</t>
  </si>
  <si>
    <t>Lindegren, Martin; Van Deurs, Mikael; MacKenzie, Brian R.; Clausen, Lotte Worsoe; Christensen, Asbjorn; Rindorf, Anna</t>
  </si>
  <si>
    <t>Productivity and recovery of forage fish under climate change and fishing: North Sea sandeel as a case study</t>
  </si>
  <si>
    <t>FISHERIES OCEANOGRAPHY</t>
  </si>
  <si>
    <t>climate change; fisheries management; modelling; population dynamics; recruitment</t>
  </si>
  <si>
    <t>AMMODYTES-MARINUS; POPULATION-DYNAMICS; LESSER SANDEEL; COPEPOD SIZE; REGIME SHIFT; ANCHOVY; ABUNDANCE; SARDINE; FLUCTUATIONS; RECRUITMENT</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</si>
  <si>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</si>
  <si>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[Lindegren, Martin] Tech Univ Denmark, Ctr Ocean Life, Natl Inst Aquat Resources, Lyngby, Denmark; [Lindegren, Martin; Van Deurs, Mikael; MacKenzie, Brian R.; Clausen, Lotte Worsoe; Christensen, Asbjorn; Rindorf, Anna] Tech Univ Denmark, Natl Inst Aquat Resources, Lyngby, Denmark; [Clausen, Lotte Worsoe] ICES Secretariat, Copenhagen, Denmark</t>
  </si>
  <si>
    <t>Technical University of Denmark; Technical University of Denmark</t>
  </si>
  <si>
    <t>Lindegren, M (corresponding author), Tech Univ Denmark, Ctr Ocean Life, Natl Inst Aquat Resources, Lyngby, Denmark.;Lindegren, M (corresponding author), Tech Univ Denmark, Natl Inst Aquat Resources, Lyngby, Denmark.</t>
  </si>
  <si>
    <t>mli@aqua.dtu.dk</t>
  </si>
  <si>
    <t>; MacKenzie, Brian/T-9379-2019; Christensen, Asbjørn/AAW-7042-2021; Rindorf, Anna/AAX-3463-2021; MacKenzie, Brian R/T-9379-2019</t>
  </si>
  <si>
    <t>Worsoe Clausen, Lotte/0000-0003-1503-6092; Rindorf, Anna/0000-0002-4290-3983; MacKenzie, Brian R/0000-0002-4798-0363; Christensen, Asbjørn/0000-0002-4286-7409; van Deurs, Mikael/0000-0003-2368-2502; Lindegren, Martin/0000-0002-9185-951X</t>
  </si>
  <si>
    <t>COFASP ERA-NET [321553]; European Fisheries and Maritime Fund [33113-B-15-002]; NERC [SAH01001, NE/I030062/1] Funding Source: UKRI; Natural Environment Research Council [NE/I030062/1, SAH01001] Funding Source: researchfish</t>
  </si>
  <si>
    <t>COFASP ERA-NET; European Fisheries and Maritime Fund; NERC(UK Research &amp; Innovation (UKRI)Natural Environment Research Council (NERC)); Natural Environment Research Council(UK Research &amp; Innovation (UKRI)Natural Environment Research Council (NERC))</t>
  </si>
  <si>
    <t>COFASP ERA-NET, Grant/Award Number: 321553; European Fisheries and Maritime Fund, Grant/Award Number: 33113-B-15-002</t>
  </si>
  <si>
    <t>1054-6006</t>
  </si>
  <si>
    <t>1365-2419</t>
  </si>
  <si>
    <t>FISH OCEANOGR</t>
  </si>
  <si>
    <t>Fish Oceanogr.</t>
  </si>
  <si>
    <t>10.1111/fog.12246</t>
  </si>
  <si>
    <t>Fisheries; Oceanography</t>
  </si>
  <si>
    <t>GA5UX</t>
  </si>
  <si>
    <t>WOS:000428400500003</t>
  </si>
  <si>
    <t>Helms, JA; Woerner, CR; Fawzi, N; MacDonald, A; Juliansyah; Pohnan, E; Webb, K</t>
  </si>
  <si>
    <t>Helms, Jackson A.; Woerner, Christopher R.; Fawzi, Nurul, I; MacDonald, Andrew; Juliansyah; Pohnan, Erica; Webb, Kinari</t>
  </si>
  <si>
    <t>Rapid Response of Bird Communities to Small-Scale Reforestation in Indonesian Borneo</t>
  </si>
  <si>
    <t>TROPICAL CONSERVATION SCIENCE</t>
  </si>
  <si>
    <t>biodiversity hotspots; deforestation; ecological succession; fire; Imperata cylindrica; restoration ecology; species-area relationship</t>
  </si>
  <si>
    <t>RAIN-FOREST; DEFORESTATION; AFFORESTATION; BIODIVERSITY; AREA</t>
  </si>
  <si>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</si>
  <si>
    <t>[Helms, Jackson A.] Michigan State Univ, WK Kellogg Biol Stn, 3700 E Gull Lake Dr, Hickory Corners, MI 49060 USA; [Helms, Jackson A.; Fawzi, Nurul, I; Juliansyah; Pohnan, Erica; Webb, Kinari] Alam Sehat Lestari, Sukadana, Kalimantan Bara, Indonesia; [MacDonald, Andrew] Univ Paul Sabatier, CNRS, Toulouse, France; [Webb, Kinari] Hlth Harmony, Portland, OR USA</t>
  </si>
  <si>
    <t>Michigan State University; Centre National de la Recherche Scientifique (CNRS); Universite de Toulouse; Universite Toulouse III - Paul Sabatier</t>
  </si>
  <si>
    <t>Helms, JA (corresponding author), Michigan State Univ, WK Kellogg Biol Stn, 3700 E Gull Lake Dr, Hickory Corners, MI 49060 USA.</t>
  </si>
  <si>
    <t>jacksonhelmsiv@gmail.com</t>
  </si>
  <si>
    <t>Helms, Jackson/J-5667-2019</t>
  </si>
  <si>
    <t>Health In Harmony; Arcus Foundation; Disney Conservation Fund; Ford Foundation; USAID; U.S. Fish and Wildlife Service; WWF</t>
  </si>
  <si>
    <t>Health In Harmony; Arcus Foundation; Disney Conservation Fund; Ford Foundation; USAID(United States Agency for International Development (USAID)); U.S. Fish and Wildlife Service(US Fish &amp; Wildlife Service); WWF</t>
  </si>
  <si>
    <t>The author(s) disclosed receipt of the following financial support for the research, authorship, and/or publication of this article: This project was conducted as part of a reforestation program by Yayasan Alam Sehat Lestari (ASRI), with financial assistance from Health In Harmony, the Arcus Foundation, Disney Conservation Fund, Ford Foundation, USAID, U.S. Fish and Wildlife Service, and WWF.</t>
  </si>
  <si>
    <t>SAGE PUBLICATIONS INC</t>
  </si>
  <si>
    <t>THOUSAND OAKS</t>
  </si>
  <si>
    <t>2455 TELLER RD, THOUSAND OAKS, CA 91320 USA</t>
  </si>
  <si>
    <t>1940-0829</t>
  </si>
  <si>
    <t>TROP CONSERV SCI</t>
  </si>
  <si>
    <t>Trop. Conserv. Sci.</t>
  </si>
  <si>
    <t>APR 18</t>
  </si>
  <si>
    <t>10.1177/1940082918769460</t>
  </si>
  <si>
    <t>Biodiversity Conservation</t>
  </si>
  <si>
    <t>Biodiversity &amp; Conservation</t>
  </si>
  <si>
    <t>GL8VZ</t>
  </si>
  <si>
    <t>WOS:000437507600001</t>
  </si>
  <si>
    <t>Duran, A; Shantz, AA; Burkepile, DE; Collado-Vides, L; Ferrer, VM; Palma, L; Ramos, A; González-Díaz, P</t>
  </si>
  <si>
    <t>Duran, A.; Shantz, A. A.; Burkepile, D. E.; Collado-Vides, L.; Ferrer, V. M.; Palma, L.; Ramos, A.; Gonzalez-Diaz, P.</t>
  </si>
  <si>
    <t>Fishing, pollution, climate change, and the long-term decline of coral reefs off Havana, Cuba</t>
  </si>
  <si>
    <t>BULLETIN OF MARINE SCIENCE</t>
  </si>
  <si>
    <t>GREAT-BARRIER-REEF; NUTRIENT ENRICHMENT; FLORIDA-KEYS; RECRUITMENT; MACROALGAE; ASSEMBLAGES; TEMPERATURE; VARIABILITY; SETTLEMENT; PATTERNS</t>
  </si>
  <si>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</si>
  <si>
    <t>[Duran, A.; Collado-Vides, L.; Palma, L.] Florida Int Univ, 11200 SW 8th St, Miami, FL 33199 USA; [Shantz, A. A.; Burkepile, D. E.] Univ Calif Santa Barbara, Dept Ecol Evolut &amp; Marine Biol, Santa Barbara, CA 93106 USA; [Burkepile, D. E.] Univ Calif Santa Barbara, Marine Sci Inst, Santa Barbara, CA 93106 USA; [Collado-Vides, L.] Florida Int Univ, Southeast Environm Res Ctr, 11200 SW 8th St, Miami, FL 33199 USA; [Ferrer, V. M.; Ramos, A.; Gonzalez-Diaz, P.] Univ Havana, Ctr Marine Res, 16th St,114,1st &amp; 3rd Ave, Havana, Cuba</t>
  </si>
  <si>
    <t>State University System of Florida; Florida International University; University of California System; University of California Santa Barbara; University of California System; University of California Santa Barbara; State University System of Florida; Florida International University; Universidad de la Habana</t>
  </si>
  <si>
    <t>Duran, A (corresponding author), Florida Int Univ, 11200 SW 8th St, Miami, FL 33199 USA.</t>
  </si>
  <si>
    <t>adurao23@fiu.edu</t>
  </si>
  <si>
    <t>; Shantz, Andrew/NNG-3451-2025; Duran, Alain/AAN-3190-2020; Burkepile, Deron/F-2368-2013</t>
  </si>
  <si>
    <t>Duran, Alain/0000-0002-7847-6426; Shantz, Anew/0000-0001-5641-8914; Collado Vides, Ligia/0000-0002-8842-8321; Burkepile, Deron/0000-0002-0427-0484</t>
  </si>
  <si>
    <t>Kimberly Green Latin American and Caribbean Center; International Center for Tropical Botany</t>
  </si>
  <si>
    <t>We thank the two Florida International University funding sources of this project: the Kimberly Green Latin American and Caribbean Center and the International Center for Tropical Botany. We also thank the faculty and staff of the Center for Marine Research from University of Havana, Cuba, especially the diving center led by I Rodriguez. In addition, we are grateful for the advice and data contribution of P Alcolado-Prieto and H Salvat. This is the contribution #75 from the Marine Education and Research Center in the Institute for Water and Environment at Florida International University.</t>
  </si>
  <si>
    <t>ROSENSTIEL SCH MAR ATMOS SCI</t>
  </si>
  <si>
    <t>MIAMI</t>
  </si>
  <si>
    <t>4600 RICKENBACKER CAUSEWAY, MIAMI, FL 33149 USA</t>
  </si>
  <si>
    <t>0007-4977</t>
  </si>
  <si>
    <t>1553-6955</t>
  </si>
  <si>
    <t>B MAR SCI</t>
  </si>
  <si>
    <t>Bull. Mar. Sci.</t>
  </si>
  <si>
    <t>APR</t>
  </si>
  <si>
    <t>10.5343/bms.2017.1061</t>
  </si>
  <si>
    <t>Marine &amp; Freshwater Biology; Oceanography</t>
  </si>
  <si>
    <t>GN4QO</t>
  </si>
  <si>
    <t>WOS:000439017000005</t>
  </si>
  <si>
    <t>Park, IW; Hooper, J; Flegal, JM; Jenerette, GD</t>
  </si>
  <si>
    <t>Park, Isaac W.; Hooper, Jennifer; Flegal, James M.; Jenerette, G. Darrel</t>
  </si>
  <si>
    <t>Impacts of climate, disturbance and topography on distribution of herbaceous cover in Southern California chaparral: Insights from a remote-sensing method</t>
  </si>
  <si>
    <t>DIVERSITY AND DISTRIBUTIONS</t>
  </si>
  <si>
    <t>Angeles National Forest; chaparral; invasion; normalized difference vegetation index; phenology; remote sensing</t>
  </si>
  <si>
    <t>LEAF-AREA INDEX; POSTFIRE RECOVERY; 4 DECADES; VEGETATION CONVERSION; SHORT-INTERVAL; UNITED-STATES; EXOTIC GRASS; FIRE; SHRUBLANDS; SUCCESSION</t>
  </si>
  <si>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</si>
  <si>
    <t>[Park, Isaac W.; Jenerette, G. Darrel] Univ Calif Riverside, Dept Bot &amp; Plant Sci, Riverside, CA 92521 USA; [Park, Isaac W.; Jenerette, G. Darrel] Univ Calif Riverside, Ctr Conservat Biol, Riverside, CA 92521 USA; [Hooper, Jennifer] US Forest Serv, USDA, Angeles Natl Forest, Arcadia, CA USA; [Flegal, James M.] Univ Calif Riverside, Dept Stat, Riverside, CA 92521 USA</t>
  </si>
  <si>
    <t>University of California System; University of California Riverside; University of California System; University of California Riverside; United States Department of Agriculture (USDA); United States Forest Service; University of California System; University of California Riverside</t>
  </si>
  <si>
    <t>Park, IW (corresponding author), Univ Calif Riverside, Dept Bot &amp; Plant Sci, Riverside, CA 92521 USA.</t>
  </si>
  <si>
    <t>park@lifesci.ucsb.edu</t>
  </si>
  <si>
    <t>; Flegal, James/ABD-5545-2020</t>
  </si>
  <si>
    <t>Flegal, James/0000-0002-9960-8942; Jenerette, G Darrel/0000-0003-2387-7537; Park, Isaac/0000-0001-5539-1641</t>
  </si>
  <si>
    <t>US Forest Service [11-CS-11050100-031]; UC-Riverside</t>
  </si>
  <si>
    <t>US Forest Service(United States Department of Agriculture (USDA)United States Forest Service); UC-Riverside</t>
  </si>
  <si>
    <t>UC-Riverside; US Forest Service, Grant/Award Number: 11-CS-11050100-031</t>
  </si>
  <si>
    <t>1366-9516</t>
  </si>
  <si>
    <t>1472-4642</t>
  </si>
  <si>
    <t>DIVERS DISTRIB</t>
  </si>
  <si>
    <t>Divers. Distrib.</t>
  </si>
  <si>
    <t>10.1111/ddi.12693</t>
  </si>
  <si>
    <t>FZ0GP</t>
  </si>
  <si>
    <t>WOS:000427246300007</t>
  </si>
  <si>
    <t>Maharaj, RR; Lam, VWY; Pauly, D; Cheung, WWL</t>
  </si>
  <si>
    <t>Maharaj, Ravi R.; Lam, Vicky W. Y.; Pauly, Daniel; Cheung, William W. L.</t>
  </si>
  <si>
    <t>Regional variability in the sensitivity of Caribbean reef fish assemblages to ocean warming</t>
  </si>
  <si>
    <t>MARINE ECOLOGY PROGRESS SERIES</t>
  </si>
  <si>
    <t>Ocean climate; Coral reef; Fish community; Caribbean; Fisheries; Habitat; Ecosystem indicator</t>
  </si>
  <si>
    <t>MARINE PROTECTED AREAS; ECOSYSTEM-BASED MANAGEMENT; CORAL-REEF; CLIMATE-CHANGE; HABITAT COMPLEXITY; SPATIAL HETEROGENEITY; COMMUNITY STRUCTURE; FISHERIES CATCH; PHASE-SHIFTS; CONSERVATION</t>
  </si>
  <si>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</si>
  <si>
    <t>[Maharaj, Ravi R.; Lam, Vicky W. Y.; Cheung, William W. L.] Univ British Columbia, Inst Oceans &amp; Fisheries, Changing Ocean Res Unit, Vancouver, BC V6T 1Z4, Canada; [Pauly, Daniel] Univ British Columbia, Inst Oceans &amp; Fisheries, Sea Around Us, Vancouver, BC V6T 1Z4, Canada</t>
  </si>
  <si>
    <t>University of British Columbia; University of British Columbia</t>
  </si>
  <si>
    <t>Maharaj, RR (corresponding author), Univ British Columbia, Inst Oceans &amp; Fisheries, Changing Ocean Res Unit, Vancouver, BC V6T 1Z4, Canada.</t>
  </si>
  <si>
    <t>r.maharaj@oceans.ubc.ca</t>
  </si>
  <si>
    <t>; Cheung, William/F-5104-2013; Pauly, Daniel/AAY-2316-2021; Lam, Vicky/AAX-1684-2020</t>
  </si>
  <si>
    <t>Pauly, Daniel/0000-0003-3756-4793;</t>
  </si>
  <si>
    <t>Natural Sciences and Engineering Research Council of Canada; University of British Columbia; Sea Around Us; Nippon Foundation-UBC Nereus program; Wellcome Trust</t>
  </si>
  <si>
    <t>Natural Sciences and Engineering Research Council of Canada(Natural Sciences and Engineering Research Council of Canada (NSERC)CGIAR); University of British Columbia; Sea Around Us; Nippon Foundation-UBC Nereus program; Wellcome Trust(Wellcome Trust)</t>
  </si>
  <si>
    <t>R.R.M. and W.W.L.C acknowledge funding support from the Natural Sciences and Engineering Research Council of Canada and the University of British Columbia. D.P. is thankful for support by the Sea Around Us, itself supported by a number of philanthropic foundations. W.W.L.C. and V.W.Y.L. acknowledge funding support from the Nippon Foundation-UBC Nereus program and the Wellcome Trust.</t>
  </si>
  <si>
    <t>INTER-RESEARCH</t>
  </si>
  <si>
    <t>OLDENDORF LUHE</t>
  </si>
  <si>
    <t>NORDBUNTE 23, D-21385 OLDENDORF LUHE, GERMANY</t>
  </si>
  <si>
    <t>0171-8630</t>
  </si>
  <si>
    <t>1616-1599</t>
  </si>
  <si>
    <t>MAR ECOL PROG SER</t>
  </si>
  <si>
    <t>Mar. Ecol.-Prog. Ser.</t>
  </si>
  <si>
    <t>MAR 12</t>
  </si>
  <si>
    <t>10.3354/meps12462</t>
  </si>
  <si>
    <t>GB1NJ</t>
  </si>
  <si>
    <t>WOS:000428817200014</t>
  </si>
  <si>
    <t>Seebens, H; Blackburn, TM; Dyer, EE; Genovesi, P; Hulme, PE; Jeschke, JM; Pagad, S; Pysek, P; van Kleunen, M; Winter, M; Ansong, M; Arianoutsou, M; Bacher, S; Blasius, B; Brockerhoff, EG; Brundu, G; Capinha, C; Causton, CE; Celesti-Grapow, L; Dawson, W; Dullinger, S; Economo, EP; Fuentes, N; Guénard, B; Jäger, H; Kartesz, J; Kenis, M; Kühn, I; Lenzner, B; Liebhold, AM; Mosena, A; Moser, D; Nentwig, W; Nishino, M; Pearman, D; Pergl, J; Rabitsch, W; Rojas-Sandoval, J; Roques, A; Rorke, S; Rossinelli, S; Roy, HE; Scalera, R; Schindler, S; Stajerová, K; Tokarska-Guzik, B; Walker, K; Ward, DF; Yamanaka, T; Essl, F</t>
  </si>
  <si>
    <t>Seebens, Hanno; Blackburn, Tim M.; Dyer, Ellie E.; Genovesi, Piero; Hulme, Philip E.; Jeschke, Jonathan M.; Pagad, Shyama; Pysek, Petr; van Kleunen, Mark; Winter, Marten; Ansong, Michael; Arianoutsou, Margarita; Bacher, Sven; Blasius, Bernd; Brockerhoff, Eckehard G.; Brundu, Giuseppe; Capinha, Cesar; Causton, Charlotte E.; Celesti-Grapow, Laura; Dawson, Wayne; Dullinger, Stefan; Economo, Evan P.; Fuentes, Nicol; Guenard, Benoit; Jager, Heinke; Kartesz, John; Kenis, Marc; Kuehn, Ingolf; Lenzner, Bernd; Liebhold, Andrew M.; Mosena, Alexander; Moser, Dietmar; Nentwig, Wolfgang; Nishino, Misako; Pearman, David; Pergl, Jan; Rabitsch, Wolfgang; Rojas-Sandoval, Julissa; Roques, Alain; Rorke, Stephanie; Rossinelli, Silvia; Roy, Helen E.; Scalera, Riccardo; Schindler, Stefan; Stajerova, Katerina; Tokarska-Guzik, Barbara; Walker, Kevin; Ward, Darren F.; Yamanaka, Takehiko; Essl, Franz</t>
  </si>
  <si>
    <t>Global rise in emerging alien species results from increased accessibility of new source pools</t>
  </si>
  <si>
    <t>PROCEEDINGS OF THE NATIONAL ACADEMY OF SCIENCES OF THE UNITED STATES OF AMERICA</t>
  </si>
  <si>
    <t>BIOLOGICAL INVASIONS; PLANT INVASIONS; LAND-USE; ACCUMULATION; FRAMEWORK; PATHWAYS; PATTERNS; TRADE</t>
  </si>
  <si>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t>
  </si>
  <si>
    <t>[Seebens, Hanno] Senckenberg Biodivers &amp; Climate Res Ctr, D-60325 Frankfurt, Germany; [Seebens, Hanno; Dullinger, Stefan; Lenzner, Bernd; Moser, Dietmar; Schindler, Stefan; Essl, Franz] Univ Vienna, Dept Bot &amp; Biodivers Res, A-1030 Vienna, Austria; [Blackburn, Tim M.; Dyer, Ellie E.] UCL, Ctr Biodivers &amp; Environm Res, Dept Genet Evolut &amp; Environm, London WC1E 6BT, England; [Blackburn, Tim M.; Dyer, Ellie E.] Zool Soc London, Inst Zool, London NW1 4RY, England; [Blackburn, Tim M.; Essl, Franz] Stellenbosch Univ, Dept Bot &amp; Zool, Ctr Invas Biol, ZA-7599 Stellenbosch, South Africa; [Genovesi, Piero] Inst Environm Protect &amp; Res, I-00144 Rome, Italy; [Genovesi, Piero; Scalera, Riccardo] Int Union Conservat Nat, Species Survival Commiss, Invas Species Specialist Grp, I-00144 Rome, Italy; [Hulme, Philip E.] Lincoln Univ, Bioprotect Res Ctr, Christchurch 7648, New Zealand; [Jeschke, Jonathan M.] Leibniz Inst Freshwater Ecol &amp; Inland Fisheries, D-12587 Berlin, Germany; [Jeschke, Jonathan M.] Free Univ Berlin, Dept Biol Chem &amp; Pharm, Inst Biol, D-14195 Berlin, Germany; [Jeschke, Jonathan M.] Berlin Brandenburg Inst Adv Biodivers Res, D-14195 Berlin, Germany; [Pagad, Shyama] Univ Auckland, Int Union Conservat Nat, Species Survival Commiss, Invas Species Specialist Grp, Auckland 1072, New Zealand; [Pysek, Petr; Stajerova, Katerina] Czech Acad Sci, Dept Invas Ecol, Inst Bot, CZ-25243 Pruhonice, Czech Republic; [Pysek, Petr; Stajerova, Katerina] Charles Univ Prague, Fac Sci, Dept Ecol, Vinicna 7, CZ-12844 Prague, Czech Republic; [van Kleunen, Mark] Univ Konstanz, Dept Biol, Ecol, D-78457 Constance, Germany; [van Kleunen, Mark] Zhejiang Prov Key Lab Plant Evolutionary Ecol &amp;, Taizhou 318000, Peoples R China; [Winter, Marten; Kuehn, Ingolf] German Ctr Integrat Biodivers Res iDiv, D-04103 Leipzig, Germany; [Ansong, Michael] Kwame Nkrumah Univ Sci &amp; Technol, Fac Renewable Nat Resource, Dept Silviculture &amp; Forest Management, Kumasi, Ghana; [Arianoutsou, Margarita] Natl &amp; Kapodistrian Univ Athens, Fac Biol, Dept Ecol &amp; Systemat, Athens 15784, Greece; [Bacher, Sven; Rossinelli, Silvia] Univ Fribourg, Dept Biol, CH-1700 Fribourg, Switzerland; [Blasius, Bernd] Carl von Ossietzky Univ Oldenburg, Inst Chem &amp; Biol Marine Environm, D-26111 Oldenburg, Germany; [Brockerhoff, Eckehard G.] Sc New Zealand Forest Res Inst, Christchurch 8440, New Zealand; [Brundu, Giuseppe] Univ Sassari, Dept Agr, I-07100 Sassari, Italy; [Capinha, Cesar] Univ Porto, Ctr Invest Biodiversidade Recursos Genet, InBIO, CIBIO, P-4485661 Vairao, Portugal; [Capinha, Cesar] Univ Nova Lisboa, IHMT, Global Hlth &amp; Trop Med, P-1349008 Lisbon, Portugal; [Causton, Charlotte E.; Jager, Heinke] Charles Darwin Fdn Galapagos Islands, Santa Cruz, Galapagos, Ecuador; [Celesti-Grapow, Laura] Sapienza Univ, Dept Environm Biol, I-00185 Rome, Italy; [Dawson, Wayne] Univ Durham, Sch Biol &amp; Biomed Sci, Durham DH1 3LE, England; [Economo, Evan P.] Grad Univ, Okinawa Inst Sci &amp; Technol, Biodivers &amp; Biocomplex Unit, Onna, Okinawa 9040495, Japan; [Fuentes, Nicol] Univ Concepcion, Fac Ciencias Nat &amp; Oceanog, Dept Botan, Casilla 160-C, Concepcion, Chile; [Guenard, Benoit] Univ Hong Kong, Sch Biol Sci, Pokfulam, Hong Kong, Peoples R China; [Kartesz, John; Nishino, Misako] Biota North Amer Program, Chapel Hill, NC 27516 USA; [Kenis, Marc] CABI, CH-2800 Delemont, Switzerland; [Kuehn, Ingolf] UFZ Helmholtz Ctr Environm Res, Dept Community Ecol, D-06120 Halle, Germany; [Kuehn, Ingolf] Martin Luther Univ Halle Wittenberg, Dept Geobotany &amp; Bot Garden, D-06108 Halle, Germany; [Liebhold, Andrew M.] US Forest Serv, Northern Res Stn, Morgantown, WV 26505 USA; [Mosena, Alexander] Bielefeld Univ, Dept Expt &amp; Syst Ecol, D-33615 Bielefeld, Germany; [Mosena, Alexander] Bielefeld Univ, Ctr InterAmer Studies, D-33615 Bielefeld, Germany; [Nentwig, Wolfgang] Univ Bern, Inst Ecol &amp; Evolut, CH-3012 Bern, Switzerland; [Pearman, David; Pergl, Jan; Walker, Kevin] Bot Soc Britain &amp; Ireland, Harrogate HG1 1SS, England; [Rabitsch, Wolfgang] Environm Agcy, Dept Biol Div &amp; Nat Conservat, A-1090 Vienna, Austria; [Rojas-Sandoval, Julissa] Smithsonian Inst, Natl Museum Nat Hist, Dept Bot, Washington, DC 20013 USA; [Roques, Alain] Zool Forestiere, Inst Natl Rech Agron, UR 0633, F-45075 Orleans, France; [Rorke, Stephanie; Roy, Helen E.] Ctr Ecol &amp; Hydrol, Wallingford OX10 8BB, Oxon, England; [Tokarska-Guzik, Barbara] Univ Silesia, Fac Biol &amp; Environm Protect, Dept Bot &amp; Nat Protect, PL-40032 Katowice, Poland; [Ward, Darren F.] Univ Auckland, Sch Biol Sci, Auckland 1142, New Zealand; [Ward, Darren F.] Landcare Res, PB 92170, Auckland, New Zealand; [Yamanaka, Takehiko] Natl Agr &amp; Food Res Org, Inst Agroenvironm Sci, Tsukuba, Ibaraki 3058604, Japan</t>
  </si>
  <si>
    <t>Senckenberg Biodiversitat &amp; Klima- Forschungszentrum (BiK-F); Leibniz Association; Senckenberg Gesellschaft fur Naturforschung (SGN); University of Vienna; University of London; University College London; Zoological Society of London; Stellenbosch University; Italian Institute for Environmental Protection &amp; Research (ISPRA); Lincoln University - New Zealand; Leibniz Association; Leibniz Institut fur Gewasserokologie und Binnenfischerei (IGB); Free University of Berlin; University of Auckland; Czech Academy of Sciences; Institute of Botany of the Czech Academy of Sciences; Charles University Prague; University of Konstanz; German Research Foundation (DFG); German Centre for Integrative Biodiversity Research (iDiv); Kwame Nkrumah University Science &amp; Technology; National &amp; Kapodistrian University of Athens; University of Fribourg; Carl von Ossietzky Universitat Oldenburg; University of Sassari; Universidade do Porto; Universidade Nova de Lisboa; Institute of Hygiene &amp; Tropical Medicine - UNL; Sapienza University Rome; Durham University; Okinawa Institute of Science &amp; Technology Graduate University; Universidad de Concepcion; University of Hong Kong; Helmholtz Association; Helmholtz Center for Environmental Research (UFZ); Martin Luther University Halle Wittenberg; United States Department of Agriculture (USDA); United States Forest Service; University of Bielefeld; University of Bielefeld; University of Bern; Smithsonian Institution; Smithsonian National Museum of Natural History; INRAE; UK Centre for Ecology &amp; Hydrology (UKCEH); University of Silesia in Katowice; University of Auckland; Landcare Research - New Zealand; National Agriculture &amp; Food Research Organization - Japan</t>
  </si>
  <si>
    <t>Seebens, H (corresponding author), Senckenberg Biodivers &amp; Climate Res Ctr, D-60325 Frankfurt, Germany.;Seebens, H; Essl, F (corresponding author), Univ Vienna, Dept Bot &amp; Biodivers Res, A-1030 Vienna, Austria.;Essl, F (corresponding author), Stellenbosch Univ, Dept Bot &amp; Zool, Ctr Invas Biol, ZA-7599 Stellenbosch, South Africa.</t>
  </si>
  <si>
    <t>hanno.seebens@senckenberg.de; franz.essl@univie.ac.at</t>
  </si>
  <si>
    <t>Brundu, Giuseppe/C-6772-2012; Blackburn, Tim/A-7685-2011; Kühn, Ingolf/B-9756-2009; Schindler, Stefan/A-1695-2011; Brockerhoff, Eckehard/C-1528-2009; Liebhold, Andrew/C-1423-2008; Jeschke, Jonathan/A-2707-2008; Arianoutsou, Margarita/ABA-1614-2021; Štajerová, Kateřina/Q-8991-2017; Ansong, Michael/GXG-4349-2022; Rabitsch, Wolfgang/G-4562-2011; Essl, Franz/ABE-7064-2020; Blasius, Bernd/AAH-1897-2019; van Kleunen, Mark/B-3769-2009; Pergl, Jan/H-1071-2011; Genovesi, Piero/Z-1571-2019; Lenzner, Bernd/AAS-9140-2020; Roy, Helen/A-1488-2010; Pysek, Petr/B-1957-2012; Winter, Marten/E-7979-2011; Seebens, Hanno/I-2310-2019; Bacher, Sven/F-5431-2010; Kenis, Marc/HMD-4929-2023; Štajerová, Kateřina/Q-8991-2017; Hulme, Philip/F-7454-2011; Causton, Charlotte/HKF-2623-2023; Tokarska-Guzik, Barbara/L-8891-2019; Capinha, César/K-6439-2017; CELESTI, Laura/R-3615-2016; Jäger, Heinke/ABH-5731-2020; CELESTI, Laura/ABA-2552-2021; Ward, Darren/A-3238-2009; Fuentes, Nicol/IWU-9404-2023; Scalera, Riccardo/KMY-1169-2024</t>
  </si>
  <si>
    <t>Brundu, Giuseppe/0000-0003-3076-4098; Economo, Evan/0000-0001-7402-0432; Rabitsch, Wolfgang/0000-0002-3811-6071; Fuentes, Nicol/0000-0002-3773-9832; Dawson, Wayne/0000-0003-3402-0774; Štajerová, Kateřina/0000-0001-7824-1793; Dyer, Ellie/0000-0001-5331-4490; Rojas-Sandoval, Julissa/0000-0001-6620-4741; van Kleunen, Mark/0000-0002-2861-3701; Pergl, Jan/0000-0002-0045-1974; Brockerhoff, Eckehard G/0000-0002-5962-3208; Lenzner, Bernd/0000-0002-2616-3479; Scalera, Riccardo/0000-0002-4100-3959; ARIANOUTSOU, MARGARITA/0000-0002-6743-9240; Genovesi, Piero/0000-0002-0262-1420; Dullinger, Stefan/0000-0003-3919-0887; Essl, Franz/0000-0001-8253-2112; Seebens, Hanno/0000-0001-8993-6419; Tokarska-Guzik, Barbara/0000-0002-4058-1220; Bacher, Sven/0000-0001-5147-7165; Ward, Darren/0000-0002-4509-8553; Jäger, Heinke/0000-0001-9065-4048; Ansong, Michael/0000-0003-3811-3230; Kenis, Marc/0000-0002-3179-0872; Štajerová, Kateřina/0000-0001-7824-1793; Hulme, Philip/0000-0001-5712-0474; Capinha, César/0000-0002-0666-9755; CELESTI, Laura/0000-0002-9533-6919; Yamanaka, Takehiko/0000-0003-2888-1076; Moser, Dietmar/0000-0002-2745-7508; Guénard, Benoit/0000-0002-7144-1175; Jeschke, Jonathan/0000-0003-3328-4217; Blasius, Bernd/0000-0002-6558-1462</t>
  </si>
  <si>
    <t>Deutsche Forschungsgemeinschaft (DFG) [SE 1891/2-1, KL 1866/9-1]; Invasion Dynamics Network DFG Grant [JE 288/8-1]; Austrian Science Fund Grant [I2086-B16]; COST Action TD1209 Alien Challenge; Galapagos Conservancy [2160]; Czech Academy of Sciences [RVO 67985939]; Czech Science Foundation [14-36079G]; Centre of Excellence PLADIAS; New Zealand Ministry of Business, Innovation and Employment (MBIE) core funding [CO4X1104]; Better Border Biosecurity collaboration; Polish National Science Centre; Portuguese Foundation for Science and Technology; Programa Operacional Potencial Humano/Fundo Social Europeu Grants [SFRH/BPD/84422/20, GHTM - UID/Multi/04413/2013]; Fondecyt postdoc [3120125]; Leverhulme Trust [RF/2/RFG/2010/0016]; King Saud University Distinguished Scientist Research Fellowship; Federal Ministry of Education and Research, Germany project The Americas as Space of Entanglements; Defra in compiling first records through the GB Non-Native Species Information Portal; German Centre for Integrative Biodiversity Research (iDiv) Halle-Jena-Leipzig Grant [DFG FZT 118]; MBIE; US Department of Energy, Office of Science Innovative and Novel Computational Impact on Theory and Experiment program; US Department of Energy, Office of Biological and Environmental Research; National Oceanic and Atmospheric Administration Climate Program Office; [P505/11/1112]; NERC [NE/R016429/1] Funding Source: UKRI; Natural Environment Research Council [NE/R016429/1] Funding Source: researchfish; Austrian Science Fund (FWF) [I2086] Funding Source: Austrian Science Fund (FWF)</t>
  </si>
  <si>
    <t>Deutsche Forschungsgemeinschaft (DFG)(German Research Foundation (DFG)); Invasion Dynamics Network DFG Grant(German Research Foundation (DFG)); Austrian Science Fund Grant; COST Action TD1209 Alien Challenge; Galapagos Conservancy; Czech Academy of Sciences(Czech Academy of Sciences); Czech Science Foundation(Grant Agency of the Czech Republic); Centre of Excellence PLADIAS; New Zealand Ministry of Business, Innovation and Employment (MBIE) core funding(New Zealand Ministry of Business, Innovation and Employment (MBIE)); Better Border Biosecurity collaboration; Polish National Science Centre; Portuguese Foundation for Science and Technology(Fundacao para a Ciencia e a Tecnologia (FCT)); Programa Operacional Potencial Humano/Fundo Social Europeu Grants; Fondecyt postdoc(Comision Nacional de Investigacion Cientifica y Tecnologica (CONICYT)CONICYT FONDECYT); Leverhulme Trust(Leverhulme Trust); King Saud University Distinguished Scientist Research Fellowship; Federal Ministry of Education and Research, Germany project The Americas as Space of Entanglements; Defra in compiling first records through the GB Non-Native Species Information Portal; German Centre for Integrative Biodiversity Research (iDiv) Halle-Jena-Leipzig Grant; MBIE(New Zealand Ministry of Business, Innovation and Employment (MBIE)); US Department of Energy, Office of Science Innovative and Novel Computational Impact on Theory and Experiment program(United States Department of Energy (DOE)); US Department of Energy, Office of Biological and Environmental Research(United States Department of Energy (DOE)); National Oceanic and Atmospheric Administration Climate Program Office(National Oceanic Atmospheric Admin (NOAA) - USA); ; NERC(UK Research &amp; Innovation (UKRI)Natural Environment Research Council (NERC)); Natural Environment Research Council(UK Research &amp; Innovation (UKRI)Natural Environment Research Council (NERC)); Austrian Science Fund (FWF)(Austrian Science Fund (FWF))</t>
  </si>
  <si>
    <t>We thank the Comision Nacional para el Conocimiento y Uso de la Biodiversidad team, David Baxter, Yves Frenot, Eckehart Jager, Wojciech Solarz, Agnes Dellinger, Stephan Gollasch, Marc Lebouvier, and Zuzana Sixtova, for providing data of first records or contacts to data providers; Johan Liakka for assistance in climate data acquisition; Eva-Maria Gerstner for help in archiving data; Bob O'Hara for statistical advice; and two anonymous reviewers for their helpful comments. First records of plants in Greece were derived from unpublished data of M. Arianoutsou, Ioannis Bazos, Pinelopi Delipetrou, Yannis Kokkoris, and Andreas Zikos. The study was supported by Deutsche Forschungsgemeinschaft (DFG) Grants SE 1891/2-1 (to H.S.) and KL 1866/9-1 (to M.v.K.), Invasion Dynamics Network DFG Grant JE 288/8-1, Austrian Science Fund Grant I2086-B16 (to H.S., F.E., and S.D.), COST Action TD1209 Alien Challenge (S.B., F.E., R.S., H.E.R., M. Arianoutsou, A.R., M.v.K., S.S., W.N., and I.K.), the Galapagos Conservancy (C.E.C. and H.J., contribution 2160 of the Charles Darwin Foundation for the Galapagos Islands), The Czech Academy of Sciences (research development project RVO 67985939 and Praemium Academiae award supporting P.P., J.P., and K.S.), Czech Science Foundation Projects 14-36079G, Centre of Excellence PLADIAS and P505/11/1112 (P.P., J.P., and K.S.), New Zealand Ministry of Business, Innovation and Employment (MBIE) core funding (CO4X1104) to Scion and the Better Border Biosecurity collaboration (E.G.B.), the Polish National Science Centre (B.T.-G), the Portuguese Foundation for Science and Technology and Programa Operacional Potencial Humano/Fundo Social Europeu Grants SFRH/BPD/84422/20 and GHTM - UID/Multi/04413/2013 (to C.C.), Fondecyt postdoc 3120125 (N.F.), the Leverhulme Trust (RF/2/RFG/2010/0016) and a King Saud University Distinguished Scientist Research Fellowship (both to T.M.B.), the Federal Ministry of Education and Research, Germany project The Americas as Space of Entanglements (A.M.), Defra in compiling first records through the GB Non-Native Species Information Portal (H.E.R.), the German Centre for Integrative Biodiversity Research (iDiv) Halle-Jena-Leipzig Grant DFG FZT 118 (to M.W.), subsidy funding to Okinawa Institute of Science and Technology Graduate University (E.P.E.), MBIE to Landcare Research within the Managing Invasives Portfolio (D.W.). Support for the Twentieth Century Reanalysis Project dataset is provided by the US Department of Energy, Office of Science Innovative and Novel Computational Impact on Theory and Experiment program and Office of Biological and Environmental Research and by the National Oceanic and Atmospheric Administration Climate Program Office.</t>
  </si>
  <si>
    <t>NATL ACAD SCIENCES</t>
  </si>
  <si>
    <t>WASHINGTON</t>
  </si>
  <si>
    <t>2101 CONSTITUTION AVE NW, WASHINGTON, DC 20418 USA</t>
  </si>
  <si>
    <t>0027-8424</t>
  </si>
  <si>
    <t>1091-6490</t>
  </si>
  <si>
    <t>P NATL ACAD SCI USA</t>
  </si>
  <si>
    <t>Proc. Natl. Acad. Sci. U. S. A.</t>
  </si>
  <si>
    <t>MAR 6</t>
  </si>
  <si>
    <t>E2264</t>
  </si>
  <si>
    <t>E2273</t>
  </si>
  <si>
    <t>10.1073/pnas.1719429115</t>
  </si>
  <si>
    <t>Multidisciplinary Sciences</t>
  </si>
  <si>
    <t>Science Citation Index Expanded (SCI-EXPANDED); Social Science Citation Index (SSCI)</t>
  </si>
  <si>
    <t>Science &amp; Technology - Other Topics</t>
  </si>
  <si>
    <t>FY2UK</t>
  </si>
  <si>
    <t>WOS:000426671900017</t>
  </si>
  <si>
    <t>Le Bris, A; Mills, KE; Wahle, RA; Chen, Y; Alexander, MA; Allyn, AJ; Schuetz, JG; Scott, JD; Pershing, AJ</t>
  </si>
  <si>
    <t>Le Bris, Arnault; Mills, Katherine E.; Wahle, Richard A.; Chen, Yong; Alexander, Michael A.; Allyn, Andrew J.; Schuetz, Justin G.; Scott, James D.; Pershing, Andrew J.</t>
  </si>
  <si>
    <t>Climate vulnerability and resilience in the most valuable North American fishery</t>
  </si>
  <si>
    <t>climate impacts; resilience; harvest strategies; population dynamics; American lobster</t>
  </si>
  <si>
    <t>LOBSTER HOMARUS-AMERICANUS; SPATIOTEMPORAL VARIABILITY; COASTAL WATERS; MAINE LOBSTER; BODY-SIZE; TEMPERATURE; ABUNDANCE; IMPACTS; GULF; MATURITY</t>
  </si>
  <si>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</si>
  <si>
    <t>[Le Bris, Arnault; Mills, Katherine E.; Allyn, Andrew J.; Schuetz, Justin G.; Pershing, Andrew J.] Gulf Maine Res Inst, Portland, ME 04101 USA; [Wahle, Richard A.; Chen, Yong] Univ Maine, Sch Marine Sci, Orono, ME 04469 USA; [Alexander, Michael A.; Scott, James D.] NOAA, Earth Syst Res Lab, Boulder, CO 80305 USA; [Scott, James D.] Univ Colorado, Cooperat Inst Res Environm Sci, Boulder, CO 80309 USA; [Le Bris, Arnault] Mem Univ Newfoundland, Fisheries &amp; Marine Inst, Ctr Fisheries Ecosyst Res, St John, NF A1C 5R3, Canada</t>
  </si>
  <si>
    <t>Gulf of Maine Research Institute; University of Maine System; University of Maine Orono; National Oceanic Atmospheric Admin (NOAA) - USA; University of Colorado System; University of Colorado Boulder; Memorial University Newfoundland</t>
  </si>
  <si>
    <t>Le Bris, A (corresponding author), Gulf Maine Res Inst, Portland, ME 04101 USA.;Le Bris, A (corresponding author), Mem Univ Newfoundland, Fisheries &amp; Marine Inst, Ctr Fisheries Ecosyst Res, St John, NF A1C 5R3, Canada.</t>
  </si>
  <si>
    <t>arnault.lebris@mi.mun.ca</t>
  </si>
  <si>
    <t>; Alexander, Michael/JBJ-7594-2023; Scott, James/PBV-9651-2025; Wahle, Richard/AAI-3047-2020</t>
  </si>
  <si>
    <t>Scott, James D/0000-0002-8709-8594; Allyn, Anew/0000-0002-1584-0198; Mills, Katherine/0000-0001-6078-7747; Le Bris, Arnault/0000-0003-1958-3755;</t>
  </si>
  <si>
    <t>National Science Foundation's Coastal SEES Program [OCE-1325484]; Directorate For Geosciences; Division Of Ocean Sciences [1325484] Funding Source: National Science Foundation</t>
  </si>
  <si>
    <t>National Science Foundation's Coastal SEES Program; Directorate For Geosciences; Division Of Ocean Sciences(National Science Foundation (NSF)NSF - Directorate for Geosciences (GEO))</t>
  </si>
  <si>
    <t>The authors thank Burton Shank, Carl Wilson, Curt Brown, and Andy Thomas, for helpful discussions; and Mike Fogarty and Jon Hare for their comments. This work was supported by the National Science Foundation's Coastal SEES Program Grant OCE-1325484 (to A.L.B., A.J.P., K.E.M., Y.C., R.A.W., M.A.A., and J.D.S.).</t>
  </si>
  <si>
    <t>FEB 20</t>
  </si>
  <si>
    <t>10.1073/pnas.1711122115</t>
  </si>
  <si>
    <t>FW7IJ</t>
  </si>
  <si>
    <t>WOS:000425495000061</t>
  </si>
  <si>
    <t>Chakona, G; Swartz, ER; Chakona, A</t>
  </si>
  <si>
    <t>Chakona, Gamuchirai; Swartz, Ernst R.; Chakona, Albert</t>
  </si>
  <si>
    <t>The status and distribution of a newly identified endemic galaxiid in the eastern Cape Fold Ecoregion, of South Africa</t>
  </si>
  <si>
    <t>AQUATIC CONSERVATION-MARINE AND FRESHWATER ECOSYSTEMS</t>
  </si>
  <si>
    <t>Africa; biodiversity hotspot; climate change; conservation; Galaxiidae; habitat degradation; non-native species; risk assessment; stream fish</t>
  </si>
  <si>
    <t>FRESH-WATER BIODIVERSITY; FLORISTIC REGION; CONSERVATION ASSESSMENT; PSEUDOBARBUS-SKELTONI; EVOLUTIONARY HISTORY; ECOLOGICAL IMPACTS; REGRESSION TREES; CLIMATE-CHANGE; BERG RIVER; CYPRINIDAE</t>
  </si>
  <si>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</si>
  <si>
    <t>[Chakona, Gamuchirai; Swartz, Ernst R.; Chakona, Albert] SAIAB, Private Bag 1015, ZA-6140 Grahamstown, South Africa; [Chakona, Gamuchirai] Rhodes Univ, Dept Ichthyol &amp; Fisheries Sci, Grahamstown, South Africa; [Chakona, Gamuchirai] Rhodes Univ, Dept Environm Sci, Grahamstown, South Africa</t>
  </si>
  <si>
    <t>National Research Foundation - South Africa; South African Institute for Aquatic Biodiversity; Rhodes University; Rhodes University</t>
  </si>
  <si>
    <t>Chakona, G (corresponding author), SAIAB, Private Bag 1015, ZA-6140 Grahamstown, South Africa.</t>
  </si>
  <si>
    <t>matarutseg@yahoo.com</t>
  </si>
  <si>
    <t>Chakona, Albert/M-4265-2017; Swartz, Ernst/C-5139-2009</t>
  </si>
  <si>
    <t>Chakona, Albert/0000-0001-6844-7501; Chakona, Gamuchirai/0000-0003-3784-8980;</t>
  </si>
  <si>
    <t>South African Institute for Aquatic Biodiversity (SAIAB); Rhodes University Margaret Smith bursary; DST/NRF Centre of Excellence for Invasion Biology through OLF Weyl's core team member grant</t>
  </si>
  <si>
    <t>South African Institute for Aquatic Biodiversity (SAIAB)(National Research Foundation - South Africa); Rhodes University Margaret Smith bursary; DST/NRF Centre of Excellence for Invasion Biology through OLF Weyl's core team member grant</t>
  </si>
  <si>
    <t>This work was part of GC's MSc research which was funded by the South African Institute for Aquatic Biodiversity (SAIAB), Rhodes University Margaret Smith bursary and the DST/NRF Centre of Excellence for Invasion Biology through OLF Weyl's core team member grant. Nkosinathi Mazungula, Bruce Ellender, Christine Coppinger, Tuuli Makinen and Roger Smith are thanked for assistance with fieldwork, and Wilbert Kadye for assistance with data collection and analysis. The authors acknowledge that opinions, findings and conclusions or recommendations expressed here are those of the authors and that the NRF accepts no liability whatsoever in this regard.</t>
  </si>
  <si>
    <t>1052-7613</t>
  </si>
  <si>
    <t>1099-0755</t>
  </si>
  <si>
    <t>AQUAT CONSERV</t>
  </si>
  <si>
    <t>Aquat. Conserv.-Mar. Freshw. Ecosyst.</t>
  </si>
  <si>
    <t>10.1002/aqc.2850</t>
  </si>
  <si>
    <t>Environmental Sciences; Marine &amp; Freshwater Biology; Water Resources</t>
  </si>
  <si>
    <t>Environmental Sciences &amp; Ecology; Marine &amp; Freshwater Biology; Water Resources</t>
  </si>
  <si>
    <t>FW2GU</t>
  </si>
  <si>
    <t>WOS:000425121900007</t>
  </si>
  <si>
    <t>Kuczynski, L; Legendre, P; Grenouillet, G</t>
  </si>
  <si>
    <t>Kuczynski, Lucie; Legendre, Pierre; Grenouillet, Gael</t>
  </si>
  <si>
    <t>Concomitant impacts of climate change, fragmentation and non-native species have led to reorganization of fish communities since the 1980s</t>
  </si>
  <si>
    <t>GLOBAL ECOLOGY AND BIOGEOGRAPHY</t>
  </si>
  <si>
    <t>alpha diversity; assemblage reorganization; beta diversity; community uniqueness; freshwater fish; global change; temporal changes</t>
  </si>
  <si>
    <t>LOW-HEAD DAMS; BIOTIC HOMOGENIZATION; BETA-DIVERSITY; MAJOR CAUSE; CONSEQUENCES; POPULATIONS; THREATS; SHIFTS; DISSIMILARITY; URBANIZATION</t>
  </si>
  <si>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</si>
  <si>
    <t>[Kuczynski, Lucie; Grenouillet, Gael] Univ Toulouse, CNRS, Lab Evolut &amp; Diversite Biol, ENFA,UPS, Toulouse, France; [Legendre, Pierre] Univ Montreal, Dept Sci Biol, Montreal, PQ, Canada; [Grenouillet, Gael] Inst Univ France, Paris, France</t>
  </si>
  <si>
    <t>Universite de Toulouse; Universite Toulouse III - Paul Sabatier; Universite Federale Toulouse Midi-Pyrenees (ComUE); Ecole Nationale Formation Agronomique (ENSFEA); Centre National de la Recherche Scientifique (CNRS); Universite de Montreal; Institut Universitaire de France</t>
  </si>
  <si>
    <t>Kuczynski, L (corresponding author), Lab Evolut &amp; Diversite Biol, 118 Route Narbonne, F-31062 Toulouse 9, France.</t>
  </si>
  <si>
    <t>lucie.kuczynski@hotmail.com</t>
  </si>
  <si>
    <t>Grenouillet, Gael/E-6518-2019; Legendre, Pierre/U-9266-2019; Legene, Pierre/C-8279-2013</t>
  </si>
  <si>
    <t>Grenouillet, Gaël/0000-0003-3588-3694; Legene, Pierre/0000-0002-3838-3305</t>
  </si>
  <si>
    <t>Investissement d'Avenir [ANR-10-LABX-0025, ANR-10-LABX-41]</t>
  </si>
  <si>
    <t>Investissement d'Avenir(Agence Nationale de la Recherche (ANR))</t>
  </si>
  <si>
    <t>Investissement d'Avenir, Grant/Award Number: ANR-10-LABX-0025 and ANR-10-LABX-41</t>
  </si>
  <si>
    <t>1466-822X</t>
  </si>
  <si>
    <t>1466-8238</t>
  </si>
  <si>
    <t>GLOBAL ECOL BIOGEOGR</t>
  </si>
  <si>
    <t>Glob. Ecol. Biogeogr.</t>
  </si>
  <si>
    <t>10.1111/geb.12690</t>
  </si>
  <si>
    <t>Ecology; Geography, Physical</t>
  </si>
  <si>
    <t>Environmental Sciences &amp; Ecology; Physical Geography</t>
  </si>
  <si>
    <t>FS9PN</t>
  </si>
  <si>
    <t>WOS:000422750700005</t>
  </si>
  <si>
    <t>Nicola, GG; Elvira, B; Jonsson, B; Ayllón, D; Almodóvar, A</t>
  </si>
  <si>
    <t>Nicola, Graciela G.; Elvira, Benigno; Jonsson, Bror; Ayllon, Daniel; Almodovar, Ana</t>
  </si>
  <si>
    <t>Local and global climatic drivers of Atlantic salmon decline in southern Europe</t>
  </si>
  <si>
    <t>FISHERIES RESEARCH</t>
  </si>
  <si>
    <t>Climate change; Flow alteration; Land-ocean temperature; Long-term abundance; Salmo salar</t>
  </si>
  <si>
    <t>LONG-TERM CHANGES; NORTH-ATLANTIC; SALAR L.; SEAWARD MIGRATION; LIFE-HISTORY; TEMPERATURE; GROWTH; SIZE; ABUNDANCE; TRENDS</t>
  </si>
  <si>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</si>
  <si>
    <t>[Nicola, Graciela G.] UCLM, Dept Environm Sci, Toledo 45071, Spain; [Elvira, Benigno; Ayllon, Daniel; Almodovar, Ana] Complutense Univ Madrid UCM, Dept Zool &amp; Phys Anthropol, Madrid 28040, Spain; [Jonsson, Bror] Norwegian Inst Nat Res, Landscape Ecol Dept, N-0349 Oslo, Norway</t>
  </si>
  <si>
    <t>Universidad de Castilla-La Mancha; Complutense University of Madrid; Norwegian Institute Nature Research</t>
  </si>
  <si>
    <t>Nicola, GG (corresponding author), UCLM, Fac Environm Sci &amp; Biochem, Dept Environm Sci, Toledo 45071, Spain.</t>
  </si>
  <si>
    <t>graciela.nicola@uclm.es; belvira@bio.ucm.es; bror.jonsson@nina.no; daniel.ayllon@bio.ucm.es; aalmodovar@bio.ucm.es</t>
  </si>
  <si>
    <t>Ayllon, Daniel/K-6862-2019; Elvira, Benigno/A-9273-2009; G. Nicola, Graciela/ABE-5362-2021; Almodóvar, Ana/L-5400-2014</t>
  </si>
  <si>
    <t>Elvira, Benigno/0000-0002-6127-5302; Ayllon Fernandez, Daniel/0000-0001-7539-5287; Almodóvar, Ana/0000-0003-1465-3857; , GRACIELA G NICOLA/0009-0009-0601-0609</t>
  </si>
  <si>
    <t>Spanish Ministry of Science and Innovation [CGL2012-36049]; Marie Curie Intraeuropean Fellowship [PIEF-GA-2012-329264]</t>
  </si>
  <si>
    <t>Spanish Ministry of Science and Innovation(Spanish GovernmentMinistry of Science &amp; Innovation, Spain (MICINN)); Marie Curie Intraeuropean Fellowship(European Union (EU))</t>
  </si>
  <si>
    <t>This study was funded by the Spanish Ministry of Science and Innovation through the research project CGL2012-36049. We acknowledge the E-OBS dataset from the EU-FP6 project ENSEMBLES (http://ensembles-eu.metoffice.com) and would like to thank the data providers in the ECA &amp; D project (http://www.ecad.eu). D. Ayllon was supported by a Marie Curie Intraeuropean Fellowship (PIEF-GA-2012-329264). We are very grateful to Enrique Sanchez for his advice on the selection and analysis of climate indicators.</t>
  </si>
  <si>
    <t>0165-7836</t>
  </si>
  <si>
    <t>1872-6763</t>
  </si>
  <si>
    <t>FISH RES</t>
  </si>
  <si>
    <t>Fish Res.</t>
  </si>
  <si>
    <t>10.1016/j.fishres.2017.10.012</t>
  </si>
  <si>
    <t>Fisheries</t>
  </si>
  <si>
    <t>FN7JJ</t>
  </si>
  <si>
    <t>WOS:000416194200009</t>
  </si>
  <si>
    <t>Amano, T; Székely, T; Sandel, B; Nagy, S; Mundkur, T; Langendoen, T; Blanco, D; Soykan, CU; Sutherland, WJ</t>
  </si>
  <si>
    <t>Amano, Tatsuya; Szekely, Tamas; Sandel, Brody; Nagy, Szabolcs; Mundkur, Taej; Langendoen, Tom; Blanco, Daniel; Soykan, Candan U.; Sutherland, William J.</t>
  </si>
  <si>
    <t>Successful conservation of global waterbird populations depends on effective governance</t>
  </si>
  <si>
    <t>NATURE</t>
  </si>
  <si>
    <t>EXTINCTION RISK; COUNT DATA; DECLINES; BIRDS; BIODIVERSITY; CORRUPTION; FRAMEWORK; PATTERNS; WETLANDS; WINBUGS</t>
  </si>
  <si>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</si>
  <si>
    <t>[Amano, Tatsuya; Sutherland, William J.] Univ Cambridge, Dept Zool, Conservat Sci Grp, David Attenborough Bldg,Pembroke St, Cambridge CB2 3QZ, England; [Amano, Tatsuya] Univ Cambridge, Ctr Study Existential Risk, 16 Mill Lane, Cambridge CB2 1SG, England; [Szekely, Tamas] Univ Bath, Dept Biol &amp; Biochem, Milner Ctr Evolut, Bath BA2 7AY, Avon, England; [Szekely, Tamas] Univ Debrecen, Dept Evolutionary Zool, H-4010 Debrecen, Hungary; [Sandel, Brody] Santa Clara Univ, Dept Biol, 500 El Camino Real, Santa Clara, CA 95053 USA; [Nagy, Szabolcs; Mundkur, Taej; Langendoen, Tom] Wetlands Int Head Off, Horapk 9, NL-6717 LZ Ede, Netherlands; [Blanco, Daniel] Wetlands Int LAC Argentina Off, Capitan Gen Ramon Freire 1512, RA-1426 Buenos Aires, DF, Argentina; [Soykan, Candan U.] Natl Audubon Soc, Conservat Sci, 220 Montgomery St,Suite 1000, San Francisco, CA 94104 USA</t>
  </si>
  <si>
    <t>University of Cambridge; University of Cambridge; University of Bath; University of Debrecen; Santa Clara University</t>
  </si>
  <si>
    <t>Amano, T (corresponding author), Univ Cambridge, Dept Zool, Conservat Sci Grp, David Attenborough Bldg,Pembroke St, Cambridge CB2 3QZ, England.;Amano, T (corresponding author), Univ Cambridge, Ctr Study Existential Risk, 16 Mill Lane, Cambridge CB2 1SG, England.</t>
  </si>
  <si>
    <t>amatatsu830@gmail.com</t>
  </si>
  <si>
    <t>Szekely, Tamas/I-7089-2016; Sutherland, William/B-1291-2013; Nagy, Szabolcs/JZE-3966-2024; Amano, Tatsuya/E-7367-2010</t>
  </si>
  <si>
    <t>Szekely, Tamas/0000-0003-2093-0056; Amano, Tatsuya/0000-0001-6576-3410</t>
  </si>
  <si>
    <t>NATURE PORTFOLIO</t>
  </si>
  <si>
    <t>BERLIN</t>
  </si>
  <si>
    <t>HEIDELBERGER PLATZ 3, BERLIN, 14197, GERMANY</t>
  </si>
  <si>
    <t>0028-0836</t>
  </si>
  <si>
    <t>1476-4687</t>
  </si>
  <si>
    <t>Nature</t>
  </si>
  <si>
    <t>JAN 11</t>
  </si>
  <si>
    <t>+</t>
  </si>
  <si>
    <t>10.1038/nature25139</t>
  </si>
  <si>
    <t>FS4WL</t>
  </si>
  <si>
    <t>WOS:000419794800035</t>
  </si>
  <si>
    <t>Capuzzo, E; Lynam, CP; Barry, J; Stephens, D; Forster, RM; Greenwood, N; McQuatters-Gollop, A; Silva, T; van Leeuwen, SM; Engelhard, GH</t>
  </si>
  <si>
    <t>Capuzzo, Elisa; Lynam, Christopher P.; Barry, Jon; Stephens, David; Forster, Rodney M.; Greenwood, Naomi; McQuatters-Gollop, Abigail; Silva, Tiago; van Leeuwen, Sonja M.; Engelhard, Georg H.</t>
  </si>
  <si>
    <t>A decline in primary production in the North Sea over 25 years, associated with reductions in zooplankton abundance and fish stock recruitment</t>
  </si>
  <si>
    <t>bottom-up effects; climate change; fish recruitment; North Sea; nutrients; phytoplankton; primary production</t>
  </si>
  <si>
    <t>PHYTOPLANKTON SPRING BLOOM; DEEP CHLOROPHYLL MAXIMUM; BOTTOM-UP CONTROL; LONG-TERM CHANGES; BALTIC SEA; CLIMATE-CHANGE; WATER CLARITY; REGIME SHIFT; PLANKTON; FISHERIES</t>
  </si>
  <si>
    <t>Phytoplankton primary production is at the base of the marine food web; changes in primary production have direct or indirect effects on higher trophic levels, from zooplankton organisms to marine mammals and seabirds. Here, we present a new time-series on gross primary production in the North Sea, from 1988 to 2013, estimated using in situ measurements of chlorophyll and underwater light. This shows that recent decades have seen a significant decline in primary production in the North Sea. Moreover, primary production differs in magnitude between six hydrodynamic regions within the North Sea. Sea surface warming and reduced riverine nutrient inputs are found to be likely contributors to the declining levels of primary production. In turn, significant correlations are found between observed changes in primary production and the dynamics of higher trophic levels including (small) copepods and a standardized index of fish recruitment, averaged over seven stocks of high commercial significance in the North Sea. Given positive (bottom-up) associations between primary production, zooplankton abundance and fish stock recruitment, this study provides strong evidence that if the decline in primary production continues, knock-on effects upon the productivity of fisheries are to be expected unless these fisheries are managed effectively and cautiously.</t>
  </si>
  <si>
    <t>[Capuzzo, Elisa; Lynam, Christopher P.; Barry, Jon; Greenwood, Naomi; Silva, Tiago; van Leeuwen, Sonja M.; Engelhard, Georg H.] Cefas, Lowestoft, Suffolk, England; [Stephens, David] UKHO, Taunton, Somerset, England; [Forster, Rodney M.] Univ Hull, IECS, Kingston Upon Hull, N Humberside, England; [Greenwood, Naomi; Engelhard, Georg H.] UEA, Sch Environm Sci, Norwich, Norfolk, England; [McQuatters-Gollop, Abigail] Plymouth Univ, Ctr Marine Conservat &amp; Policy Res, Plymouth, Devon, England</t>
  </si>
  <si>
    <t>Centre for Environment Fisheries &amp; Aquaculture Science; University of Hull; University of East Anglia; University of Plymouth</t>
  </si>
  <si>
    <t>Capuzzo, E (corresponding author), Cefas, Lowestoft, Suffolk, England.</t>
  </si>
  <si>
    <t>elisa.capuzzo@cefas.co.uk</t>
  </si>
  <si>
    <t>; Lynam, Christopher/A-9561-2008; Silva, Tiago/LKK-7851-2024; Greenwood, Naomi/B-1832-2012; Capuzzo, Elisa/AAE-9028-2022; Forster, Rodney/J-1756-2019</t>
  </si>
  <si>
    <t>Engelhard, Georg H/0000-0002-7821-7029; Forster, Rodney/0000-0001-6990-1673; Greenwood, Naomi/0000-0001-7166-9455; McQuatters-Gollop, Abigail/0000-0002-6043-9563; Silva, Tiago/0000-0002-8316-2376; Lynam, Christopher/0000-0001-5481-8033; Capuzzo, Elisa/0000-0002-6055-6970;</t>
  </si>
  <si>
    <t>Seventh Framework Programme [308392]; Centre for Environment, Fisheries &amp; Aquaculture Science (Cefas) [DP302, DP375]; European Commission Directorate General for Environment [EcApRHA 11.0661/2015/712630/SUB/ENVC.2 OSPAR]; Department for Environment, Food &amp; Rural Affairs of the UK [MF1228, ME3204]; NERC [NE/I030062/1, SAH01001, NE/L002663/2, NE/R002738/1] Funding Source: UKRI; Natural Environment Research Council [SAH01001, NE/L002663/2, NE/I030062/1, NE/R002738/1] Funding Source: researchfish</t>
  </si>
  <si>
    <t>Seventh Framework Programme(European Union (EU)); Centre for Environment, Fisheries &amp; Aquaculture Science (Cefas); European Commission Directorate General for Environment; Department for Environment, Food &amp; Rural Affairs of the UK; NERC(UK Research &amp; Innovation (UKRI)Natural Environment Research Council (NERC)); Natural Environment Research Council(UK Research &amp; Innovation (UKRI)Natural Environment Research Council (NERC))</t>
  </si>
  <si>
    <t>Seventh Framework Programme, Grant/Award Number: 308392; Centre for Environment, Fisheries &amp; Aquaculture Science (Cefas), Grant/Award Number: DP302, DP375; European Commission Directorate General for Environment, Grant/Award Number: EcApRHA 11.0661/2015/712630/SUB/ENVC.2 OSPAR; Department for Environment, Food &amp; Rural Affairs of the UK, Grant/Award Number: MF1228, ME3204</t>
  </si>
  <si>
    <t>JAN</t>
  </si>
  <si>
    <t>E352</t>
  </si>
  <si>
    <t>E364</t>
  </si>
  <si>
    <t>10.1111/gcb.13916</t>
  </si>
  <si>
    <t>FY0MR</t>
  </si>
  <si>
    <t>Green Accepted, hybrid</t>
  </si>
  <si>
    <t>WOS:000426506100027</t>
  </si>
  <si>
    <t>Newman, M; Wittenberg, AT; Cheng, LY; Compo, GP; Smith, CA</t>
  </si>
  <si>
    <t>Newman, Matthew; Wittenberg, Andrew T.; Cheng, Linyin; Compo, Gilbert P.; Smith, Catherine A.</t>
  </si>
  <si>
    <t>THE EXTREME 2015/16 EL NINO, IN THE CONTEXT OF HISTORICAL CLIMATE VARIABILITY AND CHANGE</t>
  </si>
  <si>
    <t>BULLETIN OF THE AMERICAN METEOROLOGICAL SOCIETY</t>
  </si>
  <si>
    <t>PACIFIC-OCEAN</t>
  </si>
  <si>
    <t>[Newman, Matthew; Cheng, Linyin; Compo, Gilbert P.; Smith, Catherine A.] Univ Colorado, CIRES, Boulder, CO 80309 USA; [Newman, Matthew; Cheng, Linyin; Compo, Gilbert P.; Smith, Catherine A.] NOAA, Earth Syst Res Lab, Phys Sci Div, Boulder, CO 80305 USA; [Wittenberg, Andrew T.] NOAA, Geophys Fluid Dynam Lab, Princeton, NJ USA</t>
  </si>
  <si>
    <t>University of Colorado System; University of Colorado Boulder; National Oceanic Atmospheric Admin (NOAA) - USA; National Oceanic Atmospheric Admin (NOAA) - USA</t>
  </si>
  <si>
    <t>Newman, M (corresponding author), Univ Colorado, CIRES, Boulder, CO 80309 USA.;Newman, M (corresponding author), NOAA, Earth Syst Res Lab, Phys Sci Div, Boulder, CO 80305 USA.</t>
  </si>
  <si>
    <t>Smith, Catherine/H-5055-2016; Wittenberg, Anew/G-9619-2013; Wittenberg, Andrew/G-9619-2013; COMPO, GILBERT/X-3024-2019; Knutson, Thomas/G-7457-2019; Newman, Matthew/F-8336-2010</t>
  </si>
  <si>
    <t>Smith, Catherine/0000-0003-2687-6046; Wittenberg, Anew/0000-0003-1680-8963; Knutson, Thomas/0000-0003-4541-519X; Newman, Matthew/0000-0001-5348-2312</t>
  </si>
  <si>
    <t>AMER METEOROLOGICAL SOC</t>
  </si>
  <si>
    <t>BOSTON</t>
  </si>
  <si>
    <t>45 BEACON ST, BOSTON, MA 02108-3693 USA</t>
  </si>
  <si>
    <t>0003-0007</t>
  </si>
  <si>
    <t>1520-0477</t>
  </si>
  <si>
    <t>B AM METEOROL SOC</t>
  </si>
  <si>
    <t>Bull. Amer. Meteorol. Soc.</t>
  </si>
  <si>
    <t>S</t>
  </si>
  <si>
    <t>S16</t>
  </si>
  <si>
    <t>S20</t>
  </si>
  <si>
    <t>10.1175/BAMS-D-17-0116.1</t>
  </si>
  <si>
    <t>Meteorology &amp; Atmospheric Sciences</t>
  </si>
  <si>
    <t>GB8IG</t>
  </si>
  <si>
    <t>WOS:000429319000004</t>
  </si>
  <si>
    <t>Risser, MD; Wehner, MF</t>
  </si>
  <si>
    <t>Risser, Mark D.; Wehner, Michael F.</t>
  </si>
  <si>
    <t>Attributable Human-Induced Changes in the Likelihood and Magnitude of the Observed Extreme Precipitation during Hurricane Harvey</t>
  </si>
  <si>
    <t>GEOPHYSICAL RESEARCH LETTERS</t>
  </si>
  <si>
    <t>attribution; extreme value analysis; global historical climatology network; Hurricane Harvey; climate change</t>
  </si>
  <si>
    <t>CLIMATE; IMPACT</t>
  </si>
  <si>
    <t>Record rainfall amounts were recorded during Hurricane Harvey in the Houston, Texas, area, leading to widespread flooding. We analyze observed precipitation from the Global Historical Climatology Network with a covariate-based extreme value statistical analysis, accounting for both the external influence of global warming and the internal influence of El Nino-Southern Oscillation. We find that human-induced climate change likely increased the chances of the observed precipitation accumulations during Hurricane Harvey in the most affected areas of Houston by a factor of at least 3.5. Further, precipitation accumulations in these areas were likely increased by at least 18.8% (best estimate of 37.7%), which is larger than the 6-7% associated with an attributable warming of 1 degrees C in the Gulf of Mexico and Clausius-Clapeyron scaling. In a Granger causality sense, these statements provide lower bounds on the impact of climate change and motivate further attribution studies using dynamical climate models.</t>
  </si>
  <si>
    <t>[Risser, Mark D.] Lawrence Berkeley Natl Lab, Climate &amp; Ecosyst Sci Div, Berkeley, CA 94720 USA; [Wehner, Michael F.] Lawrence Berkeley Natl Lab, Computat Res Div, Berkeley, CA USA</t>
  </si>
  <si>
    <t>United States Department of Energy (DOE); Lawrence Berkeley National Laboratory; United States Department of Energy (DOE); Lawrence Berkeley National Laboratory</t>
  </si>
  <si>
    <t>Risser, MD (corresponding author), Lawrence Berkeley Natl Lab, Climate &amp; Ecosyst Sci Div, Berkeley, CA 94720 USA.</t>
  </si>
  <si>
    <t>mdrisser@lbl.gov</t>
  </si>
  <si>
    <t>Risser, Mark/J-5801-2015; Wehner, Michael/F-7841-2015</t>
  </si>
  <si>
    <t>Risser, Mark/0000-0003-1956-1783; Wehner, Michael/0000-0001-5991-0082</t>
  </si>
  <si>
    <t>Office of Science, Office of Biological and Environmental Research of the U.S. Department of Energy [DE-AC02-05CH11231]; United States Government</t>
  </si>
  <si>
    <t>Office of Science, Office of Biological and Environmental Research of the U.S. Department of Energy(United States Department of Energy (DOE)); United States Government</t>
  </si>
  <si>
    <t>The authors would like to thank William D. Collins and Benjamin W. Timmermans for helpful discussions, as well as two anonymous reviewers for helpful comments and suggestions. The data supporting this article are based on publicly available measurements from the National Centers for Environmental Information (at ftp://ftp.ncdc.noaa.gov/pub/data/ghcn/daily/). We furthermore note that the key points report what is learned from this study. This research was supported by the Director, Office of Science, Office of Biological and Environmental Research of the U.S. Department of Energy under contract DE-AC02-05CH11231.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</si>
  <si>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AMER GEOPHYSICAL UNION</t>
  </si>
  <si>
    <t>2000 FLORIDA AVE NW, WASHINGTON, DC 20009 USA</t>
  </si>
  <si>
    <t>0094-8276</t>
  </si>
  <si>
    <t>1944-8007</t>
  </si>
  <si>
    <t>GEOPHYS RES LETT</t>
  </si>
  <si>
    <t>Geophys. Res. Lett.</t>
  </si>
  <si>
    <t>DEC 28</t>
  </si>
  <si>
    <t>10.1002/2017GL075888</t>
  </si>
  <si>
    <t>Geosciences, Multidisciplinary</t>
  </si>
  <si>
    <t>Geology</t>
  </si>
  <si>
    <t>FT2FG</t>
  </si>
  <si>
    <t>WOS:000422954700032</t>
  </si>
  <si>
    <t>Qie, L; Lewis, SL; Sullivan, MJP; Lopez-Gonzalez, G; Pickavance, GC; Sunderland, T; Ashton, P; Hubau, W; Abu Salim, K; Aiba, S; Banin, LF; Berry, N; Brearley, FQ; Burslem, DFRP; Dancák, M; Davies, SJ; Fredriksson, G; Hamer, KC; Hédl, R; Kho, LK; Kitayama, K; Krisnawati, H; Lhota, S; Malhi, Y; Maycock, C; Metali, F; Mirmanto, E; Nagy, L; Nilus, R; Ong, R; Pendry, CA; Poulsen, AD; Primack, RB; Rutishauser, E; Samsoedin, I; Saragih, B; Sist, P; Slik, JWF; Sukri, RS; Svátek, M; Tan, S; Tjoa, A; van Nieuwstadt, M; Vernimmen, RRE; Yassir, I; Kidd, PS; Fitriadi, M; Ideris, NKH; Serudin, RM; Lim, LSA; Saparudin, MS; Phillips, OL</t>
  </si>
  <si>
    <t>Qie, Lan; Lewis, Simon L.; Sullivan, Martin J. P.; Lopez-Gonzalez, Gabriela; Pickavance, Georgia C.; Sunderland, Terry; Ashton, Peter; Hubau, Wannes; Abu Salim, Kamariah; Aiba, Shin-Ichiro; Banin, Lindsay F.; Berry, Nicholas; Brearley, Francis Q.; Burslem, David F. R. P.; Dancak, Martin; Davies, Stuart J.; Fredriksson, Gabriella; Hamer, Keith C.; Hedl, Radim; Kho, Lip Khoon; Kitayama, Kanehiro; Krisnawati, Haruni; Lhota, Stanislav; Malhi, Yadvinder; Maycock, Colin; Metali, Faizah; Mirmanto, Edi; Nagy, Laszlo; Nilus, Reuben; Ong, Robert; Pendry, Colin A.; Poulsen, Axel Dalberg; Primack, Richard B.; Rutishauser, Ervan; Samsoedin, Ismayadi; Saragih, Bernaulus; Sist, Plinio; Slik, J. W. Ferry; Sukri, Rahayu Sukmaria; Svatek, Martin; Tan, Sylvester; Tjoa, Aiyen; van Nieuwstadt, Mark; Vernimmen, Ronald R. E.; Yassir, Ishak; Susan Kidd, Petra; Fitriadi, Muhammad; Ideris, Nur Khalish Hafizhah; Serudin, Rafizah Mat; Lim, Layla Syaznie Abdullah; Saparudin, Muhammad Shahruney; Phillips, Oliver L.</t>
  </si>
  <si>
    <t>Long-term carbon sink in Borneo's forests halted by drought and vulnerable to edge effects</t>
  </si>
  <si>
    <t>NATURE COMMUNICATIONS</t>
  </si>
  <si>
    <t>TROPICAL FORESTS; RAIN-FOREST; SPECIES COMPOSITION; BIOMASS DYNAMICS; TREE MORTALITY; BALANCE; CO2; FRAGMENTATION; SENSITIVITY; DIVERSITY</t>
  </si>
  <si>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</si>
  <si>
    <t>[Qie, Lan; Lewis, Simon L.; Sullivan, Martin J. P.; Lopez-Gonzalez, Gabriela; Pickavance, Georgia C.; Hubau, Wannes; Banin, Lindsay F.; Berry, Nicholas; Phillips, Oliver L.] Univ Leeds, Sch Geog, Leeds LS2 9JT, W Yorkshire, England; [Qie, Lan] Imperial Coll London, Dept Life Sci, Silwood Pk Campus, Ascot SL5 7PY, Berks, England; [Lewis, Simon L.] UCL, Dept Geog, London WC1E 6BT, England; [Sunderland, Terry] Ctr Int Forestry Res, Bogor 16115, Barat, Indonesia; [Sunderland, Terry] James Cook Univ, Sch Environm &amp; Marine Sci, 1 James Cook Dr, Townsville, Qld 4811, Australia; [Ashton, Peter] Harvard Univ, Dept Organism &amp; Evolutionary Biol, 22 Divin Ave, Cambridge, MA 02138 USA; [Hubau, Wannes] Royal Museum Cent Africa, Lab Wood Biol &amp; Xylarium, Leuvensesteenweg 13, B-3080 Tervuren, Belgium; [Abu Salim, Kamariah; Metali, Faizah; Slik, J. W. Ferry; Sukri, Rahayu Sukmaria; Ideris, Nur Khalish Hafizhah; Serudin, Rafizah Mat; Lim, Layla Syaznie Abdullah; Saparudin, Muhammad Shahruney] Univ Brunei Darussalam, Fac Sci, Environm &amp; Life Sci Programme, Gadong BE1410, Brunei; [Aiba, Shin-Ichiro] Kagoshima Univ, Grad Sch Sci &amp; Engn, Kagoshima 8900065, Japan; [Banin, Lindsay F.] Ctr Ecol &amp; Hydrol, Penicuik EH26 0QB, Midlothian, Scotland; [Berry, Nicholas] Bioclimate, Thorn House,5 Rose St, Edinburgh EH2 2PR, Midlothian, Scotland; [Brearley, Francis Q.] Manchester Metropolitan Univ, Sch Sci &amp; Environm, Chester St, Manchester M1 5GD, Lancs, England; [Burslem, David F. R. P.] Univ Aberdeen, Sch Biol Sci, Cruickshank Bldg,St Machar Dr, Aberdeen AB24 3UU, Scotland; [Dancak, Martin] Palacky Univ Olomouc, Fac Sci, Dept Ecol &amp; Environm Sci, Slechtitelu 27, CZ-78371 Olomouc, Czech Republic; [Davies, Stuart J.] Smithsonian Trop Res Inst, Forest Global Earth Observ, Ctr Trop Forest Sci, Washington, DC 20013 USA; [Davies, Stuart J.] Nanyang Technol Univ, Asian Sch Environm, 50 Nanyang Ave, Singapore 639798, Singapore; [Fredriksson, Gabriella] Univ Amsterdam, Inst Biodivers &amp; Ecosystem Dynam, NL-1012 WX Amsterdam, Netherlands; [Fredriksson, Gabriella] Pro Nat Fdn, Jl Jend Sudirman 37, Balikpapan 76112, Indonesia; [Fredriksson, Gabriella] SOCP, Pan Eco, Jl Wahid Hasyim 51-74, Medan 20154, Indonesia; [Hamer, Keith C.] Univ Leeds, Sch Biol, Leeds LS2 9JT, W Yorkshire, England; [Hedl, Radim] Czech Acad Sci, Inst Bot, Dept Vegetat Ecol, Lidicka 25-27, CZ-60200 Brno, Czech Republic; [Hedl, Radim] Palacky Univ Olomouc, Fac Sci, Dept Bot, Slechtitelu 27, CZ-78371 Olomouc, Czech Republic; [Kho, Lip Khoon] Malaysian Palm Oil Board, Trop Peat Res Inst, Biol Res Div, Bangi 43000, Kajang, Malaysia; [Kitayama, Kanehiro] Kyoto Univ, Grad Sch Agr, Kyoto 6068502, Japan; [Krisnawati, Haruni; Samsoedin, Ismayadi] Minist Environm &amp; Forestry, Res Dev &amp; Innovat Agcy, Forest Res &amp; Dev Ctr, Jl Gunung Batu 5, Bogor 16610, Indonesia; [Lhota, Stanislav] Czech Univ Life Sci, Fac Trop Agrisci, Dept Anim Sci &amp; Food Proc, Kamycka 129, Prague 16500 6, Czech Republic; [Lhota, Stanislav] Usti Nad Labem Zoo, Drazdanska 23, Usti Nad Labem 40007, Czech Republic; [Malhi, Yadvinder] Univ Oxford, Environm Change Inst, Sch Geog &amp; Environm, Oxford OX1 3QY, England; [Maycock, Colin] Univ Malaysia Sabah, Fac Sci &amp; Nat Resources, Int Trop Forestry, Kota Kinabalu 88400, Malaysia; [Mirmanto, Edi] Indonesian Inst Sci, Res Ctr Biol, Jl Raya Jakarta Bogor KM 46, Cibinong 16911, Indonesia; [Nagy, Laszlo] Univ Estadual Campinas, BR-13083970 Campinas, SP, Brazil; [Nilus, Reuben; Ong, Robert] Forest Res Ctr, Sabah Forestry Dept, Mile 14 Jl, Sandakan 90000, Malaysia; [Pendry, Colin A.; Poulsen, Axel Dalberg] Royal Bot Garden Edinburgh, Edinburgh EH3 5LR, Midlothian, Scotland; [Primack, Richard B.] Boston Univ, Biol Dept, 5 Cummington Mall, Boston, MA 02215 USA; [Rutishauser, Ervan] Smithsonian Trop Res Inst, Balboa 03092, Ancon, Panama; [Rutishauser, Ervan] Carboforexpert, CH-1248 Hermance, Switzerland; [Saragih, Bernaulus] Mulawarman Univ, Fac Forestry, Samarinda 75123, Indonesia; [Sist, Plinio] CIRAD Univ, Forests &amp; Soc Res Unit, Campus Int Baillarguet,TA C-105-D, F-34398 Montpellier 5, France; [Svatek, Martin] Mendel Univ Brno, Fac Forestry &amp; Wood Technol, Dept Forest Bot Dendrol &amp; Geobiocoenol, Zemedelska 3, Brno 61300, Czech Republic; [Tan, Sylvester] CTFS ForestGEO Program, Miri 98000, Sarawak, Malaysia; [Tjoa, Aiyen] Tadulako Univ, Agr Fac, Jln Soekarno Hatta Km 09, Tondo 94118, Indonesia; [van Nieuwstadt, Mark] Univ Utrecht, Dompl 29, NL-3512 JE Utrecht, Netherlands; [Vernimmen, Ronald R. E.] Deltares, Boussinesqweg 1, NL-2629 HV Delft, Netherlands; [Yassir, Ishak] Minist Environm &amp; Forestry, Res Dev &amp; Innovat Agcy, Balitek KSDA, Jl Soekarno Hatta KM 38,RT 09, Samboja, Indonesia; [Susan Kidd, Petra] CSIC, IIAG, Santiago De Compostela 15705, Spain; [Fitriadi, Muhammad] Sungai Wain Protected Forest Management Unit, KM 23,Kel Karang Joang, Balikpapan 76101, Indonesia</t>
  </si>
  <si>
    <t>University of Leeds; Imperial College London; University of London; University College London; CGIAR; Center for International Forestry Research (CIFOR); James Cook University; Harvard University; Royal Museum for Central Africa; University Brunei Darussalam; Kagoshima University; UK Centre for Ecology &amp; Hydrology (UKCEH); Manchester Metropolitan University; University of Aberdeen; Palacky University Olomouc; Smithsonian Institution; Smithsonian Tropical Research Institute; Nanyang Technological University; University of Amsterdam; University of Leeds; Czech Academy of Sciences; Institute of Botany of the Czech Academy of Sciences; Palacky University Olomouc; Malaysian Palm Oil Board; Kyoto University; Ministry of Environment &amp; Forestry; Czech University of Life Sciences Prague; University of Oxford; Universiti Kebangsaan Malaysia; Universiti Malaysia Sabah; National Research &amp; Innovation Agency of Indonesia (BRIN); Universidade Estadual de Campinas; Pusat Penyelidikan Hutan; Boston University; Smithsonian Institution; Smithsonian Tropical Research Institute; Universitas Mulawarman; CIRAD; Mendel University in Brno; Universitas Tadulako; Utrecht University; Deltares; Ministry of Environment &amp; Forestry; Consejo Superior de Investigaciones Cientificas (CSIC); CSIC - Instituto de Investigaciones Agrobiologicas de Galicia (IIAG)</t>
  </si>
  <si>
    <t>Qie, L (corresponding author), Univ Leeds, Sch Geog, Leeds LS2 9JT, W Yorkshire, England.;Qie, L (corresponding author), Imperial Coll London, Dept Life Sci, Silwood Pk Campus, Ascot SL5 7PY, Berks, England.</t>
  </si>
  <si>
    <t>qie.lan@gmail.com</t>
  </si>
  <si>
    <t>Sukri, Rahayu/AAJ-9640-2020; Malhi, Yadvinder/I-4668-2012; Sunderland, Terence/AAS-5080-2021; Burslem, David/F-1204-2019; Lewis, Simon/I-9025-2012; Kho, Lip/AAI-6639-2020; Metali, Faizah/F-5463-2014; Maycock, Colin/H-3556-2013; Dančák, Martin/AAB-9537-2019; Krisnawati, Haruni/R-5025-2019; hubau, wannes/AAA-8502-2019; Sunderland, Terence/AAE-7851-2019; Phillips, Oliver/A-1523-2011; Rutishauser, Ervan/A-9076-2011; Hédl, Radim/A-5631-2011; Qie, Lan/B-8581-2011; Aiba, Shin-ichiro/A-3011-2010; Tjoa, A/AAL-5676-2020; Nagy, Laszlo/A-7689-2014; Svátek, Martin/C-1890-2014</t>
  </si>
  <si>
    <t>Sunderland, Terence/0000-0002-1985-9849; Burslem, David/0000-0001-6033-0990; Maycock, Colin/0000-0002-4368-2545; Sullivan, Martin/0000-0002-5955-0483; Aiba, Shin-ichiro/0000-0002-3844-0138; Kidd, Petra/0000-0002-1721-7367; Dančák, Martin/0000-0002-3851-4969; Lewis, Simon/0000-0002-8066-6851; Peny, Colin Alistair/0000-0002-7619-824X; Phillips, Oliver/0000-0002-8993-6168; Tjoa, Aiyen/0000-0003-0583-9174; Metali, Faizah/0000-0002-2508-1535; Krisnawati, Haruni/0000-0002-2366-6230; Malhi, Yadvinder/0000-0002-3503-4783; Vernimmen, Ronald/0000-0002-9899-3826; Nagy, Laszlo/0009-0008-7792-1082; Sukri, Rahayu Sukmaria/0000-0002-2662-399X; Svátek, Martin/0000-0003-2328-4627; Lopez-Gonzalez, Gabriela/0000-0002-0814-8830</t>
  </si>
  <si>
    <t>ERC; Indonesian Institute of Sciences (LIPI) (BUL plots); STREK project; CIRAD, The Ministry of Forestry of Indonesia; INHUTANI I (STR plots); ERC (T- FORCES); NERC [NER/A/S/2000/00532, NE/B503384/1, NE/N012542/1, NE/P00363X/1]; T- FORCES; CIFOR; Royal Society University Research Fellowship; Royal Society; NERC; RGS-IBG Henrietta Hutton grant; University of Brunei Darussalam; Czech Academy of Sciences [RVO 67985939]; Primate Conservation Inc.; Ministry of Education, Youth and Sports grant of the Czech Republic [INGO II LG15051]; Netherlands Foundation for the Advancement of Tropical Research (WOTRO) [W76-217]; Natural Environment Research Council [NE/N012542/1, NE/B503384/1, ceh020011, NE/M004848/1, NE/P004806/1, NE/P00363X/1] Funding Source: researchfish; NERC [NE/N012542/1, NE/P00363X/1, NE/P004806/1, NE/M004848/1, ceh020011] Funding Source: UKRI</t>
  </si>
  <si>
    <t>ERC(European Research Council (ERC)); Indonesian Institute of Sciences (LIPI) (BUL plots)(Ministry of Research and Technology of the Republic of Indonesia (RISTEK)); STREK project; CIRAD, The Ministry of Forestry of Indonesia; INHUTANI I (STR plots); ERC (T- FORCES)(European Research Council (ERC)); NERC(UK Research &amp; Innovation (UKRI)Natural Environment Research Council (NERC)); T- FORCES; CIFOR(CGIAR); Royal Society University Research Fellowship(Royal Society UK); Royal Society(Royal Society UK); NERC(UK Research &amp; Innovation (UKRI)Natural Environment Research Council (NERC)); RGS-IBG Henrietta Hutton grant; University of Brunei Darussalam; Czech Academy of Sciences(Czech Academy of Sciences); Primate Conservation Inc.; Ministry of Education, Youth and Sports grant of the Czech Republic; Netherlands Foundation for the Advancement of Tropical Research (WOTRO); Natural Environment Research Council(UK Research &amp; Innovation (UKRI)Natural Environment Research Council (NERC)); NERC(UK Research &amp; Innovation (UKRI)Natural Environment Research Council (NERC))</t>
  </si>
  <si>
    <t>This paper is a product of the T-FORCES forest monitoring network (Tropical Forests in the Changing Earth System), supported by an ERC Advanced Grant to O.L.P. and by many institutions, NGOs, government agencies and local communities in Malaysia, Brunei, and Indonesia. We are grateful for historical plot data contributed by the Center for Tropical Forest Science (CTFS; two LAM plots and one BEL plot), the Global Ecosystem Monitoring network (GEM; two LAM plots), Institute for Biodiversity and Environmental Research, Universiti Brunei Darussalam (Brunei plots), Kagoshima University (KIS and KIU plots), Forest Department Sarawak (BKO, LAM, MER and GMU plots), Forest Research Centre, Sabah Forestry Department (SEP plots), the Tropenbos Kalimantan project (ITCI plots), Project Barito Ulu, supported by Indonesian Institute of Sciences (LIPI) (BUL plots), and the STREK project, supported by CIRAD, The Ministry of Forestry of Indonesia, and INHUTANI I (STR plots). We are indebted to a great many individuals who contributed to historical data collection. Contemporary fieldwork was supported by a grant from the ERC (T- FORCES) and from NERC (grants NER/A/S/2000/00532, NE/B503384/1, NE/N012542/1). L.Q. was supported by T- FORCES, CIFOR and NERC NE/P00363X/1. S.L.L. was supported by a Royal Society University Research Fellowship, T- FORCES and a Phillip Leverhulme Prize. O.L.P. is supported by T- FORCES and a Royal Society Wolfson Research Merit Award. M.J.P.S. is supported by T- FORCES and NERC NE/N012542/1. L.F.B. was supported by a NERC studentship to the University of Leeds and a RGS-IBG Henrietta Hutton grant. R.H. was supported by a University of Brunei Darussalam Research Fellowship (2011) and a long-term research project RVO 67985939 from the Czech Academy of Sciences. S.L. received additional support from Primate Conservation Inc. M.S. was supported by a Ministry of Education, Youth and Sports grant of the Czech Republic INGO II LG15051. R.R.E.V. was supported by the Netherlands Foundation for the Advancement of Tropical Research (WOTRO, grant No. W76-217). We thank Forest Department Sarawak, Sabah Biodiversity Centre, Sabah Forestry Department, Forest Department Brunei, Institute for Biodiversity and Environmental Research, University of Brunei Darussalam and Indonesia Ministry of Research, Technology, and Higher Education for research permissions. We thank Bako National Park, Lambir Hills National Park, Gunung Mulu National Park, Kuala Belalong Field Study Centre (KBFSC), Glen Reynolds (SEARRP), Danum Valley Conservation Area, Rainforest Discovery Centre Sepilok, Sepilok Laut Reception Centre, Borneo Orangutan Survival Foundation (BOSF), Sungai Wain Protection Forest Management Unit, WWF East Kalimantan and PT. ITCIKU East Kalimantan for logistical support for fieldwork. We thank Timothy Baker, Roel Brienen, Emanuel Gloor, Adriane Esquivel Muelbert and Nicolas Labriere for comments on the manuscript. We thank our deceased colleagues, John Proctor and Suriantata, for their invaluable contributions to both historical work and our wider understanding of tropical forest ecology.</t>
  </si>
  <si>
    <t>2041-1723</t>
  </si>
  <si>
    <t>NAT COMMUN</t>
  </si>
  <si>
    <t>Nat. Commun.</t>
  </si>
  <si>
    <t>DEC 19</t>
  </si>
  <si>
    <t>10.1038/s41467-017-01997-0</t>
  </si>
  <si>
    <t>FQ4NK</t>
  </si>
  <si>
    <t>Green Accepted, Green Submitted, gold</t>
  </si>
  <si>
    <t>WOS:000418334200001</t>
  </si>
  <si>
    <t>Johnson, AC; Donnachie, RL; Sumpter, JP; Jurgens, MD; Moeckel, C; Pereira, MG</t>
  </si>
  <si>
    <t>Johnson, Andrew C.; Donnachie, Rachel L.; Sumpter, John P.; Jurgens, Monika D.; Moeckel, Claudia; Pereira, M. Gloria</t>
  </si>
  <si>
    <t>An alternative approach to risk rank chemicals on the threat they pose to the aquatic environment</t>
  </si>
  <si>
    <t>SCIENCE OF THE TOTAL ENVIRONMENT</t>
  </si>
  <si>
    <t>Chemical; Risk; Ranking; Freshwater; Metals; Organics</t>
  </si>
  <si>
    <t>ORGANIC MICROCONTAMINANTS; PRIORITIZATION; QUALITY; MICROPOLLUTANTS; POLLUTANTS; HEALTH; RIVERS</t>
  </si>
  <si>
    <t>This work presents a new and unbiased method of risk ranking chemicals based on the threat they pose to the aquatic environment. The study ranked 12 metals, 23 pesticides, 11 other persistent organic pollutants (POPs), 13 pharmaceuticals, 10 surfactants and similar compounds and 2 nanoparticles (total of 71) of concern against one another by comparing their median UK river water and median ecotoxicity effect concentrations. To complement this, by giving an assessment on potential wildlife impacts, risk ranking was also carried out by comparing the lowest 10th percentile of the effects data with the highest 90th percentile of the exposure data. In other words, risk was pared down to just toxicity versus exposure. Further modifications included incorporating bioconcentration factors, using only recent water measurements and excluding either lethal or sub-lethal effects. The top ten chemicals, based on the medians, which emerged as having the highest risk to organisms in UK surface waters using all the ecotoxicity data were copper, aluminium, zinc, ethinylestradiol (EE2), linear alkylbenzene sulfonate (LAS), triclosan, manganese, iron, methomyl and chlorpyrifos. By way of contrast, using current UK environmental quality standards as the comparator to median UK river water concentrations would have selected 6 different chemicals in the top ten. This approach revealed big differences in relative risk; for example, zinc presented a million times greater risk then metoprolol and LAS 550 times greater risk than nanosilver. With the exception of EE2, most pharmaceuticals were ranked as having a relatively low risk. (C) 2017 Elsevier B.V. All rights reserved.</t>
  </si>
  <si>
    <t>[Johnson, Andrew C.; Donnachie, Rachel L.; Jurgens, Monika D.] Ctr Ecol &amp; Hydrol, Wallingford OX10 8BB, Oxon, England; [Sumpter, John P.] Brunel Univ London, Inst Environm Hlth &amp; Soc, Uxbridge UB8 3PH, Middx, England; [Moeckel, Claudia; Pereira, M. Gloria] Ctr Ecol &amp; Hydrol, Lancaster LA1 4AP, England</t>
  </si>
  <si>
    <t>UK Centre for Ecology &amp; Hydrology (UKCEH); Brunel University; UK Centre for Ecology &amp; Hydrology (UKCEH)</t>
  </si>
  <si>
    <t>Johnson, AC (corresponding author), Ctr Ecol &amp; Hydrol, Wallingford OX10 8BB, Oxon, England.</t>
  </si>
  <si>
    <t>ajo@ceh.ac.uk</t>
  </si>
  <si>
    <t>sumpter, john/HGB-7584-2022; Jürgens, Monika/B-2225-2008; Pereira, M Gloria/K-3024-2012; Donnachie, Rachel/JRX-8204-2023; Pereira, M. Gloria/K-3024-2012; Jürgens, Monika/B-2225-2008</t>
  </si>
  <si>
    <t>Jürgens, Monika/0000-0002-6526-589X; Pereira, M Gloria/0000-0003-3740-0019; Jürgens, Monika/0000-0002-6526-589X</t>
  </si>
  <si>
    <t>UK's Department for Environment, Food and Rural Affairs [00462]</t>
  </si>
  <si>
    <t>UK's Department for Environment, Food and Rural Affairs(Department for Environment, Food &amp; Rural Affairs (DEFRA))</t>
  </si>
  <si>
    <t>We would like to thank the UK's Department for Environment, Food and Rural Affairs for funding this project (00462). The views expressed here are of the authors alone. We would also like to thank colleagues at Brunel University and CEH for their advice on the project</t>
  </si>
  <si>
    <t>ELSEVIER SCIENCE BV</t>
  </si>
  <si>
    <t>PO BOX 211, 1000 AE AMSTERDAM, NETHERLANDS</t>
  </si>
  <si>
    <t>0048-9697</t>
  </si>
  <si>
    <t>1879-1026</t>
  </si>
  <si>
    <t>SCI TOTAL ENVIRON</t>
  </si>
  <si>
    <t>Sci. Total Environ.</t>
  </si>
  <si>
    <t>DEC 1</t>
  </si>
  <si>
    <t>10.1016/j.scitotenv.2017.05.039</t>
  </si>
  <si>
    <t>Environmental Sciences</t>
  </si>
  <si>
    <t>FA2EL</t>
  </si>
  <si>
    <t>Green Published, Green Accepted, hybrid</t>
  </si>
  <si>
    <t>WOS:000405253500033</t>
  </si>
  <si>
    <t>Zisenis, M</t>
  </si>
  <si>
    <t>Zisenis, Marcus</t>
  </si>
  <si>
    <t>Is the Natura 2000 network of the European Union the key land use policy tool for preserving Europe's biodiversity heritage?</t>
  </si>
  <si>
    <t>LAND USE POLICY</t>
  </si>
  <si>
    <t>Ecosystem approach; EU Biodiversity Strategy; EU land use policy; Landscape connectivity; Participation; Protected areas</t>
  </si>
  <si>
    <t>PROTECTED AREAS; CLIMATE-CHANGE; CONSERVATION; BIRDS; MANAGEMENT; BEETLES; SEA</t>
  </si>
  <si>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</si>
  <si>
    <t>[Zisenis, Marcus] Eisenacher Str 54, D-10823 Berlin, Germany</t>
  </si>
  <si>
    <t>Zisenis, M (corresponding author), Eisenacher Str 54, D-10823 Berlin, Germany.</t>
  </si>
  <si>
    <t>marcus.zisenis@alumni.tu-berlin.de</t>
  </si>
  <si>
    <t>0264-8377</t>
  </si>
  <si>
    <t>1873-5754</t>
  </si>
  <si>
    <t>Land Use Pol.</t>
  </si>
  <si>
    <t>DEC</t>
  </si>
  <si>
    <t>10.1016/j.landusepol.2017.09.045</t>
  </si>
  <si>
    <t>Environmental Studies</t>
  </si>
  <si>
    <t>FM3CF</t>
  </si>
  <si>
    <t>WOS:000414881200040</t>
  </si>
  <si>
    <t>Emanuel, K</t>
  </si>
  <si>
    <t>Emanuel, Kerry</t>
  </si>
  <si>
    <t>Assessing the present and future probability of Hurricane Harvey's rainfall</t>
  </si>
  <si>
    <t>hurricanes; climate change; floods</t>
  </si>
  <si>
    <t>CLIMATE-CHANGE</t>
  </si>
  <si>
    <t>We estimate, for current and future climates, the annual probability of areally averaged hurricane rain of Hurricane Harvey's magnitude by downscaling large numbers of tropical cyclones from three climate reanalyses and six climate models. For the state of Texas, we estimate that the annual probability of 500 mm of area-integrated rainfall was about 1% in the period 1981-2000 and will increase to 18% over the period 2081-2100 under Intergovernmental Panel on Climate Change (IPCC) AR5 representative concentration pathway 8.5. If the frequency of such event is increasingly linearly between these two periods, then in 2017 the annual probability would be 6%, a sixfold increase since the late 20th century.</t>
  </si>
  <si>
    <t>[Emanuel, Kerry] MIT, Lorenz Ctr, 77 Massachusetts Ave, Cambridge, MA 02139 USA</t>
  </si>
  <si>
    <t>Massachusetts Institute of Technology (MIT)</t>
  </si>
  <si>
    <t>Emanuel, K (corresponding author), MIT, Lorenz Ctr, 77 Massachusetts Ave, Cambridge, MA 02139 USA.</t>
  </si>
  <si>
    <t>emanuel@mit.edu</t>
  </si>
  <si>
    <t>Emanuel, Kerry/JPL-6089-2023</t>
  </si>
  <si>
    <t>National Science Foundation [AGS-1520683]; Directorate For Geosciences; Div Atmospheric &amp; Geospace Sciences [1520683] Funding Source: National Science Foundation</t>
  </si>
  <si>
    <t>National Science Foundation(National Science Foundation (NSF)); Directorate For Geosciences; Div Atmospheric &amp; Geospace Sciences(National Science Foundation (NSF)NSF - Directorate for Geosciences (GEO))</t>
  </si>
  <si>
    <t>I am grateful for additional thoughtful reviews by Michael Mann and Adam Sobel. This work was supported by the National Science Foundation under Grant AGS-1520683.</t>
  </si>
  <si>
    <t>NOV 28</t>
  </si>
  <si>
    <t>10.1073/pnas.1716222114</t>
  </si>
  <si>
    <t>FO5JK</t>
  </si>
  <si>
    <t>WOS:000416891600045</t>
  </si>
  <si>
    <t>Lichtenberg, EM; Kennedy, CM; Kremen, C; Batáry, P; Berendse, F; Bommarco, R; Bosque-Pérez, NA; Carvalheiro, LG; Snyder, WE; Williams, NM; Winfree, R; Klatt, BK; Åström, S; Benjamin, F; Brittain, C; Chaplin-Kramer, R; Clough, Y; Danforth, B; Diekötter,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Rundlöf, M; Sardiñas, H; Saunders, ME; Schon, NL; Sciligo, AR; Sidhu, CS; Steffan-Dewenter, I; Tscharntke, T; Vesely, M; Weisser, WW; Wilson, JK; Crowder, DW</t>
  </si>
  <si>
    <t>Lichtenberg, Elinor M.; Kennedy, Christina M.; Kremen, Claire; Batary, Peter; Berendse, Frank; Bommarco, Riccardo; Bosque-Perez, Nilsa A.; Carvalheiro, Luisa G.; Snyder, William E.; Williams, Neal M.; Winfree, Rachael; Klatt, Bjoern K.; Astrom, Sandra; Benjamin, Faye; Brittain, Claire; Chaplin-Kramer, Rebecca; Clough, Yann; Danforth, Bryan; Diekoetter, Tim; Eigenbrode, Sanford D.; Ekroos, Johan; Elle, Elizabeth; Freitas, Breno M.; Fukuda, Yuki; Gaines-Day, Hannah R.; Grab, Heather; Gratton, Claudio; Holzschuh, Andrea; Isaacs, Rufus; Isaia, Marco; Jha, Shalene; Jonason, Dennis; Jones, Vincent P.; Klein, Alexandra-Maria; Krauss, Jochen; Letourneau, Deborah K.; Macfadyen, Sarina; Mallinger, Rachel E.; Martin, Emily A.; Martinez, Eliana; Memmott, Jane; Morandin, Lora; Neame, Lisa; Otieno, Mark; Park, Mia G.; Pfiffner, Lukas; Pocock, Michael J. O.; Ponce, Carlos; Potts, Simon G.; Poveda, Katja; Ramos, Mariangie; Rosenheim, Jay A.; Rundlof, Maj; Sardinas, Hillary; Saunders, Manu E.; Schon, Nicole L.; Sciligo, Amber R.; Sidhu, C. Sheena; Steffan-Dewenter, Ingolf; Tscharntke, Teja; Vesely, Milan; Weisser, Wolfgang W.; Wilson, Julianna K.; Crowder, David W.</t>
  </si>
  <si>
    <t>A global synthesis of the effects of diversified farming systems on arthropod diversity within fields and across agricultural landscapes</t>
  </si>
  <si>
    <t>agricultural management schemes; arthropod diversity; biodiversity; evenness; functional groups; landscape complexity; meta-analysis; organic farming; plant diversity</t>
  </si>
  <si>
    <t>ORGANIC AGRICULTURE; RESPONSE DIVERSITY; SPECIES RICHNESS; BIODIVERSITY; EVENNESS; INTENSIFICATION; CONSERVATION; METAANALYSIS; MANAGEMENT; PEST</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</si>
  <si>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</si>
  <si>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[Lichtenberg, Elinor M.; Snyder, William E.; Crowder, David W.] Washington State Univ, Dept Entomol, Pullman, WA 99164 USA; [Lichtenberg, Elinor M.] Univ Arizona, Dept Ecol &amp; Evolut Biol, Tucson, AZ 85721 USA; [Kennedy, Christina M.] Nature Conservancy, Global Lands Program, Ft Collins, CO USA; [Kremen, Claire; Sardinas, Hillary; Sciligo, Amber R.] Univ Calif Berkeley, Dept Environm Sci Policy &amp; Management, Berkeley, CA 94720 USA; [Batary, Peter; Klatt, Bjoern K.; Tscharntke, Teja] Univ Gottingen, Agroecol, Gottingen, Germany; [Berendse, Frank] Wageningen Univ, Nat Conservat &amp; Plant Ecol Grp, Wageningen, Netherlands; [Bommarco, Riccardo] Swedish Univ Agr Sci, Dept Ecol, Uppsala, Sweden; [Bosque-Perez, Nilsa A.; Eigenbrode, Sanford D.] Univ Idaho, Dept Entomol Plant Pathol &amp; Nematol, Moscow, ID 83843 USA; [Carvalheiro, Luisa G.] Univ Brasilia, Dept Ecol, Brasilia, DF, Brazil; [Carvalheiro, Luisa G.] Univ Lisbon, Ctr Ecol Evolut &amp; Environm Changes CE3C, Fac Ciencias, Lisbon, Portugal; [Williams, Neal M.; Brittain, Claire; Rosenheim, Jay A.] Univ Calif Davis, Dept Entomol &amp; Nematol, Davis, CA 95616 USA; [Winfree, Rachael; Benjamin, Faye] Rutgers State Univ, Dept Ecol Evolut &amp; Nat Resources, New Brunswick, NJ USA; [Klatt, Bjoern K.; Clough, Yann; Ekroos, Johan] Lund Univ, Ctr Environm &amp; Climate Res, Lund, Sweden; [Klatt, Bjoern K.; Rundlof, Maj] Lund Univ, Dept Biol, Lund, Sweden; [Astrom, Sandra] Norwegian Inst Nat Res NINA, Trondheim, Norway; [Chaplin-Kramer, Rebecca] Stanford Univ, Nat Capital Project, Stanford, CA 94305 USA; [Danforth, Bryan; Grab, Heather; Park, Mia G.; Poveda, Katja] Cornell Univ, Dept Entomol, Ithaca, NY 14853 USA; [Diekoetter, Tim] Univ Kiel, Dept Landscape Ecol, Kiel, Germany; [Elle, Elizabeth] Simon Fraser Univ, Dept Biol Sci, Burnaby, BC, Canada; [Freitas, Breno M.] Univ Fed Ceara, Dept Zootecnia, Fortaleza, CE, Brazil; [Fukuda, Yuki] Univ Otago, Ctr Study Agr Food &amp; Environm, Dunedin, New Zealand; [Gaines-Day, Hannah R.; Gratton, Claudio; Mallinger, Rachel E.] Univ Wisconsin, Dept Entomol, Madison, WI 53706 USA; [Holzschuh, Andrea; Krauss, Jochen; Martin, Emily A.; Steffan-Dewenter, Ingolf] Univ Wurzburg, Dept Anim Ecol &amp; Trop Biol, Biocenter, Wurzburg, Germany; [Isaacs, Rufus; Wilson, Julianna K.] Michigan State Univ, Dept Entomol, E Lansing, MI 48824 USA; [Isaia, Marco] Univ Torino, Dept Life Sci &amp; Syst Biol, Turin, Italy; [Jha, Shalene] Univ Texas Austin, Dept Integrat Biol, Austin, TX 78712 USA; [Jonason, Dennis] Stockholm Univ, Dept Phys Geog, Stockholm, Sweden; [Jones, Vincent P.] Washington State Univ, Ctr Tree Fruit Res &amp; Extens, Dept Entomol, Wenatchee, WA 98801 USA; [Klein, Alexandra-Maria] Univ Freiburg, Fac Environm &amp; Nat Resources, Nat Conservat &amp; Landscape Ecol, Freiburg, Germany; [Letourneau, Deborah K.] Univ Calif Santa Cruz, Dept Environm Studies, Santa Cruz, CA 95064 USA; [Macfadyen, Sarina] CSIRO, Acton, ACT, Australia; [Martinez, Eliana] Ctr Invest Obonuco, CORPOICA, Pasto, Colombia; [Memmott, Jane] Univ Bristol, Sch Biol Sci, Bristol, Avon, England; [Morandin, Lora] Pollinator Partnership Canada, Victoria, BC, Canada; [Neame, Lisa] Alberta Environm &amp; Parks, Reg Planning Branch, Edmonton, AB, Canada; [Otieno, Mark] Embu Univ Coll, Dept Agr Resource Management, Embu, Kenya; [Park, Mia G.] Univ North Dakota, Dept Humanities &amp; Integrated Studies, Grand Forks, ND 58201 USA; [Pfiffner, Lukas] Res Inst Organ Agr, Dept Crop Sci, Frick, Switzerland; [Pocock, Michael J. O.] NERC Ctr Ecol &amp; Hydrol, Wallingford, Oxon, England; [Ponce, Carlos] Museo Nacl Ciencias Nat, CSIC, Dept Evolutionary Ecol, Madrid, Spain; [Potts, Simon G.] Univ Reading, Sch Agr Policy &amp; Dev, Ctr Agrienvironm Res, Reading, Berks, England; [Ramos, Mariangie] Univ Puerto Rico, Dept Agr Technol, Utuado, PR USA; [Saunders, Manu E.] Charles Sturt Univ, Inst Land Water &amp; Soc, Albury, NSW, Australia; [Schon, Nicole L.] AgResearch, Lincoln Res Ctr, Christchurch, New Zealand; [Sidhu, C. Sheena] Univ Calif Cooperat Extens, Half Moon Bay, CA USA; [Vesely, Milan] Palacky Univ, Fac Sci, Dept Zool, Olomouc, Czech Republic; [Weisser, Wolfgang W.] Tech Univ Munich, Sch Life Sci Weihenstephan, Dept Ecol &amp; Ecosyst Management, Terrestrial Ecol Res Grp, Freising Weihenstephan, Germany</t>
  </si>
  <si>
    <t>Washington State University; University of Arizona; Nature Conservancy; University of California System; University of California Berkeley; University of Gottingen; Wageningen University &amp; Research; Swedish University of Agricultural Sciences; University of Idaho; Universidade de Brasilia; Universidade de Lisboa; University of California System; University of California Davis; Rutgers University System; Rutgers University New Brunswick; Lund University; Lund University; Norwegian Institute Nature Research; Stanford University; Cornell University; University of Kiel; Simon Fraser University; Universidade Federal do Ceara; University of Otago; University of Wisconsin System; University of Wisconsin Madison; University of Wurzburg; Michigan State University; University of Turin; University of Texas System; University of Texas Austin; Stockholm University; Washington State University; University of Freiburg; University of California System; University of California Santa Cruz; Commonwealth Scientific &amp; Industrial Research Organisation (CSIRO); Corporacion Colombiana de Investigacion Agropecuaria, AGROSAVIA; University of Bristol; University of North Dakota Grand Forks; UK Centre for Ecology &amp; Hydrology (UKCEH); Consejo Superior de Investigaciones Cientificas (CSIC); CSIC - Museo Nacional de Ciencias Naturales (MNCN); University of Reading; University of Puerto Rico; University of Puerto Rico at Utuado; Charles Sturt University; AgResearch - New Zealand; University of California System; Palacky University Olomouc; Technical University of Munich</t>
  </si>
  <si>
    <t>Lichtenberg, EM (corresponding author), Univ Texas Austin, Dept Integrat Biol, Austin, TX 78712 USA.</t>
  </si>
  <si>
    <t>elichten@utexas.edu</t>
  </si>
  <si>
    <t>Vesely, Milan/MNH-4492-2025; Otieno, Mark/ADR-3648-2022; Neame, Lisa/AAJ-9395-2021; Isaia, Marco/I-1629-2015; Weisser, Wolfgang/B-9718-2014; Macfadyen, Sarina/C-1511-2008; Saunders, Manu/H-4246-2019; , Claudio/KRP-6122-2024; Krauss, Jochen/C-6216-2014; Klein, Alexana-Maria/J-5871-2016; Isaacs, Rufus/AAF-4646-2019; Klein, Alexandra/J-5871-2016; Pocock, Michael/A-5632-2012; Potts, Simon/C-7250-2008; Diekötter, Tim/L-2463-2016; ISAIA, Marco/I-1629-2015; Tscharntke, Teja/N-5123-2014; Batary, Peter/A-2349-2008; Steffan-Dewenter, Ingolf/AFJ-8134-2022; Martin, Emily/AAZ-3865-2021; Freitas, Breno M/F-9509-2012; Williams, Neal/AGF-7865-2022; Clough, Yann/B-9739-2014; Lichtenberg, Elinor/I-4126-2012; Freitas, Breno/F-9509-2012; Schon, Nicole/E-5828-2011; Bommarco, Riccardo/E-7109-2016; Holzschuh, Andrea/X-8989-2018; Letourneau, Deborah/G-3694-2011; Carvalheiro, Luisa/D-9414-2012; Kremen, Claire/AFP-5986-2022; Rosenheim, Jay/KGL-7578-2024; Rundlöf, Maj/C-1789-2014</t>
  </si>
  <si>
    <t>Chaplin-Kramer, Rebecca/0000-0002-1539-5231; Weisser, Wolfgang/0000-0002-2757-8959; Martínez Pachón, Eliana/0000-0002-5144-132X; Krauss, Jochen/0000-0003-2304-9117; Klein, Alexana-Maria/0000-0003-2139-8575; Otieno, Mark/0000-0002-8509-3298; Memmott, Jane/0000-0002-2113-2577; Pocock, Michael/0000-0003-4375-0445; Potts, Simon/0000-0002-2045-980X; Berendse, Frank/0009-0005-0623-1517; Danforth, Bryan/0000-0002-6495-428X; Kennedy, Christina/0000-0001-8902-8728; Schon, Nicole/0000-0002-8975-1382; Brittain, Claire/0000-0003-1104-2946; Wilson, Julianna K/0000-0003-0807-5421; Klatt, Björn Kristian/0000-0001-8241-6445; ISAIA, Marco/0000-0001-5434-2127; Snyder, William/0000-0002-2747-3102; Diekötter, Tim/0000-0003-4838-793X; Martin, Emily/0000-0001-5785-9105; Batary, Peter/0000-0002-1017-6996; Freitas, Breno M/0000-0002-9932-2207; Tscharntke, Teja/0000-0002-4482-3178; Holzschuh, Anea/0000-0002-5235-4746; Gratton, Claudio/0000-0001-6262-9670; Steffan-Dewenter, Ingolf/0000-0003-1359-3944; Crowder, David/0000-0002-3720-1581; Bommarco, Riccardo/0000-0001-8888-0476; Lichtenberg, Elinor/0000-0002-2729-4534; Carvalheiro, Luisa/0000-0001-7655-979X; Eigenbrode, Sanford/0000-0003-0054-8511; Saunders, Manu/0000-0003-0645-8277; Veselý, Milan/0000-0001-6315-8583; Rundlöf, Maj/0000-0003-3014-1544</t>
  </si>
  <si>
    <t>National Institute of Food and Agriculture, U.S. Department of Agriculture [2014-51106-22096]; National Council for Scientific and Technological Development-CNPq [305062/2007-7]; Felix Trust; STEP [EC FP7 244090]</t>
  </si>
  <si>
    <t>National Institute of Food and Agriculture, U.S. Department of Agriculture(United States Department of Agriculture (USDA)); National Council for Scientific and Technological Development-CNPq(Conselho Nacional de Desenvolvimento Cientifico e Tecnologico (CNPQ)); Felix Trust; STEP</t>
  </si>
  <si>
    <t>National Institute of Food and Agriculture, U.S. Department of Agriculture, Grant/Award Number: 2014-51106-22096; National Council for Scientific and Technological Development-CNPq, Grant/Award Number: 305062/2007-7; Felix Trust; STEP Project, Grant/Award Number: EC FP7 244090</t>
  </si>
  <si>
    <t>10.1111/gcb.13714</t>
  </si>
  <si>
    <t>FI9JI</t>
  </si>
  <si>
    <t>WOS:000412322700041</t>
  </si>
  <si>
    <t>Mackey, B; Cadman, S; Rogers, N; Hugh, S</t>
  </si>
  <si>
    <t>Mackey, Brendan; Cadman, Sean; Rogers, Nicole; Hugh, Sonia</t>
  </si>
  <si>
    <t>Assessing the risk to the conservation status of temperate rainforest from exposure to mining, commercial logging, and climate change: A Tasmanian case study</t>
  </si>
  <si>
    <t>BIOLOGICAL CONSERVATION</t>
  </si>
  <si>
    <t>Protected areas; Temperate rainforest; Primary forest; Conservation status; World heritage; Climate change; Mining; Commercial logging; Governance; Land tenure; Intact forest blocks</t>
  </si>
  <si>
    <t>AMAZON DEFORESTATION; LANDSCAPE ECOLOGY; PROTECTED AREAS; FIRE; SEVERITY; WILDERNESS; MANAGEMENT; VEGETATION; FEEDBACKS; AUSTRALIA</t>
  </si>
  <si>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</si>
  <si>
    <t>[Mackey, Brendan; Hugh, Sonia] Griffith Univ, Griffith Climate Change Response Programme, Gold Coast Campus,Parklands Dr, Southport, Qld 4222, Australia; [Cadman, Sean] Cadman &amp; Norwood, Environm Consultancy, Canberra, ACT, Australia; [Rogers, Nicole] Southern Cross Univ, Sch Law &amp; Justice, Lismore, NSW, Australia</t>
  </si>
  <si>
    <t>Griffith University; Southern Cross University</t>
  </si>
  <si>
    <t>Mackey, B (corresponding author), Griffith Univ, Griffith Climate Change Response Programme, Gold Coast Campus,Parklands Dr, Southport, Qld 4222, Australia.</t>
  </si>
  <si>
    <t>b.mackey@griffith.edu.au</t>
  </si>
  <si>
    <t>Mackey, Brendan/ABE-3805-2020</t>
  </si>
  <si>
    <t>Mackey, Brendan/0000-0003-1996-4064; Rogers, Nicole/0000-0002-9878-6077</t>
  </si>
  <si>
    <t>0006-3207</t>
  </si>
  <si>
    <t>1873-2917</t>
  </si>
  <si>
    <t>BIOL CONSERV</t>
  </si>
  <si>
    <t>Biol. Conserv.</t>
  </si>
  <si>
    <t>10.1016/j.biocon.2017.08.032</t>
  </si>
  <si>
    <t>FM3CX</t>
  </si>
  <si>
    <t>Green Submitted, hybrid</t>
  </si>
  <si>
    <t>WOS:000414883000003</t>
  </si>
  <si>
    <t>Scarpitta, AB; Bardat, J; Lalanne, A; Vellend, M</t>
  </si>
  <si>
    <t>Scarpitta, Antoine Becker; Bardat, Jacques; Lalanne, Arnault; Vellend, Mark</t>
  </si>
  <si>
    <t>Long-term community change: bryophytes are more responsive than vascular plants to nitrogen deposition and warming</t>
  </si>
  <si>
    <t>JOURNAL OF VEGETATION SCIENCE</t>
  </si>
  <si>
    <t>Bryophytes; Community ecology; Global changes; Legacy data; Long-term study; Multivariate analysis; Nitrogen deposition; Plant ecology; Temperate forest; Temporal changes; Vascular plants; Warming</t>
  </si>
  <si>
    <t>FOREST MANAGEMENT; INDICATOR VALUES; VEGETATION; DIVERSITY; BIODIVERSITY; ECOSYSTEM; ECOLOGY; ACIDIFICATION; GRADIENTS; RICHNESS</t>
  </si>
  <si>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</si>
  <si>
    <t>[Scarpitta, Antoine Becker; Vellend, Mark] Univ Sherbrooke, Fac Sci, Dept Biol, 2500 Blvd Univ, Sherbrooke, PQ J1K 2R1, Canada; [Bardat, Jacques] Museum Natl Hist Nat, OSEB UMR7205, CP 39,57 Rue Cuvier, F-75231 Paris 05, France; [Lalanne, Arnault] Univ Bretagne Occidentale, UFR Sci &amp; Tech, EA Geoarchitecture 2219, CS 93867, F-29238 Brest 3, France</t>
  </si>
  <si>
    <t>University of Sherbrooke; Museum National d'Histoire Naturelle (MNHN); Universite de Bretagne Occidentale</t>
  </si>
  <si>
    <t>Scarpitta, AB (corresponding author), Univ Sherbrooke, Fac Sci, Dept Biol, 2500 Blvd Univ, Sherbrooke, PQ J1K 2R1, Canada.</t>
  </si>
  <si>
    <t>antoine.becker.scarpitta@gmail.com; jacques.bardat@gmail.com; arnault.lalanne@developpement-durable.gouv.fr; mark.vellend@usherbrooke.ca</t>
  </si>
  <si>
    <t>Vellend, Mark/ACZ-5811-2022; Becker-Scarpitta, Antoine/L-2610-2019</t>
  </si>
  <si>
    <t>Becker-Scarpitta, Antoine/0000-0001-9241-091X;</t>
  </si>
  <si>
    <t>Natural Sciences and Engineering Research Council of Canada</t>
  </si>
  <si>
    <t>Natural Sciences and Engineering Research Council of Canada(Natural Sciences and Engineering Research Council of Canada (NSERC)CGIAR)</t>
  </si>
  <si>
    <t>We thank the Office National des Forets for permission to conduct research in the Foret Domaniale de Brotonne, and Jean-Yves Massenet, Emmanuelle Porcher and the Museum National d'Histoire Naturelle de Paris for assistance during the early phases of this project. Three reviewers and the handling editor provided insightful comments and suggestions that greatly improved the paper. MV was supported by the Natural Sciences and Engineering Research Council of Canada. AL and ABS designed the study, JB and ABS collected data. ABS and MV led data analyses and writing of the manuscript, with input from all authors.</t>
  </si>
  <si>
    <t>1100-9233</t>
  </si>
  <si>
    <t>1654-1103</t>
  </si>
  <si>
    <t>J VEG SCI</t>
  </si>
  <si>
    <t>J. Veg. Sci.</t>
  </si>
  <si>
    <t>10.1111/jvs.12579</t>
  </si>
  <si>
    <t>Plant Sciences; Ecology; Forestry</t>
  </si>
  <si>
    <t>Plant Sciences; Environmental Sciences &amp; Ecology; Forestry</t>
  </si>
  <si>
    <t>FT5JI</t>
  </si>
  <si>
    <t>WOS:000423189400012</t>
  </si>
  <si>
    <t>Cleary, DFR</t>
  </si>
  <si>
    <t>Cleary, Daniel F. R.</t>
  </si>
  <si>
    <t>Linking fish species traits to environmental conditions in the Jakarta Bay-Pulau Seribu coral reef system</t>
  </si>
  <si>
    <t>Indonesia; Java; Ordination; RLQ</t>
  </si>
  <si>
    <t>CLIMATE-CHANGE; PHASE-SHIFTS; BEACH LITTER; INDONESIA; COMPLEX; RESILIENCE; ARCHIPELAGO; DISTURBANCE; HERBIVORY; VARIABLES</t>
  </si>
  <si>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</si>
  <si>
    <t>[Cleary, Daniel F. R.] Univ Aveiro, Dept Biol, CESAM, Campus Univ Santiago, P-3810193 Aveiro, Portugal</t>
  </si>
  <si>
    <t>Universidade de Aveiro</t>
  </si>
  <si>
    <t>Cleary, DFR (corresponding author), Univ Aveiro, Dept Biol, CESAM, Campus Univ Santiago, P-3810193 Aveiro, Portugal.</t>
  </si>
  <si>
    <t>cleary@ua.pt</t>
  </si>
  <si>
    <t>Cleary, Daniel/D-2582-2012; Cleary, Daniel/HLH-8491-2023</t>
  </si>
  <si>
    <t>Cleary, Daniel/0000-0002-6143-3390;</t>
  </si>
  <si>
    <t>Council for Earth and Life Sciences of Netherlands Organisation for Scientific Research (ALW-NWO) [852.000.50]</t>
  </si>
  <si>
    <t>Council for Earth and Life Sciences of Netherlands Organisation for Scientific Research (ALW-NWO)</t>
  </si>
  <si>
    <t>This publication is a result of the Thousand Islands Expedition, September 2005, organized by the Research Centre for Oceanography (PPO-LIPI, Jakarta, Indonesia) and Naturalis Biodiversity Center (Leiden, the Netherlands). The research by Naturalis was part of the project 'Climate change and Indonesian coral reef biotas' within the theme Biodiversity in Relation to Global Change' of the Council for Earth and Life Sciences of the Netherlands Organisation for Scientific Research (ALW-NWO grant 852.000.50). Thanks to LIPI Indonesia for granting research permits and the staff of PPO-LIPI for logistical support.</t>
  </si>
  <si>
    <t>SEP 15</t>
  </si>
  <si>
    <t>1-2</t>
  </si>
  <si>
    <t>10.1016/j.marpolbul.2017.06.054</t>
  </si>
  <si>
    <t>FE2WC</t>
  </si>
  <si>
    <t>WOS:000408076900039</t>
  </si>
  <si>
    <t>Rosselli, L; Stiles, FG; Camargo, PA</t>
  </si>
  <si>
    <t>Rosselli, Loreta; Gary Stiles, F.; Camargo, Pedro A.</t>
  </si>
  <si>
    <t>Changes in the avifauna in a high Andean cloud forest in Colombia over a 24-year period</t>
  </si>
  <si>
    <t>JOURNAL OF FIELD ORNITHOLOGY</t>
  </si>
  <si>
    <t>elevational shift; global warming; species abundance; tropical mountains; vegetation change</t>
  </si>
  <si>
    <t>CLIMATE-CHANGE; EXTINCTIONS; IMPACTS; SHIFTS</t>
  </si>
  <si>
    <t>The upper altitude ecosystems of the Andes are among the most threatened by climate change. Computer models suggest that a large percentage of species in these ecosystems will be at risk of extinction and that avian communities will suffer disruption and impoverishment. Studies in other Andean countries lend some support to these predictions, but there are no quantitative data from Colombia appropriate to test these models. In 1991-1992, we conducted a bird survey in a high Andean cloud forest to gather information about the species present and their abundance. We attempted to replicate this earlier study 24yr later to detect any changes in the avifauna and determine possible causes for those changes. From June 2015 to May 2016, we made bimonthly trips to the study site and identified all birds detected either visually or by voice along a number of trails. We supplemented our observational data by also capturing birds in mist-nets. Community species richness and composition as well as the overall abundance of birds changed little from 1991-1992 to 2015-2016, but nearly 30% of bird species changed in abundance. Changes in the presence or abundance of nine or 10 species reflected upward shifts in elevational limits potentially due to climate change. However, most changes in abundance appeared to reflect changes in the vegetation of the study area due to successional changes in forest and subparamo habitats and a large number of relatively recent treefalls of old canopy trees with heavy epiphyte loads and subsequent changes in the understory vegetation. Our results suggest that the effects of climate change on the avifauna in our study area at a high-altitude site in Colombia are apparently occurring more slowly than predicted by recent computer models, although we conclude that the possible effects of climate change should definitely be considered in future studies. However, single-site studies such as ours have limitations in documenting elevation shifts; the most conclusive and quantitative evidence for elevational shifts comes from long-term studies conducted over a wide range of elevations. As such, we recommend establishment of such a monitoring program in Colombia because data obtained from such a program might be important in designing measures to mitigate the effects of climate change and conserve biodiversity.</t>
  </si>
  <si>
    <t>[Rosselli, Loreta; Camargo, Pedro A.] Univ Ciencias Aplicadas &amp; Ambientales UDCA, Calle 222 55-37, Bogota, Colombia; [Gary Stiles, F.; Camargo, Pedro A.] Univ Nacl Colombia, Inst &amp; Ciencias Nat, Carrera 45 26-85, Bogota, Colombia</t>
  </si>
  <si>
    <t>Universidad Nacional de Colombia</t>
  </si>
  <si>
    <t>Rosselli, L (corresponding author), Univ Ciencias Aplicadas &amp; Ambientales UDCA, Calle 222 55-37, Bogota, Colombia.</t>
  </si>
  <si>
    <t>lrosselli@udca.edu.co</t>
  </si>
  <si>
    <t>Universidad de Ciencias Aplicadas y Ambientales U.D.C.A.; Universidad Nacional de Colombia; Patrimonio Autonomo Fondo Nacional de Financiamiento para la Ciencia, la Tecnologia y la Innovacion, Francisco Jose de Caldas</t>
  </si>
  <si>
    <t>We are grateful to the Sistema de Parques Nacionales Naturales de Colombia for help with logistics, and field work, and for granting permits for the present study through Autorizacion de Recoleccion en Parques Nacionales Naturales No. 001 del 20 de octubre de 2014. The Empresa de Acueducto de Bogota helped with logistics in 1991-1992 and offered lodging in one of the field trips of the present study. For companionship and valuable help in the field, we thank F. Avellaneda, J. Candil, L. G. Linares, N. Moreno, R. Pulido, L. Tellez, and the students of the Universidad de Ciencias Aplicadas y Ambientales. C. Garzon-Sanabria helped with data organization. We thank G. Castaneda for his enthusiastic support in transportation in the field. A. Romero conducted the multitemporal land cover analysis and prepared Fig. 1 and Figs. S1 and S4; D. Stiles prepared Fig. 4. This project was funded by Universidad de Ciencias Aplicadas y Ambientales U.D.C.A., Universidad Nacional de Colombia, and resources from Patrimonio Autonomo Fondo Nacional de Financiamiento para la Ciencia, la Tecnologia y la Innovacion, Francisco Jose de Caldas. The manuscript benefitted from comments by G. Ritchison, G. Kattan, and two anonymous reviewers.</t>
  </si>
  <si>
    <t>0273-8570</t>
  </si>
  <si>
    <t>1557-9263</t>
  </si>
  <si>
    <t>J FIELD ORNITHOL</t>
  </si>
  <si>
    <t>J. Field Ornithol.</t>
  </si>
  <si>
    <t>10.1111/jofo.12204</t>
  </si>
  <si>
    <t>Ornithology</t>
  </si>
  <si>
    <t>FH7DO</t>
  </si>
  <si>
    <t>WOS:000411343300001</t>
  </si>
  <si>
    <t>Brown, CJ; Jupiter, SD; Lin, HY; Albert, S; Klein, C; Maina, JM; Tulloch, VJD; Wenger, AS; Mumby, PJ</t>
  </si>
  <si>
    <t>Brown, Christopher J.; Jupiter, Stacy D.; Lin, Hsien-Yung; Albert, Simon; Klein, Carissa; Maina, Joseph M.; Tulloch, Vivitskaia J. D.; Wenger, Amelia S.; Mumby, Peter J.</t>
  </si>
  <si>
    <t>Habitat change mediates the response of coral reef fish populations to terrestrial run-off</t>
  </si>
  <si>
    <t>Coral reef fisheries; Integrated coastal management; Land-use change; Fiji; Trophic-cascade</t>
  </si>
  <si>
    <t>GREAT-BARRIER-REEF; WATER-QUALITY; STRUCTURAL COMPLEXITY; REGRESSION-ANALYSIS; TROPHIC CASCADES; MARINE RESERVES; ALGAL TURFS; COMMUNITIES; ASSEMBLAGES; FISHERIES</t>
  </si>
  <si>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</si>
  <si>
    <t>[Brown, Christopher J.] Griffith Univ, Australian Rivers Inst, Nathan, Qld 4111, Australia; [Jupiter, Stacy D.] Wildlife Conservat Soc, Melanesia Program, 11 Maafu St, Suva, Fiji; [Lin, Hsien-Yung; Maina, Joseph M.; Tulloch, Vivitskaia J. D.] Univ Queensland, Sch Biol Sci, Ctr Biodivers &amp; Conservat Sci, St Lucia, Qld 4072, Australia; [Albert, Simon] Univ Queensland, Sch Civil Engn, St Lucia, Qld 4072, Australia; [Klein, Carissa; Wenger, Amelia S.] Univ Queensland, Sch Earth &amp; Environm Sci, St Lucia, Qld 4072, Australia; [Maina, Joseph M.] Macquarie Univ, Dept Environm Sci, Sydney, NSW 2109, Australia; [Mumby, Peter J.] Univ Queensland, Marine Spatial Ecol Lab, Sch Biol Sci, Goddard Bldg, St Lucia, Qld 4072, Australia</t>
  </si>
  <si>
    <t>Griffith University; University of Queensland; University of Queensland; University of Queensland; Macquarie University; University of Queensland</t>
  </si>
  <si>
    <t>Brown, CJ (corresponding author), Griffith Univ, Australian Rivers Inst, Nathan, Qld 4111, Australia.</t>
  </si>
  <si>
    <t>chris.brown@griffith.edu.au</t>
  </si>
  <si>
    <t>; Maina, Joseph/KFR-6167-2024; Klein, Carissa/F-1632-2011; Mumby, Peter/LIH-2812-2024; Wenger, Amelia/S-9135-2019; Tullochh, Vivitskaia/G-1336-2013; Albert, Simon/I-1104-2012; Brown, Christopher/G-4287-2011; Lin, Hsien-Yung/H-2303-2013; Mumby, Peter/F-9914-2010; Tulloch, Vivitskaia/G-1336-2013; klein, carissa/F-1632-2011</t>
  </si>
  <si>
    <t>Jupiter, Stacy/0000-0001-9742-1677; Albert, Simon/0000-0002-5947-7909; Mumby, Peter/0000-0002-6297-9053; Brown, Christopher/0000-0002-7271-4091; Maina, Joseph/0000-0003-1268-6137; Wenger, Amelia/0000-0002-0433-6164; Tulloch, Vivitskaia/0000-0002-7673-3716; klein, carissa/0000-0002-6299-6451</t>
  </si>
  <si>
    <t>Discovery Early Career Researcher Award from the Australian Research Council [DE160101207]; Science for Nature and People Partnership (SNAPP)</t>
  </si>
  <si>
    <t>Discovery Early Career Researcher Award from the Australian Research Council(Australian Research Council); Science for Nature and People Partnership (SNAPP)</t>
  </si>
  <si>
    <t>Funding for workshops to develop this paper was provided by the Science for Nature and People Partnership (SNAPP) to the Ridges to Reef Fisheries Working Group. SNAPP is a collaboration of The Nature Conservancy, the Wildlife Conservation Society and the National Center for Ecological Analysis and Synthesis (NCEAS). C.J.B. was supported in part by a Discovery Early Career Researcher Award (DE160101207) from the Australian Research Council.</t>
  </si>
  <si>
    <t>AUG 3</t>
  </si>
  <si>
    <t>10.3354/meps12221</t>
  </si>
  <si>
    <t>FD3PC</t>
  </si>
  <si>
    <t>WOS:000407443900005</t>
  </si>
  <si>
    <t>Dawson, W; Moser, D; van Kleunen, M; Kreft, H; Pergl, J; Pysek, P; Weigelt, P; Winter, M; Lenzner, B; Blackburn, TM; Dyer, EE; Cassey, P; Scrivens, SL; Economo, EP; Guénard, B; Capinha, C; Seebens, H; García-Díaz, P; Nentwig, W; García-Berthou, E; Casal, C; Mandrak, NE; Fuller, P; Meyer, C; Essl, F</t>
  </si>
  <si>
    <t>Dawson, Wayne; Moser, Dietmar; van Kleunen, Mark; Kreft, Holger; Pergl, Jan; Pysek, Petr; Weigelt, Patrick; Winter, Marten; Lenzner, Bernd; Blackburn, Tim M.; Dyer, Ellie E.; Cassey, Phillip; Scrivens, Sally L.; Economo, Evan P.; Guenard, Benoit; Capinha, Cesar; Seebens, Hanno; Garcia-Diaz, Pablo; Nentwig, Wolfgang; Garcia-Berthou, Emili; Casal, Christine; Mandrak, Nicholas E.; Fuller, Pam; Meyer, Carsten; Essl, Franz</t>
  </si>
  <si>
    <t>Global hotspots and correlates of alien species richness across taxonomic groups</t>
  </si>
  <si>
    <t>NATURE ECOLOGY &amp; EVOLUTION</t>
  </si>
  <si>
    <t>PLANT INVASIONS; PATTERNS; BIODIVERSITY; DIVERSITY; ANT; ESTABLISHMENT; BIOGEOGRAPHY; IMPACTS; RISK</t>
  </si>
  <si>
    <t>Human-mediated transport beyond biogeographic barriers has led to the introduction and establishment of alien species in new regions worldwide. However, we lack a global picture of established alien species richness for multiple taxonomic groups. Here, we assess global patterns and potential drivers of established alien species richness across eight taxonomic groups (amphibians, ants, birds, freshwater fishes, mammals, vascular plants, reptiles and spiders) for 186 islands and 423 mainland regions. Hotspots of established alien species richness are predominantly island and coastal mainland regions. Regions with greater gross domestic product per capita, human population density, and area have higher established alien richness, with strongest effects emerging for islands. Ants and reptiles, birds and mammals, and vascular plants and spiders form pairs of taxonomic groups with the highest spatial congruence in established alien richness, but drivers explaining richness differ between the taxa in each pair. Across all taxonomic groups, our results highlight the need to prioritize prevention of further alien species introductions to island and coastal mainland regions globally.</t>
  </si>
  <si>
    <t>[Dawson, Wayne] Univ Durham, Dept Biosci, South Rd, Durham DH1 3LE, England; [Moser, Dietmar; Lenzner, Bernd; Essl, Franz] Univ Vienna, Div Conservat Biol Vegetat &amp; Landscape Ecol, Rennweg 14, A-1030 Vienna, Austria; [van Kleunen, Mark] Univ Konstanz, Dept Biol, Ecol, Univ Str 10, D-78457 Constance, Germany; [van Kleunen, Mark] Taizhou Univ, Zhejiang Prov Key Lab Plant Evolutionary Ecol &amp; Co, Taizhou 318000, Peoples R China; [Kreft, Holger; Weigelt, Patrick] Univ Goettingen, Biodivers Macroecol &amp; Biogeog, Busgenweg 1, D-37077 Gottingen, Germany; [Pergl, Jan; Pysek, Petr] Czech Acad Sci, Inst Bot, Dept Invas Ecol, CZ-25243 Pruhonice, Czech Republic; [Pysek, Petr] Charles Univ Prague, Fac Sci, Dept Ecol, Vinicna 7, CZ-12844 Prague, Czech Republic; [Pysek, Petr; Essl, Franz] Stellenbosch Univ, Dept Bot &amp; Zool, Ctr Invas Biol, Private Bag X1, ZA-7602 Matieland, South Africa; [Winter, Marten] German Ctr Integrat Biodivers Res iDiv, Deutsch Pl 5e, D-04103 Leipzig, Germany; [Blackburn, Tim M.; Dyer, Ellie E.] UCL, Dept Genet Evolut &amp; Environm, Ctr Biodivers &amp; Environm Res, Gower St, London WC1E 6BT, England; [Blackburn, Tim M.] Zool Soc London, Inst Zool, Regents Pk, London NW1 4RY, England; [Blackburn, Tim M.] Univ Adelaide, Sch Biol Sci, Adelaide, SA 5005, Australia; [Cassey, Phillip; Scrivens, Sally L.; Garcia-Diaz, Pablo] Univ Adelaide, Sch Biol Sci, North Terrace, Adelaide, SA 5005, Australia; [Cassey, Phillip; Scrivens, Sally L.; Garcia-Diaz, Pablo] Univ Adelaide, Ctr Conservat Sci &amp; Technol CCoST, North Terrace, Adelaide, SA 5005, Australia; [Economo, Evan P.] Grad Univ, Okinawa Inst Sci &amp; Technol, 1919-1 Tancha, Onna, Okinawa 9040495, Japan; [Guenard, Benoit] Univ Hong Kong, Sch Biol Sci, Kadoorie Biol Sci Bldg,Pok Fu Lam Rd, Hong Kong, Hong Kong, Peoples R China; [Capinha, Cesar] Univ Porto, Catedra Infraestruturas Portugal Biodiversidade, Ctr Invest Biodiversidade &amp; Recursos Genet, CIBIO InBIO, Campus Agr Vairao, P-4485661 Vairao, Portugal; [Capinha, Cesar] Zool Forsch Museum Alexander Koenig, Adenauerallee 160, D-53113 Bonn, Germany; [Seebens, Hanno] Senckenberg Biodivers &amp; Climate Res Ctr BiK F, Senckenberganlage 25, D-60325 Frankfurt, Germany; [Garcia-Diaz, Pablo] Landcare Res, POB 69040, Lincoln 7640, New Zealand; [Nentwig, Wolfgang] Univ Bern, Inst Ecol &amp; Evolut, Baltzerstr 6, CH-3012 Bern, Switzerland; [Garcia-Berthou, Emili] Univ Girona, Inst Aquat Ecol, GRECO, Girona 17003, Catalonia, Spain; [Casal, Christine] FishBase Informat &amp; Res Grp Inc, Int Rice Res Inst, Khush Hall, Los Banos, Laguna, Philippines; [Mandrak, Nicholas E.] Univ Toronto, Dept Biol Sci, 1265 Mil Trail, Toronto, ON M1C 1A4, Canada; [Fuller, Pam] US Geol Survey, Nonindigenous Aquat Species Program, Wetlands &amp; Aquat Res Ctr, 7920 NW 71st St, Gainesville, FL 32653 USA; [Meyer, Carsten] German Ctr Integrat Biodivers Res iDiv, Macroecol &amp; Soc, Deutsch Pl 5e, D-04103 Leipzig, Germany</t>
  </si>
  <si>
    <t>Durham University; University of Vienna; University of Konstanz; Taizhou University; University of Gottingen; Czech Academy of Sciences; Institute of Botany of the Czech Academy of Sciences; Charles University Prague; Stellenbosch University; German Research Foundation (DFG); German Centre for Integrative Biodiversity Research (iDiv); University of London; University College London; Zoological Society of London; Adelaide University; University of Adelaide; Adelaide University; University of Adelaide; Adelaide University; University of Adelaide; Okinawa Institute of Science &amp; Technology Graduate University; University of Hong Kong; Universidade do Porto; Zoologisches Forschungsmuseum Alexander Koenig (ZFMK); Senckenberg Biodiversitat &amp; Klima- Forschungszentrum (BiK-F); Leibniz Association; Senckenberg Gesellschaft fur Naturforschung (SGN); Landcare Research - New Zealand; University of Bern; Universitat de Girona; CGIAR; International Rice Research Institute (IRRI); University of Toronto; United States Department of the Interior; United States Geological Survey; German Research Foundation (DFG); German Centre for Integrative Biodiversity Research (iDiv)</t>
  </si>
  <si>
    <t>Dawson, W (corresponding author), Univ Durham, Dept Biosci, South Rd, Durham DH1 3LE, England.</t>
  </si>
  <si>
    <t>wayne.dawson@durham.ac.uk</t>
  </si>
  <si>
    <t>Lenzner, Bernd/AAS-9140-2020; Weigelt, Patrick/E-2122-2014; Pysek, Petr/B-1957-2012; García-Berthou, Emili/A-5392-2008; Seebens, Hanno/I-2310-2019; Kreft, Holger/A-4736-2008; Winter, Marten/E-7979-2011; Capinha, César/K-6439-2017; Pergl, Jan/H-1071-2011; Essl, Franz/ABE-7064-2020; Meyer, Carsten/U-5637-2017; Blackburn, Tim/A-7685-2011; van Kleunen, Mark/B-3769-2009</t>
  </si>
  <si>
    <t>Lenzner, Bernd/0000-0002-2616-3479; Dyer, Ellie/0000-0001-5331-4490; Economo, Evan/0000-0001-7402-0432; Weigelt, Patrick/0000-0002-2485-3708; Seebens, Hanno/0000-0001-8993-6419; Guénard, Benoit/0000-0002-7144-1175; Essl, Franz/0000-0001-8253-2112; Dawson, Wayne/0000-0003-3402-0774; Fuller, Pam/0000-0002-9389-9144; García-Berthou, Emili/0000-0001-8412-741X; Kreft, Holger/0000-0003-4471-8236; Capinha, César/0000-0002-0666-9755; Pergl, Jan/0000-0002-0045-1974; Cassey, Phillip/0000-0002-2626-0172; Meyer, Carsten/0000-0003-3927-5856; García Díaz, Pablo/0000-0001-5402-0611; Moser, Dietmar/0000-0002-2745-7508; van Kleunen, Mark/0000-0002-2861-3701</t>
  </si>
  <si>
    <t>European Commission (COST Action) [TD1209]; Deutsche Forschungsgemeinschaft [SE 1891/2-1, KL 1866/9-1, FZT 118]; Academy of Sciences of the Czech Republic [RVO 67985939]; Praemium Academiae award; Czech Science Foundation [14-36079G]; Portuguese Foundation for Science and Technology (FCT/MCTES); POPH/FSE (EC) grant [SFRH/BPD/S4422/2012]; Spanish Ministry of Economy and Competitiveness [CGL2013-43822-R, CGL2015-69311-REDT]; Volkswagen Foundation through a Freigeist Fellowship; Austrian Science Foundation [I2086-B16]; Austrian Science Fund (FWF) [I2086] Funding Source: Austrian Science Fund (FWF)</t>
  </si>
  <si>
    <t>European Commission (COST Action); Deutsche Forschungsgemeinschaft(German Research Foundation (DFG)); Academy of Sciences of the Czech Republic(Czech Academy of Sciences); Praemium Academiae award; Czech Science Foundation(Grant Agency of the Czech Republic); Portuguese Foundation for Science and Technology (FCT/MCTES)(Fundacao para a Ciencia e a Tecnologia (FCT)); POPH/FSE (EC) grant; Spanish Ministry of Economy and Competitiveness(Spanish Government); Volkswagen Foundation through a Freigeist Fellowship; Austrian Science Foundation(Austrian Science Fund (FWF)); Austrian Science Fund (FWF)(Austrian Science Fund (FWF))</t>
  </si>
  <si>
    <t>This research benefited from support from the European Commission (COST Action TD1209). The Deutsche Forschungsgemeinschaft supported H.S. (DFG, grant SE 1891/2-1), M.v.K. (KL 1866/9-1) and M.W. (FZT 118), the Austrian Science Foundation supported F.E., B.L. and D.M. (FWF, grant I2086-B16). P.P. and J.P. were supported by the Academy of Sciences of the Czech Republic (no. RVO 67985939), Praemium Academiae award to P.P. and Czech Science Foundation (project no. 14-36079G). C. Capinha was supported by a postdoctoral grant from the Portuguese Foundation for Science and Technology (FCT/MCTES) and POPH/FSE (EC) grant SFRH/BPD/S4422/2012. F.G.-B. was supported by the Spanish Ministry of Economy and Competitiveness (projects CGL2013-43822-R and CGL2015-69311-REDT). C.M. was supported by the Volkswagen Foundation through a Freigeist Fellowship.</t>
  </si>
  <si>
    <t>2397-334X</t>
  </si>
  <si>
    <t>NAT ECOL EVOL</t>
  </si>
  <si>
    <t>Nat. Ecol. Evol.</t>
  </si>
  <si>
    <t>10.1038/s41559-017-0186</t>
  </si>
  <si>
    <t>Ecology; Evolutionary Biology</t>
  </si>
  <si>
    <t>Environmental Sciences &amp; Ecology; Evolutionary Biology</t>
  </si>
  <si>
    <t>FO9AA</t>
  </si>
  <si>
    <t>WOS:000417179000015</t>
  </si>
  <si>
    <t>Geyer, R; Jambeck, JR; Law, KL</t>
  </si>
  <si>
    <t>Geyer, Roland; Jambeck, Jenna R.; Law, Kara Lavender</t>
  </si>
  <si>
    <t>Production, use, and fate of all plastics ever made</t>
  </si>
  <si>
    <t>SCIENCE ADVANCES</t>
  </si>
  <si>
    <t>FLOW-ANALYSIS; LIFE-SPAN; MICROPLASTICS; ENVIRONMENTS; ECOSYSTEMS; FIBERS; STEEL; LAND</t>
  </si>
  <si>
    <t>Plastics have outgrown most man-made materials and have long been under environmental scrutiny. However, robust global information, particularly about their end-of-life fate, is lacking. By identifying and synthesizing dispersed data on production, use, and end-of-life management of polymer resins, synthetic fibers, and additives, we present the first global analysis of all mass-produced plastics ever manufactured. We estimate that 8300 million metric tons (Mt) as of virgin plastics have been produced to date. 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</si>
  <si>
    <t>[Geyer, Roland] Univ Calif Santa Barbara, Bren Sch Environm Sci &amp; Management, Santa Barbara, CA 93106 USA; [Jambeck, Jenna R.] Univ Georgia, Coll Engn, Driftmier Engn Ctr 412, Athens, GA 30602 USA; [Law, Kara Lavender] Sea Educ Assoc, Woods Hole, MA 02543 USA</t>
  </si>
  <si>
    <t>University of California System; University of California Santa Barbara; University System of Georgia; University of Georgia</t>
  </si>
  <si>
    <t>Geyer, R (corresponding author), Univ Calif Santa Barbara, Bren Sch Environm Sci &amp; Management, Santa Barbara, CA 93106 USA.</t>
  </si>
  <si>
    <t>geyer@bren.ucsb.edu</t>
  </si>
  <si>
    <t>Jambeck, Jenna/C-3357-2018; Law, Kara/OJU-3096-2025; Ciocioc, Ion Valentin/KGM-1552-2024</t>
  </si>
  <si>
    <t>Jambeck, Jenna/0000-0003-1248-7218; Ciocioc, Ion Valentin/0009-0002-5711-5856</t>
  </si>
  <si>
    <t>NSF Chemical, Bioengineering, Environmental and Transport Systems [1335478]; Directorate For Engineering [1335478] Funding Source: National Science Foundation; Div Of Chem, Bioeng, Env, &amp; Transp Sys [1335478] Funding Source: National Science Foundation</t>
  </si>
  <si>
    <t>NSF Chemical, Bioengineering, Environmental and Transport Systems; Directorate For Engineering(National Science Foundation (NSF)NSF - Directorate for Engineering (ENG)); Div Of Chem, Bioeng, Env, &amp; Transp Sys(National Science Foundation (NSF)NSF - Directorate for Engineering (ENG))</t>
  </si>
  <si>
    <t>This work was conducted within the Marine Debris Working Group at the National Center for Ecological Analysis and Synthesis, University of California, Santa Barbara, with support from Ocean Conservancy. R.G. was supported by the NSF Chemical, Bioengineering, Environmental and Transport Systems grant #1335478.</t>
  </si>
  <si>
    <t>AMER ASSOC ADVANCEMENT SCIENCE</t>
  </si>
  <si>
    <t>1200 NEW YORK AVE, NW, WASHINGTON, DC 20005 USA</t>
  </si>
  <si>
    <t>2375-2548</t>
  </si>
  <si>
    <t>SCI ADV</t>
  </si>
  <si>
    <t>Sci. Adv.</t>
  </si>
  <si>
    <t>e1700782</t>
  </si>
  <si>
    <t>10.1126/sciadv.1700782</t>
  </si>
  <si>
    <t>FI0CH</t>
  </si>
  <si>
    <t>Green Submitted, gold</t>
  </si>
  <si>
    <t>WOS:000411588000033</t>
  </si>
  <si>
    <t>Gregory, SD; Nevoux, M; Riley, WD; Beaumont, WRC; Jeannot, N; Lauridsen, RB; Marchand, F; Scott, LJ; Roussel, JM</t>
  </si>
  <si>
    <t>Gregory, Stephen D.; Nevoux, Marie; Riley, William D.; Beaumont, William R. C.; Jeannot, Nicholas; Lauridsen, Rasmus B.; Marchand, Frederic; Scott, Luke J.; Roussel, Jean-Marc</t>
  </si>
  <si>
    <t>Patterns on a parr: Drivers of long-term salmon parr length in UK and French rivers depend on geographical scale</t>
  </si>
  <si>
    <t>FRESHWATER BIOLOGY</t>
  </si>
  <si>
    <t>Atlantic salmon; body size; climate change; density dependence; geographical scale</t>
  </si>
  <si>
    <t>JUVENILE ATLANTIC SALMON; BAYESIAN MODEL SELECTION; BROWN TROUT; WATER TEMPERATURE; DENSITY-DEPENDENCE; CLIMATE-CHANGE; BODY-SIZE; SALAR; GROWTH; TRUTTA</t>
  </si>
  <si>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</si>
  <si>
    <t>[Gregory, Stephen D.; Beaumont, William R. C.; Lauridsen, Rasmus B.; Scott, Luke J.] Game &amp; Wildlife Conservat Trust, Salmon &amp; Trout Res Ctr, FBA River Lab, Wareham, Dorset, England; [Gregory, Stephen D.; Nevoux, Marie; Roussel, Jean-Marc] Agrocampus Ouest, Ecol &amp; Ecosyst Hlth, INRA, ESE, Rennes, France; [Nevoux, Marie; Jeannot, Nicholas; Marchand, Frederic; Roussel, Jean-Marc] AFB, INRA, Pole Gest Aqua, Rennes, France; [Riley, William D.] Ctr Environm Fisheries &amp; Aquaculture Sci, Lowestoft, Suffolk, England; [Jeannot, Nicholas; Marchand, Frederic] INRA, Ecol &amp; Ecotoxicol Aquat U3E, Rennes, France</t>
  </si>
  <si>
    <t>INRAE; Institut Agro; Institut Agro Rennes-Angers; Universite de Rennes; INRAE; Universite de Rennes; Centre for Environment Fisheries &amp; Aquaculture Science; INRAE; Universite de Rennes</t>
  </si>
  <si>
    <t>Gregory, SD (corresponding author), Game &amp; Wildlife Conservat Trust, Salmon &amp; Trout Res Ctr, FBA River Lab, Wareham, Dorset, England.</t>
  </si>
  <si>
    <t>sgregory@gwct.org.uk</t>
  </si>
  <si>
    <t>Gregory, Stephen/A-1471-2010; Roussel, Jean-Marc/HCH-2300-2022</t>
  </si>
  <si>
    <t>Gregory, Stephen/0000-0002-8230-0191; Frederic, MARCHAND/0000-0002-8380-579X; Roussel, Jean-Marc/0000-0002-6301-3234;</t>
  </si>
  <si>
    <t>European Union; U.K. Government's Department for Environment, Food and Rural Affairs (Defra) [SF0272]</t>
  </si>
  <si>
    <t>European Union(European Union (EU)); U.K. Government's Department for Environment, Food and Rural Affairs (Defra)(Department for Environment, Food &amp; Rural Affairs (DEFRA))</t>
  </si>
  <si>
    <t>European Union; U.K. Government's Department for Environment, Food and Rural Affairs (Defra), Grant/Award Number: SF0272</t>
  </si>
  <si>
    <t>0046-5070</t>
  </si>
  <si>
    <t>1365-2427</t>
  </si>
  <si>
    <t>FRESHWATER BIOL</t>
  </si>
  <si>
    <t>Freshw. Biol.</t>
  </si>
  <si>
    <t>10.1111/fwb.12929</t>
  </si>
  <si>
    <t>Ecology; Marine &amp; Freshwater Biology</t>
  </si>
  <si>
    <t>EX1YA</t>
  </si>
  <si>
    <t>WOS:000403021500001</t>
  </si>
  <si>
    <t>L'Heureux, ML; Takahashi, K; Watkins, AB; Barnston, AG; Becker, EJ; Di Liberto, TE; Gamble, F; Gottschalck, J; Halpert, MS; Huang, BY; Mosquera-Väsquez, K; Wittenberg, AT</t>
  </si>
  <si>
    <t>L'Heureux, Michelle L.; Takahashi, Ken; Watkins, Andrew B.; Barnston, Anthony G.; Becker, Emily J.; Di Liberto, Tom E.; Gamble, Felicity; Gottschalck, Jon; Halpert, Michael S.; Huang, Boyin; Mosquera-Vasquez, Kobi; Wittenberg, Andrew T.</t>
  </si>
  <si>
    <t>OBSERVING AND PREDICTING THE 2015/16 EL NINO</t>
  </si>
  <si>
    <t>TO-INTERANNUAL PREDICTION; SEA-SURFACE TEMPERATURE; ATMOSPHERIC CIRCULATION; CLIMATE-CHANGE; PRECIPITATION; VARIABILITY; SST; RAINFALL; IMPACTS; SKILL</t>
  </si>
  <si>
    <t>The El Nino of 2015/16 rivaled the major El Nino events of 1982/83 and 1997/98, showcasing advancements in operational observing and prediction systems, while offering challenges for the future.</t>
  </si>
  <si>
    <t>[L'Heureux, Michelle L.; Gottschalck, Jon; Halpert, Michael S.] NOAA, NWS, NCEPNCEPNCEPNCEP, Climate Predict Ctr, College Pk, MD 20740 USA; [Mosquera-Vasquez, Kobi] Inst Geofis Peru, Lima, Peru; [Watkins, Andrew B.; Gamble, Felicity] Australian Bur Meteorol, Melbourne, Vic, Australia; [Barnston, Anthony G.] Columbia Univ, Int Res Inst Climate &amp; Soc, New York, NY USA; [Becker, Emily J.; Di Liberto, Tom E.] NOAA, NWS, NCEP, Climate Predict Ctr,Innovim, College Pk, MD USA; [Huang, Boyin] NOAA, Natl Ctr Environm Informat, Asheville, NC USA; [Wittenberg, Andrew T.] NOAA, Geophys Fluid Dynam Lab, Princeton, NJ USA</t>
  </si>
  <si>
    <t>National Oceanic Atmospheric Admin (NOAA) - USA; Bureau of Meteorology - Australia; Columbia University; National Oceanic Atmospheric Admin (NOAA) - USA; National Oceanic Atmospheric Admin (NOAA) - USA; National Oceanic Atmospheric Admin (NOAA) - USA</t>
  </si>
  <si>
    <t>L'Heureux, ML (corresponding author), NOAA, NWS, NCEPNCEPNCEPNCEP, Climate Predict Ctr, College Pk, MD 20740 USA.</t>
  </si>
  <si>
    <t>michelle.lheureux@noaa.gov</t>
  </si>
  <si>
    <t>L'Heureux, Michelle/C-7517-2013; Mosquera, Kobi/O-6725-2019; Barnston, Anthony/AHB-2825-2022; Takahashi, Ken/G-5321-2010; Wittenberg, Anew/G-9619-2013; Wittenberg, Andrew/G-9619-2013</t>
  </si>
  <si>
    <t>Takahashi, Ken/0000-0003-3670-2939; Wittenberg, Anew/0000-0003-1680-8963; Becker, Emily/0000-0002-5533-9891; Mosquera-Vásquez, Kobi/0000-0003-0253-4201;</t>
  </si>
  <si>
    <t>NOAA Climate Programs Office (CPO)/Climate.gov for the ENSO Blog; NOAA CPO/MAPP [NA12OAR4310082]; U. S. Embassy in Peru; Peruvian Embassy in the United States; [PP068]</t>
  </si>
  <si>
    <t>NOAA Climate Programs Office (CPO)/Climate.gov for the ENSO Blog; NOAA CPO/MAPP; U. S. Embassy in Peru; Peruvian Embassy in the United States;</t>
  </si>
  <si>
    <t>We thank Leigh Zhang (NOAA/CPC) for updating several reanalysis datasets on our behalf. ML, EB, TD, and AB are grateful for support from the NOAA Climate Programs Office (CPO)/Climate.gov for the ENSO Blog. AB also acknowledges NOAA CPO/MAPP Grant NA12OAR4310082. KT and KM acknowledge the PP068 program and colleagues at the ENFEN Committee. KT also appreciates the support of the U. S. Embassy in Peru, the Peruvian Embassy in the United States, and Min. J. M. Benites.</t>
  </si>
  <si>
    <t>10.1175/BAMS-D-16-0009.1</t>
  </si>
  <si>
    <t>FC0BH</t>
  </si>
  <si>
    <t>WOS:000406502800006</t>
  </si>
  <si>
    <t>Liu, PL; Hao, L; Pan, C; Zhou, DC; Liu, YQ; Sun, G</t>
  </si>
  <si>
    <t>Liu, Peilong; Hao, Lu; Pan, Cen; Zhou, Decheng; Liu, Yongqiang; Sun, Ge</t>
  </si>
  <si>
    <t>Combined effects of climate and land management on watershed vegetation dynamics in an arid environment</t>
  </si>
  <si>
    <t>Climate change; Human activity; Leaf area index; Vegetation dynamics; Heihe River Basin</t>
  </si>
  <si>
    <t>LEAF-AREA INDEX; HEIHE RIVER-BASIN; TREND ANALYSIS; BOREAL FOREST; MODIS LAI; PRODUCTIVITY; MODEL; DEGRADATION; VARIABILITY; RAINFALL</t>
  </si>
  <si>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</si>
  <si>
    <t>[Liu, Peilong; Hao, Lu; Pan, Cen; Zhou, Decheng] Nanjing Univ Informat Sci &amp; Technol, Minist Educ KLME,Joint Int Res Lab Climate &amp; Envi, Collaborat Innovat Ctr Forecast &amp; Evaluat Meteoro, Jiangsu Key Lab Agr Meteorol,Key Lab Meteorol Dis, Nanjing 210044, Jiangsu, Peoples R China; [Liu, Yongqiang] US Forest Serv, Ctr Forest Disturbance Sci, Southern Res Stn, USDA, Athens, GA 30602 USA; [Sun, Ge] US Forest Serv, Eastern Forest Environm Threat Assessment Ctr, Southern Res Stn, USDA, Raleigh, NC 27606 USA</t>
  </si>
  <si>
    <t>Nanjing University of Information Science &amp; Technology; United States Department of Agriculture (USDA); United States Forest Service; United States Department of Agriculture (USDA); United States Forest Service</t>
  </si>
  <si>
    <t>Sun, G (corresponding author), US Forest Serv, Eastern Forest Environm Threat Assessment Ctr, Southern Res Stn, USDA, Raleigh, NC 27606 USA.</t>
  </si>
  <si>
    <t>gesun@fs.fed.us</t>
  </si>
  <si>
    <t>Zhou, Decheng/H-5583-2019; Sun, Ge/ABF-6673-2020; Liu, Yongqiang/J-2027-2012</t>
  </si>
  <si>
    <t>Zhou, Decheng/0000-0003-0947-0853; Sun, Ge/0000-0002-0159-1370</t>
  </si>
  <si>
    <t>Natural Science Foundation of China [91425301, 41571026]; Southern Research Station, United States Department of Agriculture Forest Service</t>
  </si>
  <si>
    <t>Natural Science Foundation of China(National Natural Science Foundation of China (NSFC)); Southern Research Station, United States Department of Agriculture Forest Service</t>
  </si>
  <si>
    <t>This research was funded by the Natural Science Foundation of China (Grant No. 91425301 and 41571026). We appreciate the anonymous reviewers for their constructive comments and suggestions. We thank Beijing Normal University and the Cold and Arid Regions Science Data Center for sharing the climate and vegetation data. Partial support was also received from the Southern Research Station, United States Department of Agriculture Forest Service.</t>
  </si>
  <si>
    <t>JUL 1</t>
  </si>
  <si>
    <t>10.1016/j.scitotenv.2017.02.210</t>
  </si>
  <si>
    <t>ES9AK</t>
  </si>
  <si>
    <t>WOS:000399848100008</t>
  </si>
  <si>
    <t>Lebreton, LCM; Van der Zwet, J; Damsteeg, JW; Slat, B; Andrady, A; Reisser, J</t>
  </si>
  <si>
    <t>Lebreton, Laurent C. M.; Van der Zwet, Joost; Damsteeg, Jan-Willem; Slat, Boyan; Andrady, Anthony; Reisser, Julia</t>
  </si>
  <si>
    <t>River plastic emissions to the world's oceans</t>
  </si>
  <si>
    <t>MICROPLASTICS; DEBRIS; PROFILE; SYSTEM; WATER; LAND</t>
  </si>
  <si>
    <t>Plastics in the marine environment have become a major concern because of their persistence at sea, and adverse consequences to marine life and potentially human health. Implementing mitigation strategies requires an understanding and quantification of marine plastic sources, taking spatial and temporal variability into account. Here we present a global model of plastic inputs from rivers into oceans based on waste management, population density and hydrological information. Our model is calibrated against measurements available in the literature. We estimate that between 1.15 and 2.41 million tonnes of plastic waste currently enters the ocean every year from rivers, with over 74% of emissions occurring between May and October. The top 20 polluting rivers, mostly located in Asia, account for 67% of the global total. The findings of this study provide baseline data for ocean plastic mass balance exercises, and assist in prioritizing future plastic debris monitoring and mitigation strategies.</t>
  </si>
  <si>
    <t>[Lebreton, Laurent C. M.; Damsteeg, Jan-Willem; Slat, Boyan; Reisser, Julia] Ocean Cleanup Fdn, Martinus Nijhofflaan 2, NL-2624 ES Delft, Netherlands; [Lebreton, Laurent C. M.] Modelling House,66b Upper Wainui Rd, Raglan 3297, New Zealand; [Van der Zwet, Joost] HKV Consultants, POB 2120, NL-8203 AC Lelystad, Netherlands; [Andrady, Anthony] North Carolina State Univ, Dept Chem &amp; Biomol Engn, Campus Box 7905, Raleigh, NC 27695 USA</t>
  </si>
  <si>
    <t>North Carolina State University</t>
  </si>
  <si>
    <t>Lebreton, LCM (corresponding author), Ocean Cleanup Fdn, Martinus Nijhofflaan 2, NL-2624 ES Delft, Netherlands.;Lebreton, LCM (corresponding author), Modelling House,66b Upper Wainui Rd, Raglan 3297, New Zealand.</t>
  </si>
  <si>
    <t>laurent.lebreton@theoceancleanup.com</t>
  </si>
  <si>
    <t>Lebreton, Laurent/LFV-1720-2024; Reisser, Julia/K-2065-2013</t>
  </si>
  <si>
    <t>Anady, Anthony/0000-0001-8683-9998; Reisser, Julia/0000-0002-1785-1042</t>
  </si>
  <si>
    <t>Ocean Cleanup Foundation</t>
  </si>
  <si>
    <t>We would like to thank The Ocean Cleanup Foundation supporters who made the realization of this study possible. We would also like to thank three anonymous reviewers for their valuable inputs and comments on this manuscript.</t>
  </si>
  <si>
    <t>NATURE PUBLISHING GROUP</t>
  </si>
  <si>
    <t>MACMILLAN BUILDING, 4 CRINAN ST, LONDON N1 9XW, ENGLAND</t>
  </si>
  <si>
    <t>JUN 7</t>
  </si>
  <si>
    <t>10.1038/ncomms15611</t>
  </si>
  <si>
    <t>EW8YK</t>
  </si>
  <si>
    <t>WOS:000402803800001</t>
  </si>
  <si>
    <t>Guo, Q; Fu, BH; Shi, PL; Cudahy, T; Zhang, J; Xu, H</t>
  </si>
  <si>
    <t>Guo, Qiang; Fu, Bihong; Shi, Pilong; Cudahy, Thomas; Zhang, Jing; Xu, Huan</t>
  </si>
  <si>
    <t>Satellite Monitoring the Spatial-Temporal Dynamics of Desertification in Response to Climate Change and Human Activities across the Ordos Plateau, China</t>
  </si>
  <si>
    <t>REMOTE SENSING</t>
  </si>
  <si>
    <t>semi-arid area; climate change; human activities; desertification; Ordos Plateau; remote sensing</t>
  </si>
  <si>
    <t>NET PRIMARY PRODUCTION; INDUCED LAND DEGRADATION; HUMAN APPROPRIATION; NORTH CHINA; ECOLOGICAL RESTORATION; CALIBRATION; SCIENCE; RAINFALL; REGION; TREND</t>
  </si>
  <si>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</si>
  <si>
    <t>[Guo, Qiang; Fu, Bihong; Shi, Pilong; Zhang, Jing; Xu, Huan] Chinese Acad Sci, Inst Remote Sensing &amp; Digital Earth, Beijing 100094, Peoples R China; [Guo, Qiang; Xu, Huan] Univ Chinese Acad Sci, Beijing 100049, Peoples R China; [Cudahy, Thomas] Australian Resources Res Ctr, CSIRO Mineral Resources, 26 Dick Perry Ave, Kensington, NSW 6151, Australia</t>
  </si>
  <si>
    <t>Chinese Academy of Sciences; The Institute of Remote Sensing &amp; Digital Earth, CAS; Chinese Academy of Sciences; University of Chinese Academy of Sciences, CAS; Commonwealth Scientific &amp; Industrial Research Organisation (CSIRO); CSIRO Mineral Resources</t>
  </si>
  <si>
    <t>Fu, BH (corresponding author), Chinese Acad Sci, Inst Remote Sensing &amp; Digital Earth, Beijing 100094, Peoples R China.</t>
  </si>
  <si>
    <t>guoqiang@radi.ac.cn; fubh@radi.ac.cn; shipl@radi.ac.cn; thomas.cudahy@c3dmm.com; zhangjing2015@radi.ac.cn; xuhuan@radi.ac.cn</t>
  </si>
  <si>
    <t>Xu, Huan/0000-0001-7454-4287; Cudahy, Tom/0000-0002-8323-4544; 付, 碧宏/0000-0002-1715-6859; Guo, Qiang/0000-0002-8610-0269; Zhang, Jing/0000-0002-0959-7929</t>
  </si>
  <si>
    <t>CAS-CSIRO Cooperative Research Program [GJHZ1407]</t>
  </si>
  <si>
    <t>CAS-CSIRO Cooperative Research Program</t>
  </si>
  <si>
    <t>This work was supported by the CAS-CSIRO Cooperative Research Program (Grant No. GJHZ1407).</t>
  </si>
  <si>
    <t>MDPI</t>
  </si>
  <si>
    <t>BASEL</t>
  </si>
  <si>
    <t>ST ALBAN-ANLAGE 66, CH-4052 BASEL, SWITZERLAND</t>
  </si>
  <si>
    <t>2072-4292</t>
  </si>
  <si>
    <t>REMOTE SENS-BASEL</t>
  </si>
  <si>
    <t>Remote Sens.</t>
  </si>
  <si>
    <t>10.3390/rs9060525</t>
  </si>
  <si>
    <t>Environmental Sciences; Geosciences, Multidisciplinary; Remote Sensing; Imaging Science &amp; Photographic Technology</t>
  </si>
  <si>
    <t>Environmental Sciences &amp; Ecology; Geology; Remote Sensing; Imaging Science &amp; Photographic Technology</t>
  </si>
  <si>
    <t>EZ3PW</t>
  </si>
  <si>
    <t>WOS:000404623900016</t>
  </si>
  <si>
    <t>Koerner, SE; Poulsen, JR; Blanchard, EJ; Okouyi, J; Clark, CJ</t>
  </si>
  <si>
    <t>Koerner, Sally E.; Poulsen, John R.; Blanchard, Emily J.; Okouyi, Joseph; Clark, Connie J.</t>
  </si>
  <si>
    <t>Vertebrate community composition and diversity declines along a defaunation gradient radiating from rural villages in Gabon</t>
  </si>
  <si>
    <t>abundance; Anthropocene defaunation; biodiversity; birds; Central Africa; hunting intensity; mammals; species richness; tropical forests</t>
  </si>
  <si>
    <t>PRIMATE COMMUNITIES; TROPICAL FORESTS; TREE RECRUITMENT; SEED DISPERSAL; FOOD SECURITY; EMPTY FOREST; CONGO BASIN; BUSHMEAT; CONSERVATION; ABUNDANCE</t>
  </si>
  <si>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</si>
  <si>
    <t>[Koerner, Sally E.; Poulsen, John R.; Blanchard, Emily J.; Clark, Connie J.] Duke Univ, Nicholas Sch Environm, POB 90328, Durham, NC 27708 USA; [Okouyi, Joseph] Agence Natl Parcs Nationaux, Libreville 20379, Gabon</t>
  </si>
  <si>
    <t>Duke University</t>
  </si>
  <si>
    <t>Koerner, SE (corresponding author), Univ S Florida, Dept Integrat Biol, SCA 100,4202 E Fowler Ave, Tampa, FL 33620 USA.</t>
  </si>
  <si>
    <t>koerner@USF.edu</t>
  </si>
  <si>
    <t>; Poulsen, John/O-5332-2019; Koerner, Sally/I-1701-2019</t>
  </si>
  <si>
    <t>Koerner, Sally/0000-0001-6403-7513; Poulsen, John/0000-0002-1532-9808;</t>
  </si>
  <si>
    <t>10.1111/1365-2664.12798</t>
  </si>
  <si>
    <t>EU7UB</t>
  </si>
  <si>
    <t>WOS:000401239100014</t>
  </si>
  <si>
    <t>Pilli, R; Grassi, G; Kurz, WA; Fiorese, G; Cescatti, A</t>
  </si>
  <si>
    <t>Pilli, Roberto; Grassi, Giacomo; Kurz, Werner A.; Fiorese, Giulia; Cescatti, Alessandro</t>
  </si>
  <si>
    <t>The European forest sector: past and future carbon budget and fluxes under different management scenarios</t>
  </si>
  <si>
    <t>BIOGEOSCIENCES</t>
  </si>
  <si>
    <t>CLIMATE-CHANGE; STOCK CHANGES; MODEL; IMPACTS; BOREAL; BIODIVERSITY; TEMPERATE; INVENTORY; DYNAMICS; CBM-CFS3</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</si>
  <si>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</si>
  <si>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[Pilli, Roberto; Grassi, Giacomo; Fiorese, Giulia; Cescatti, Alessandro] European Commiss, Joint Res Ctr, Directorate Sustainable Resources Bioecon Unit D, Via E Fermi 2749, I-21027 Ispra, VA, Italy; [Kurz, Werner A.] Canadian Forest Serv, Nat Resources Canada, Victoria, BC V8Z 1M5, Canada</t>
  </si>
  <si>
    <t>European Commission Joint Research Centre; EC JRC ISPRA Site; Natural Resources Canada; Canadian Forest Service</t>
  </si>
  <si>
    <t>Pilli, R (corresponding author), European Commiss, Joint Res Ctr, Directorate Sustainable Resources Bioecon Unit D, Via E Fermi 2749, I-21027 Ispra, VA, Italy.</t>
  </si>
  <si>
    <t>roberto.pilli@ec.europa.eu</t>
  </si>
  <si>
    <t>; Cescatti, Alessandro/ABE-6319-2020</t>
  </si>
  <si>
    <t>Cescatti, Alessano/0000-0002-2769-2591; Kurz, Werner/0000-0003-4576-7849; Pilli, Roberto/0000-0003-4541-7056</t>
  </si>
  <si>
    <t>JRC [31502, 070307/2009/539525/AA/C5]; DG CLIMA [31502, 070307/2009/539525/AA/C5]</t>
  </si>
  <si>
    <t>JRC(European Union (EU)European Commission Joint Research Centre); DG CLIMA</t>
  </si>
  <si>
    <t>This paper was prepared in the context of the contract no. 31502, administrative arrangement 070307/2009/539525/AA/C5 between JRC and DG CLIMA. Further information was collected in the context of the AA 071201/2011/611111/CLIMA.A2. The analysis performed for each country was generally based on publicly available data and on additional information collected at the country level, in collaboration with many colleagues and experts from each country. We especially thank our colleagues, Viorel Blujdea and Tibor Priwitzer, who provided useful comments and suggestions. We also thank all the reviewers and the editor for their critical and constructive comments.</t>
  </si>
  <si>
    <t>COPERNICUS GESELLSCHAFT MBH</t>
  </si>
  <si>
    <t>GOTTINGEN</t>
  </si>
  <si>
    <t>BAHNHOFSALLEE 1E, GOTTINGEN, 37081, GERMANY</t>
  </si>
  <si>
    <t>1726-4170</t>
  </si>
  <si>
    <t>1726-4189</t>
  </si>
  <si>
    <t>Biogeosciences</t>
  </si>
  <si>
    <t>MAY 11</t>
  </si>
  <si>
    <t>10.5194/bg-14-2387-2017</t>
  </si>
  <si>
    <t>Ecology; Geosciences, Multidisciplinary</t>
  </si>
  <si>
    <t>Environmental Sciences &amp; Ecology; Geology</t>
  </si>
  <si>
    <t>EU5WN</t>
  </si>
  <si>
    <t>WOS:000401104900001</t>
  </si>
  <si>
    <t>Altieri, AH; Harrison, SB; Seemann, J; Collin, R; Diaz, RJ; Knowlton, N</t>
  </si>
  <si>
    <t>Altieri, Andrew H.; Harrison, Seamus B.; Seemann, Janina; Collin, Rachel; Diaz, Robert J.; Knowlton, Nancy</t>
  </si>
  <si>
    <t>Tropical dead zones and mass mortalities on coral reefs</t>
  </si>
  <si>
    <t>biodiversity; coral bleaching; dissolved oxygen; hypoxia; water quality</t>
  </si>
  <si>
    <t>BOCAS DEL TORO; OCEAN ACIDIFICATION; MARINE COMMUNITIES; CLIMATE-CHANGE; WATER-QUALITY; PHASE-SHIFTS; FISH KILL; HYPOXIA; PANAMA; LAGOONS</t>
  </si>
  <si>
    <t>Degradation of coastal water quality in the form of low dissolved oxygen levels (hypoxia) can harm biodiversity, ecosystem function, and human wellbeing. Extreme hypoxic conditions along the coast, leading to what are often referred to as dead zones, are known primarily from temperate regions. However, little is known about the potential threat of hypoxia in the tropics, even though the known risk factors, including eutrophication and elevated temperatures, are common. Here we document an unprecedented hypoxic event on the Caribbean coast of Panama and assess the risk of dead zones to coral reefs worldwide. The event caused coral bleaching and massive mortality of corals and other reef-associated organisms, but observed shifts in community structure combined with laboratory experiments revealed that not all coral species are equally sensitive to hypoxia. Analyses of global databases showed that coral reefs are associated with more than half of the known tropical dead zones worldwide, with &gt;10% of all coral reefs at elevated risk for hypoxia based on local and global risk factors. Hypoxic events in the tropics and associated mortality events have likely been underreported, perhaps by an order of magnitude, because of the lack of local scientific capacity for their detection. Monitoring and management plans for coral reef resilience should incorporate the growing threat of coastal hypoxia and include support for increased detection and research capacity.</t>
  </si>
  <si>
    <t>[Altieri, Andrew H.; Harrison, Seamus B.; Seemann, Janina; Collin, Rachel] Smithsonian Trop Res Inst, Balboa 084303092, Ancon, Panama; [Seemann, Janina] Free Univ Berlin, D-12249 Berlin, Germany; [Diaz, Robert J.] Coll William &amp; Mary, Virginia Inst Marine Sci, Gloucester Point, VA 23062 USA; [Knowlton, Nancy] Smithsonian Inst, Natl Museum Nat Hist, Dept Invertebrate Zool, Washington, DC 20013 USA</t>
  </si>
  <si>
    <t>Smithsonian Institution; Smithsonian Tropical Research Institute; Free University of Berlin; William &amp; Mary; Virginia Institute of Marine Science; Smithsonian Institution; Smithsonian National Museum of Natural History</t>
  </si>
  <si>
    <t>Altieri, AH (corresponding author), Smithsonian Trop Res Inst, Balboa 084303092, Ancon, Panama.;Knowlton, N (corresponding author), Smithsonian Inst, Natl Museum Nat Hist, Dept Invertebrate Zool, Washington, DC 20013 USA.</t>
  </si>
  <si>
    <t>AltieriA@si.edu; knowlton@si.edu</t>
  </si>
  <si>
    <t>; Altieri, Andrew/P-1738-2017; Knowlton, Nancy/LYO-9836-2024; Collin, Rachel/Q-7100-2019</t>
  </si>
  <si>
    <t>Altieri, Anew/0000-0001-7439-8742; Seemann, Janina/0000-0001-6427-5773; Harrison, Seamus/0000-0002-9909-921X;</t>
  </si>
  <si>
    <t>Smithsonian Tropical Research Institute; Deutscher Akademischer Austauschdienst-The German Academic Exchange Service; Pawel-Rammingen Foundation; Sant Chair for Marine Science; Hunterdon and Johnson Oceanographic Research Endowment</t>
  </si>
  <si>
    <t>Smithsonian Tropical Research Institute(Smithsonian InstitutionSmithsonian Tropical Research Institute); Deutscher Akademischer Austauschdienst-The German Academic Exchange Service(Deutscher Akademischer Austausch Dienst (DAAD)); Pawel-Rammingen Foundation; Sant Chair for Marine Science; Hunterdon and Johnson Oceanographic Research Endowment</t>
  </si>
  <si>
    <t>We thank B. Silliman for comments on earlier versions of this paper; P. Gondola, C. Gonzalez, S. Loranger, and A. Castillo for assistance in the field; and M. Solano for assistance with Geographical Information System maps. This research was supported by the Smithsonian Tropical Research Institute, a grant from Deutscher Akademischer Austauschdienst-The German Academic Exchange Service and the Pawel-Rammingen Foundation, the Sant Chair for Marine Science, and the Hunterdon and Johnson Oceanographic Research Endowment. Research permits were provided by the Autoridad de Recursos Acuatico de Panama and the Autoridad Nacional del Ambiente de Panama. This paper is contribution number 8 from the Marine Global Earth Observatory (MarineGEO) and the Smithsonian's Tennenbaum Marine Observatories Network.</t>
  </si>
  <si>
    <t>APR 4</t>
  </si>
  <si>
    <t>10.1073/pnas.1621517114</t>
  </si>
  <si>
    <t>EQ5YM</t>
  </si>
  <si>
    <t>WOS:000398159000048</t>
  </si>
  <si>
    <t>Wilting, HC; Schipper, AM; Bakkenes, M; Meijer, JR; Huijbregts, MAJ</t>
  </si>
  <si>
    <t>Wilting, Harry C.; Schipper, Aafke M.; Bakkenes, Michel; Meijer, Johan R.; Huijbregts, Mark A. J.</t>
  </si>
  <si>
    <t>Quantifying Biodiversity Losses Due to Human Consumption: A Global-Scale Footprint Analysis</t>
  </si>
  <si>
    <t>ENVIRONMENTAL SCIENCE &amp; TECHNOLOGY</t>
  </si>
  <si>
    <t>INPUT-OUTPUT DATABASE; INTERNATIONAL-TRADE; LAND-USE; TERRESTRIAL BIODIVERSITY; CLIMATE-CHANGE; IMPACTS; NATIONS; REQUIREMENTS; SCENARIOS; DRIVES</t>
  </si>
  <si>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</si>
  <si>
    <t>[Wilting, Harry C.; Schipper, Aafke M.; Bakkenes, Michel; Meijer, Johan R.; Huijbregts, Mark A. J.] PBL Netherlands Environm Assessment Agcy, POB 30314, NL-2500 GH The Hague, Netherlands; [Huijbregts, Mark A. J.] Radboud Univ Nijmegen, Inst Water &amp; Wetland Res, Dept Environm Sci, POB 9010, NL-6500 GL Nijmegen, Netherlands</t>
  </si>
  <si>
    <t>Radboud University Nijmegen</t>
  </si>
  <si>
    <t>Wilting, HC (corresponding author), PBL Netherlands Environm Assessment Agcy, POB 30314, NL-2500 GH The Hague, Netherlands.</t>
  </si>
  <si>
    <t>Harry.Wilting@pbl.nl</t>
  </si>
  <si>
    <t>; Huijbregts, Mark/B-8971-2011; Huijbregts, Mark/LSL-2248-2024; Schipper, Aafke/C-2758-2011</t>
  </si>
  <si>
    <t>Schipper, Aafke/0000-0002-5667-0893; Huijbregts, Mark/0000-0002-7037-680X; Meijer, Johan/0000-0002-1219-7694; Wilting, Harry/0000-0002-2330-8820</t>
  </si>
  <si>
    <t>AMER CHEMICAL SOC</t>
  </si>
  <si>
    <t>1155 16TH ST, NW, WASHINGTON, DC 20036 USA</t>
  </si>
  <si>
    <t>0013-936X</t>
  </si>
  <si>
    <t>1520-5851</t>
  </si>
  <si>
    <t>ENVIRON SCI TECHNOL</t>
  </si>
  <si>
    <t>Environ. Sci. Technol.</t>
  </si>
  <si>
    <t>MAR 21</t>
  </si>
  <si>
    <t>10.1021/acs.est.6b05296</t>
  </si>
  <si>
    <t>Engineering, Environmental; Environmental Sciences</t>
  </si>
  <si>
    <t>Engineering; Environmental Sciences &amp; Ecology</t>
  </si>
  <si>
    <t>EP6HA</t>
  </si>
  <si>
    <t>WOS:000397477900021</t>
  </si>
  <si>
    <t>Ducatez, S; Shine, R</t>
  </si>
  <si>
    <t>Ducatez, Simon; Shine, Richard</t>
  </si>
  <si>
    <t>Drivers of Extinction Risk in Terrestrial Vertebrates</t>
  </si>
  <si>
    <t>CONSERVATION LETTERS</t>
  </si>
  <si>
    <t>Amphibians; birds; endangerment; invasive species; IUCN Red List; mammals; reptiles</t>
  </si>
  <si>
    <t>CLIMATE; DIVERSITY; MAMMALS; THREAT; LAND</t>
  </si>
  <si>
    <t>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t>
  </si>
  <si>
    <t>[Ducatez, Simon; Shine, Richard] Univ Sydney, Sch Biol Sci, Sydney, NSW 2006, Australia</t>
  </si>
  <si>
    <t>University of Sydney</t>
  </si>
  <si>
    <t>Ducatez, S (corresponding author), Univ Sydney, Sch Biol Sci, Sydney, NSW 2006, Australia.</t>
  </si>
  <si>
    <t>simon.ducatez@gmail.com</t>
  </si>
  <si>
    <t>Ducatez, Simon/AAA-5378-2020</t>
  </si>
  <si>
    <t>Ducatez, Simon/0000-0003-2865-4674</t>
  </si>
  <si>
    <t>Australian Research Council (ARC)</t>
  </si>
  <si>
    <t>Australian Research Council (ARC)(Australian Research Council)</t>
  </si>
  <si>
    <t>We thank the IUCN, and all the experts whose work has allowed the construction and open access to the IUCN Red List database. Our research was supported by the Australian Research Council (ARC).</t>
  </si>
  <si>
    <t>1755-263X</t>
  </si>
  <si>
    <t>CONSERV LETT</t>
  </si>
  <si>
    <t>Conserv. Lett.</t>
  </si>
  <si>
    <t>MAR-APR</t>
  </si>
  <si>
    <t>10.1111/conl.12258</t>
  </si>
  <si>
    <t>ER1PC</t>
  </si>
  <si>
    <t>WOS:000398563500003</t>
  </si>
  <si>
    <t>Wang, Z; Deng, XZ; Song, W; Li, ZH; Chen, JC</t>
  </si>
  <si>
    <t>Wang, Zhan; Deng, Xiangzheng; Song, Wei; Li, Zhihui; Chen, Jiancheng</t>
  </si>
  <si>
    <t>What is the main cause of grassland degradation? A case study of grassland ecosystem service in the middle-south Inner Mongolia</t>
  </si>
  <si>
    <t>CATENA</t>
  </si>
  <si>
    <t>Ecosystem assessment; Ecosystem service; Inner Mongolia; Grassland; Human wellbeing</t>
  </si>
  <si>
    <t>LAND-USE CHANGE; SOIL PROPERTIES; COUPLED HUMAN; WIND EROSION; CHINA; LIVESTOCK; FARMLAND; PATTERNS</t>
  </si>
  <si>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</si>
  <si>
    <t>[Wang, Zhan; Deng, Xiangzheng; Song, Wei; Li, Zhihui] Chinese Acad Sci, Inst Geog Sci &amp; Nat Resources Res, Beijing 100101, Peoples R China; [Wang, Zhan; Chen, Jiancheng] Beijing Forestry Univ, Sch Econ &amp; Management, Beijing 100083, Peoples R China; [Wang, Zhan; Deng, Xiangzheng; Li, Zhihui] Chinese Acad Sci, Ctr Chinese Agr Policy, Beijing 100101, Peoples R China; [Deng, Xiangzheng; Li, Zhihui] Univ Chinese Acad Sci, Beijing 10049, Peoples R China</t>
  </si>
  <si>
    <t>Chinese Academy of Sciences; Institute of Geographic Sciences &amp; Natural Resources Research, CAS; Beijing Forestry University; Chinese Academy of Sciences; Chinese Academy of Sciences; University of Chinese Academy of Sciences, CAS</t>
  </si>
  <si>
    <t>Deng, XZ (corresponding author), Chinese Acad Sci, Inst Geog Sci &amp; Nat Resources Res, Beijing 100101, Peoples R China.</t>
  </si>
  <si>
    <t>wangz@igsnrr.ac.cn; dengxz.ccap@igsnrr.ac.cn; songw@igsnrr.ac.cn; lizh.12b@igsnrr.ac.cn; chenjc1963@163.com</t>
  </si>
  <si>
    <t>Deng, Xiangzheng/N-1335-2018; Wang, Zhan/Q-9994-2017; Song, Wei/E-8333-2018</t>
  </si>
  <si>
    <t>Wang, Zhan/0000-0002-7351-2731;</t>
  </si>
  <si>
    <t>P.R of China National Natural Science Funds for Distinguished Young Scholar [71225005]; National Key Research and Development Program of P.R. of China [2016YFA0602500]; National Key Programme for Developing Basic Science in P.R. of China [2012CB955700]; Key Project in the National Science &amp; Technology Pillar Program of P.R. of China [2013BAC03B00]; External Cooperation Program of the P.R. of Chinese Academy of Sciences [GJHZ1312]</t>
  </si>
  <si>
    <t>P.R of China National Natural Science Funds for Distinguished Young Scholar; National Key Research and Development Program of P.R. of China; National Key Programme for Developing Basic Science in P.R. of China; Key Project in the National Science &amp; Technology Pillar Program of P.R. of China; External Cooperation Program of the P.R. of Chinese Academy of Sciences</t>
  </si>
  <si>
    <t>This research was financially supported by the P.R of China National Natural Science Funds for Distinguished Young Scholar (grant no. 71225005), the National Key Research and Development Program of P.R. of China (Grant No. 2016YFA0602500), the National Key Programme for Developing Basic Science in P.R. of China (grant no. 2012CB955700), and data supported by the Key Project in the National Science &amp; Technology Pillar Program of P.R. of China (grant no. 2013BAC03B00), and the External Cooperation Program of the P.R. of Chinese Academy of Sciences (grant no. GJHZ1312).</t>
  </si>
  <si>
    <t>0341-8162</t>
  </si>
  <si>
    <t>1872-6887</t>
  </si>
  <si>
    <t>Catena</t>
  </si>
  <si>
    <t>MAR</t>
  </si>
  <si>
    <t>10.1016/j.catena.2016.11.014</t>
  </si>
  <si>
    <t>Geosciences, Multidisciplinary; Soil Science; Water Resources</t>
  </si>
  <si>
    <t>Geology; Agriculture; Water Resources</t>
  </si>
  <si>
    <t>EI7NX</t>
  </si>
  <si>
    <t>WOS:000392686000012</t>
  </si>
  <si>
    <t>Seebens, H; Blackburn, TM; Dyer, EE; Genovesi, P; Hulme, PE; Jeschke, JM; Pagad, S; Pysek, P; Winter, M; Arianoutsou, M; Bacher, S; Blasius, B; Brundu, G; Capinha, C; Celesti-Grapow, L; Dawson, W; Dullinger, S; Fuentes, N; Jäger, H; Kartesz, J; Kenis, M; Kreft, H; Kühn, I; Lenzner, B; Liebhold, A; Mosena, A; Moser, D; Nishino, M; Pearman, D; Pergl, J; Rabitsch, W; Rojas-Sandoval, J; Roques, A; Rorke, S; Rossinelli, S; Roy, HE; Scalera, R; Schindler, S; Stajerová, K; Tokarska-Guzik, B; van Kleunen, M; Walker, K; Weigelt, P; Yamanaka, T; Essl, F</t>
  </si>
  <si>
    <t>Seebens, Hanno; Blackburn, Tim M.; Dyer, Ellie E.; Genovesi, Piero; Hulme, Philip E.; Jeschke, Jonathan M.; Pagad, Shyama; Pysek, Petr; Winter, Marten; Arianoutsou, Margarita; Bacher, Sven; Blasius, Bernd; Brundu, Giuseppe; Capinha, Cesar; Celesti-Grapow, Laura; Dawson, Wayne; Dullinger, Stefan; Fuentes, Nicol; Jaeger, Heinke; Kartesz, John; Kenis, Marc; Kreft, Holger; Kuehn, Ingolf; Lenzner, Bernd; Liebhold, Andrew; Mosena, Alexander; Moser, Dietmar; Nishino, Misako; Pearman, David; Pergl, Jan; Rabitsch, Wolfgang; Rojas-Sandoval, Julissa; Roques, Alain; Rorke, Stephanie; Rossinelli, Silvia; Roy, Helen E.; Scalera, Riccardo; Schindler, Stefan; Stajerova, Katerina; Tokarska-Guzik, Barbara; van Kleunen, Mark; Walker, Kevin; Weigelt, Patrick; Yamanaka, Takehiko; Essl, Franz</t>
  </si>
  <si>
    <t>No saturation in the accumulation of alien species worldwide</t>
  </si>
  <si>
    <t>BIOLOGICAL INVASIONS; PLANT INVASIONS; BIODIVERSITY; BIOGEOGRAPHY; PATHWAYS; FRAMEWORK; FUTURE; POLICY; TRADE</t>
  </si>
  <si>
    <t>Although research on human-mediated exchanges of species has substantially intensified during the last centuries, we know surprisingly little about temporal dynamics of alien species accumulations across regions and taxa. Using a novel database of 45,813 first records of 16,926 established alien species, we show that the annual rate of first records worldwide has increased during the last 200 years, with 37% of all first records reported most recently (1970-2014). Inter-continental and inter-taxonomic variation can be largely attributed to the diaspora of European settlers in the nineteenth century and to the acceleration in trade in the twentieth century. For all taxonomic groups, the increase in numbers of alien species does not show any sign of saturation and most taxa even show increases in the rate of first records over time. This highlights that past efforts to mitigate invasions have not been effective enough to keep up with increasing globalization.</t>
  </si>
  <si>
    <t>[Seebens, Hanno] Senckenberg Biodivers &amp; Climate Res Ctr BiK F, Senckenberganlage 25, D-60325 Frankfurt, Germany; [Seebens, Hanno; Dullinger, Stefan; Lenzner, Bernd; Moser, Dietmar; Schindler, Stefan; Essl, Franz] Univ Vienna, Dept Bot &amp; Biodivers Res, Rennweg 14, A-1030 Vienna, Austria; [Seebens, Hanno; Blasius, Bernd] Carl von Ossietzky Univ Oldenburg, Inst Chem &amp; Biol Marine Environm, Carl von Ossietzky Str 9-11, D-26111 Oldenburg, Germany; [Blackburn, Tim M.; Dyer, Ellie E.] UCL, Ctr Biodivers &amp; Environm Res, Dept Genet Evolut &amp; Environm, London WC1E 6BT, England; [Blackburn, Tim M.; Dyer, Ellie E.] Zool Soc London, Inst Zool, Regents Pk, London NW1 4RY, England; [Blackburn, Tim M.] Univ Adelaide, Sch Biol Sci, Adelaide, SA 5005, Australia; [Blackburn, Tim M.; Essl, Franz] Univ Stellenbosch, Dept Bot &amp; Zool, Ctr Invas Biol, Private Bag X1, ZA-7602 Matieland, South Africa; [Blackburn, Tim M.] King Saud Univ, Distinguished Scientist Fellowship Program, Riyadh 1145, Saudi Arabia; [Genovesi, Piero] Inst Environm Protect &amp; Res ISPRA, Via Vitaliano Brancati 48, I-00144 Rome, Italy; [Genovesi, Piero] IUCN Species Survival Commiss Invas Species Speci, I-00144 Rome, Italy; [Hulme, Philip E.] Lincoln Univ, Bioprotect Res Ctr, POB 85084, Christchurch 7648, New Zealand; [Jeschke, Jonathan M.] Leibniz Inst Freshwater Ecol &amp; Inland Fisheries I, Muggelseedamm 310, D-12587 Berlin, Germany; [Jeschke, Jonathan M.] Free Univ Berlin, Inst Biol, Dept Biol Chem &amp; Pharm, Konigin Luise Str 1-3, D-14195 Berlin, Germany; [Jeschke, Jonathan M.] Berlin Brandenburg Inst Adv Biodivers Res BBIB, Altensteinstr 34, D-14195 Berlin, Germany; [Pagad, Shyama] Univ Auckland, IUCN Species Survival Commiss Invas Species Speci, Auckland 1072, New Zealand; [Pysek, Petr; Pergl, Jan; Stajerova, Katerina] Acad Sci Czech Republ, Dept Invas Ecol, Inst Bot, Zamek 1, CZ-25243 Pruhonice, Czech Republic; [Pysek, Petr; Stajerova, Katerina] Charles Univ Prague, Dept Ecol, Fac Sci, Vinicna 7, CZ-12844 Prague, Czech Republic; [Winter, Marten; Kuehn, Ingolf] Halle Jena Leipzig, German Ctr Integrat Biodivers Res iDiv, Deutsch Pl 5e, D-04103 Leipzig, Germany; [Arianoutsou, Margarita] Natl &amp; Kapodistrian Univ Athens, Dept Systemat &amp; Ecol, Fac Biol, Sch Sci, Athens 15784, Greece; [Bacher, Sven; Rossinelli, Silvia] Univ Fribourg, Dept Biol, Chemin Musee 10, CH-1700 Fribourg, Switzerland; [Brundu, Giuseppe] Univ Sassari, Dept Agr, Viale Italia 39, I-07100 Sassari, Italy; [Capinha, Cesar] Univ Porto, CIBIO InBIO, Ctr Invest Biodiversidade &amp; Recursos Genet, Catedra Infraestruturas Portugal Biodiversidade, Campus Agrario Vairao, P-4485661 Vairao, Portugal; [Capinha, Cesar] Zool Forsch Museum Alexander Koenig, Museumsmeile Bonn, D-53113 Bonn, Germany; [Celesti-Grapow, Laura] Sapienza Univ, Dept Environm Biol, P Moro 5, I-00185 Rome, Italy; [Dawson, Wayne; van Kleunen, Mark] Univ Konstanz, Dept Ecol, Univ Str 10, D-78457 Constance, Germany; [Dawson, Wayne] Univ Durham, Dept Biosci, South Rd, Durham DH1 3LE, England; [Fuentes, Nicol] Univ Concepcion, Dept Bot, Fac Ciencias Nat &amp; Oceanog, Victor Lamas 1290,Casilla 160-C, Concepcion, Chile; [Jaeger, Heinke] Charles Darwin Fdn, Santa Cruz, Galapagos, Ecuador; [Kartesz, John; Nishino, Misako] Biota North Amer Program, 9319 Bracken Lane, Chapel Hill, NC 27516 USA; [Kenis, Marc] CABI, Rue Grillons 1, CH-2800 Delemont, Switzerland; [Kreft, Holger; Weigelt, Patrick] Georg August Univ Gottingen, Dept Biodivers Macroecol &amp; Biogeog, Busgenweg 1, D-37077 Gottingen, Germany; [Kuehn, Ingolf] Helmholtz Ctr Environm Research UFZ, Dept Community Ecol, Theodor Lieser Str 4, D-06120 Halle, Germany; [Kuehn, Ingolf] Martin Luther Univ Halle Wittenberg, Dept Geobot &amp; Bot Garden, Kirchweg 2, D-06108 Halle, Germany; [Liebhold, Andrew] US Forest Serv, Northern Res Stn, Morgantown, WV 26505 USA; [Mosena, Alexander] Univ Bielefeld, Ctr Interamer Studies CIAS, Dept Expt &amp; Syst Ecol, Univ Str 25, D-33615 Bielefeld, Germany; [Pearman, David; Walker, Kevin] Bot Soc Britain &amp; Ireland, Suite 14,Bridge House,1-2 Stn Bridge, Harrogate HG1 1SS, England; [Rabitsch, Wolfgang] Environm Agcy Austria, Dept Biodivers &amp; Nat Conservat, Spittelauer Laende 5, A-1090 Vienna, Austria; [Rojas-Sandoval, Julissa] Natl Museum Nat Hist, Dept Bot, MRC Smithsonian Inst 166, POB 37012, Washington, DC 20013 USA; [Roques, Alain] INRA, UR 0633, Zool Forestiere, F-45075 Orleans, France; [Rorke, Stephanie; Roy, Helen E.] Ctr Ecol &amp; Hydrol, Maclean Bldg,Benson Lane, Wallingford OX10 8BB, Oxon, England; [Scalera, Riccardo] IUCN Species Survival Commiss Invas Species Speci, Via Valentino Mazzola 38 T2 B 10, I-00142 Rome, Italy; [Tokarska-Guzik, Barbara] Univ Silesia Katowice, Fac Biol &amp; Environm Protect, Dept Bot &amp; Nat Protect, Jagiellonska St 28, PL-40032 Katowice, Poland; [Yamanaka, Takehiko] NARO NIAES, Inst Agroenvironm Sci, 3-1-3 Kannondai, Tsukuba, Ibaraki 3058604, Japan</t>
  </si>
  <si>
    <t>Senckenberg Biodiversitat &amp; Klima- Forschungszentrum (BiK-F); Leibniz Association; Senckenberg Gesellschaft fur Naturforschung (SGN); University of Vienna; Carl von Ossietzky Universitat Oldenburg; University of London; University College London; Zoological Society of London; Adelaide University; University of Adelaide; Stellenbosch University; King Saud University; Italian Institute for Environmental Protection &amp; Research (ISPRA); Lincoln University - New Zealand; Leibniz Association; Leibniz Institut fur Gewasserokologie und Binnenfischerei (IGB); Free University of Berlin; University of Auckland; Czech Academy of Sciences; Institute of Botany of the Czech Academy of Sciences; Charles University Prague; German Research Foundation (DFG); German Centre for Integrative Biodiversity Research (iDiv); National &amp; Kapodistrian University of Athens; University of Fribourg; University of Sassari; Universidade do Porto; Zoologisches Forschungsmuseum Alexander Koenig (ZFMK); Sapienza University Rome; University of Konstanz; Durham University; Universidad de Concepcion; University of Gottingen; Helmholtz Association; Helmholtz Center for Environmental Research (UFZ); Martin Luther University Halle Wittenberg; United States Department of Agriculture (USDA); United States Forest Service; University of Bielefeld; Smithsonian Institution; Smithsonian National Museum of Natural History; INRAE; UK Centre for Ecology &amp; Hydrology (UKCEH); University of Silesia in Katowice; National Agriculture &amp; Food Research Organization - Japan</t>
  </si>
  <si>
    <t>Seebens, H (corresponding author), Senckenberg Biodivers &amp; Climate Res Ctr BiK F, Senckenberganlage 25, D-60325 Frankfurt, Germany.;Seebens, H; Essl, F (corresponding author), Univ Vienna, Dept Bot &amp; Biodivers Res, Rennweg 14, A-1030 Vienna, Austria.;Seebens, H (corresponding author), Carl von Ossietzky Univ Oldenburg, Inst Chem &amp; Biol Marine Environm, Carl von Ossietzky Str 9-11, D-26111 Oldenburg, Germany.;Essl, F (corresponding author), Univ Stellenbosch, Dept Bot &amp; Zool, Ctr Invas Biol, Private Bag X1, ZA-7602 Matieland, South Africa.</t>
  </si>
  <si>
    <t>hanno.seebens@uni-oldenburg.de; franz.essl@univie.ac.at</t>
  </si>
  <si>
    <t>Pysek, Petr/B-1957-2012; Seebens, Hanno/I-2310-2019; Brundu, Giuseppe/C-6772-2012; Rabitsch, Wolfgang/G-4562-2011; Essl, Franz/ABE-7064-2020; Bacher, Sven/F-5431-2010; Genovesi, Piero/Z-1571-2019; Blackburn, Tim/A-7685-2011; Štajerová, Kateřina/Q-8991-2017; Kreft, Holger/A-4736-2008; Jäger, Heinke/ABH-5731-2020; Kühn, Ingolf/B-9756-2009; Weigelt, Patrick/E-2122-2014; CELESTI, Laura/R-3615-2016; Blasius, Bernd/AAH-1897-2019; Pergl, Jan/H-1071-2011; Jeschke, Jonathan/A-2707-2008; Fuentes, Nicol/IWU-9404-2023; Winter, Marten/E-7979-2011; Schindler, Stefan/A-1695-2011; Arianoutsou, Margarita/ABA-1614-2021; Scalera, Riccardo/KMY-1169-2024; Hulme, Philip/F-7454-2011; Kühn, Ingolf/B-9756-2009; CELESTI, Laura/ABA-2552-2021; Štajerová, Kateřina/Q-8991-2017; Roy, Helen/A-1488-2010; van Kleunen, Mark/B-3769-2009; Liebhold, Andrew/C-1423-2008; Lenzner, Bernd/AAS-9140-2020; Tokarska-Guzik, Barbara/L-8891-2019; Kenis, Marc/HMD-4929-2023; Capinha, César/K-6439-2017</t>
  </si>
  <si>
    <t>Dyer, Ellie/0000-0001-5331-4490; Kenis, Marc/0000-0002-3179-0872; Rojas-Sandoval, Julissa/0000-0001-6620-4741; Rabitsch, Wolfgang/0000-0002-3811-6071; Seebens, Hanno/0000-0001-8993-6419; Brundu, Giuseppe/0000-0003-3076-4098; Dullinger, Stefan/0000-0003-3919-0887; Scalera, Riccardo/0000-0002-4100-3959; Bacher, Sven/0000-0001-5147-7165; Essl, Franz/0000-0001-8253-2112; Štajerová, Kateřina/0000-0001-7824-1793; Kreft, Holger/0000-0003-4471-8236; Yamanaka, Takehiko/0000-0003-2888-1076; Kühn, Ingolf/0000-0003-1691-8249; Weigelt, Patrick/0000-0002-2485-3708; Fuentes, Nicol/0000-0002-3773-9832; CELESTI, Laura/0000-0002-9533-6919; Genovesi, Piero/0000-0002-0262-1420; Pergl, Jan/0000-0002-0045-1974; Winter, Marten/0000-0002-9593-7300; Moser, Dietmar/0000-0002-2745-7508; Tokarska-Guzik, Barbara/0000-0002-4058-1220; Jeschke, Jonathan/0000-0003-3328-4217; Hulme, Philip/0000-0001-5712-0474; Kühn, Ingolf/0000-0003-1691-8249; Štajerová, Kateřina/0000-0001-7824-1793; van Kleunen, Mark/0000-0002-2861-3701; Dawson, Wayne/0000-0003-3402-0774; Lenzner, Bernd/0000-0002-2616-3479; Jäger, Heinke/0000-0001-9065-4048; ARIANOUTSOU, MARGARITA/0000-0002-6743-9240; Blasius, Bernd/0000-0002-6558-1462; Capinha, César/0000-0002-0666-9755</t>
  </si>
  <si>
    <t>Deutsche Forschungsgemeinschaft (DFG) [KL 1866/9-1, SE 1891/2-1, FZT 118, JE 288/8-1, JE 288/9-1]; FWF [I2096-B16]; COST Action 'Alien Challenge' [TD1209]; VW Foundation; Galapagos Conservancy; Praemium Academiae award (he Czech Academy of Sciences); Centre of Excellence PLADIAS; Czech Science Foundation [P505/11/1112]; DFG Free Floater Program in the Excellence Initiative at the University of Gottingen; Polish National Science Centre; Portuguese Foundation for Science and Technology (FCT/MCTES); POPH/FSE (EC) [SFRH/BPD/84422/2012]; Fondecyt [3120125]; Leverhulme Trust [RF/2/RFG/2010/0016]; Federal Ministry of Education and Research, Germany, through the project 'The Americas as Space of Entanglements'; Defra; [RVO 67985939]; [14-36079G]; NERC [ceh020004] Funding Source: UKRI; Natural Environment Research Council [ceh020004] Funding Source: researchfish; Austrian Science Fund (FWF) [I2086] Funding Source: Austrian Science Fund (FWF)</t>
  </si>
  <si>
    <t>Deutsche Forschungsgemeinschaft (DFG)(German Research Foundation (DFG)); FWF(Austrian Science Fund (FWF)); COST Action 'Alien Challenge'; VW Foundation(Volkswagen); Galapagos Conservancy; Praemium Academiae award (he Czech Academy of Sciences); Centre of Excellence PLADIAS; Czech Science Foundation(Grant Agency of the Czech Republic); DFG Free Floater Program in the Excellence Initiative at the University of Gottingen; Polish National Science Centre; Portuguese Foundation for Science and Technology (FCT/MCTES)(Fundacao para a Ciencia e a Tecnologia (FCT)); POPH/FSE (EC)(European Union (EU)European Commission Joint Research CentreEuropean Social Fund (ESF)); Fondecyt(Comision Nacional de Investigacion Cientifica y Tecnologica (CONICYT)CONICYT FONDECYT); Leverhulme Trust(Leverhulme Trust); Federal Ministry of Education and Research, Germany, through the project 'The Americas as Space of Entanglements'; Defra(Department for Environment, Food &amp; Rural Affairs (DEFRA)); ; ; NERC(UK Research &amp; Innovation (UKRI)Natural Environment Research Council (NERC)); Natural Environment Research Council(UK Research &amp; Innovation (UKRI)Natural Environment Research Council (NERC)); Austrian Science Fund (FWF)(Austrian Science Fund (FWF))</t>
  </si>
  <si>
    <t>We thank the CONABIO team, David Baxter, Vince Nealis, Ian DeMerchant, Yves Frenot, Eckehart Jager, Wojciech Solarz, Agnes Dellinger, Stephan Gollasch, Marc Lebouvier, and the plant experts group of National and Kapodistrian University of Athens for providing data of first records or contacts to data providers. The study was supported by grants from the Deutsche Forschungsgemeinschaft (DFG; grant KL 1866/9-1 to M.v.K. and W.D.; grant SE 1891/2-1 to H.S.; grant FZT 118 to iDiv/M.W.; grants JE 288/8-1 and JE 288/9-1 (InDyNet) to J.M.J.), the FWF (grant I2096-B16 to H.S., F.E., S.D., D.M. and B.L.) and COST Action TD1209 'Alien Challenge' (to F.E., R.S., H.R., W.R. and M.A.). H.S. and B.B. acknowledge support by the VW Foundation. H.J. acknowledges support by the Galapagos Conservancy. P.P., J.P. and K.S. were supported by long-term research development project RVO 67985939, by Praemium Academiae award (both from The Czech Academy of Sciences) and by project number 14-36079G, Centre of Excellence PLADIAS and number P505/11/1112 (Czech Science Foundation). P.W. and H.K. acknowledge funding from the DFG Free Floater Program in the Excellence Initiative at the University of Gottingen and in the scope of the BEFmate project from the Ministry of Science and Culture of Lower Saxony. B.T.G. acknowledge financial support from the Polish National Science Centre. C.C. was supported by the Portuguese Foundation for Science and Technology (FCT/MCTES) and POPH/FSE (EC) through grant SFRH/BPD/84422/2012. N.F. was supported by project Fondecyt postdoc 3120125. The creation of the GAVIA database was made possible by a grant from the Leverhulme Trust (RF/2/RFG/2010/0016). A.M. acknowledges funding from the Federal Ministry of Education and Research, Germany, through the project 'The Americas as Space of Entanglements'. H.R. acknowledges support from Defra in compiling first records through the GB Non-Native Species Information Portal.</t>
  </si>
  <si>
    <t>FEB 15</t>
  </si>
  <si>
    <t>10.1038/ncomms14435</t>
  </si>
  <si>
    <t>EK9CN</t>
  </si>
  <si>
    <t>Green Submitted, Green Accepted, gold</t>
  </si>
  <si>
    <t>WOS:000394221600001</t>
  </si>
  <si>
    <t>Arroita, M; Flores, L; Larrañaga, A; Martínez, A; Martínez-Santos, M; Pereda, O; Ruiz-Romera, E; Solagaistua, L; Elosegi, A</t>
  </si>
  <si>
    <t>Arroita, Maite; Flores, Lorea; Larranaga, Aitor; Martinez, Aingeru; Martinez-Santos, Miren; Pereda, Olatz; Ruiz-Romera, Estilita; Solagaistua, Libe; Elosegi, Arturo</t>
  </si>
  <si>
    <t>Water abstraction impacts stream ecosystem functioning via wetted-channel contraction</t>
  </si>
  <si>
    <t>breakdown; ecosystem services; metabolism; nutrient cycling; water diversion</t>
  </si>
  <si>
    <t>EXTRACELLULAR ENZYME-ACTIVITY; NUTRIENT-UPTAKE; CLIMATE-CHANGE; MACROINVERTEBRATE COMMUNITIES; MEDITERRANEAN STREAM; FISH ASSEMBLAGES; FLOW REGULATION; ORGANIC-MATTER; RIVER; RETENTION</t>
  </si>
  <si>
    <t>Water abstraction is rapidly increasing worldwide in order to respond to escalating demands for water, food and energy. Abstraction can alter the hydrological regime of streams and rivers, reduce in-stream habitats, change water quality and affect fluvial communities. It can also impair ecosystem functioning, although this aspect has been seldom assessed. We experimentally tested the effect of water abstraction on stream functioning in a headwater mountain stream using a before and after control-impact (BACI) design. We quantified changes in water physicochemical properties, biofilm biomass and activity (exo-enzymes and metabolism), and ecosystem processes (nutrient cycling, organic matter retention and breakdown). Water abstraction did not affect water physicochemical properties, but reduced the biomass and the alkaline phosphatase activity of biofilm per surface unit, the areal uptake of nutrients, and the travel distance of organic matter. It did not affect the biofilm metabolism and breakdown of submerged leaf litter, but decreased the total breakdown. The impacts were larger when analysed per unit of channel length. All variables, except benthic chlorophyll-a, were significantly reduced by abstraction, due to the contraction of the wetted channel. The decrease in the biomass and activity of biofilm, as well as in nutrient uptake and total organic matter breakdown observed in this study could increase nutrient concentration in downstream reaches and reduce the energy transfer to higher trophic levels. Ecosystem services of permanent headwater streams are likely to be compromised with the reduction of wetted-channel width.</t>
  </si>
  <si>
    <t>[Arroita, Maite; Larranaga, Aitor; Martinez, Aingeru; Pereda, Olatz; Solagaistua, Libe; Elosegi, Arturo] Univ Basque Country, Fac Sci &amp; Technol, Bilbao, Spain; [Flores, Lorea] INRA, UMR 1224, ECOBIOP, Aquapole, St Pee Sur Nive, France; [Martinez-Santos, Miren; Ruiz-Romera, Estilita] Univ Basque Country, Dept Chem &amp; Environm Engn, Bilbao, Spain</t>
  </si>
  <si>
    <t>University of Basque Country; INRAE; University of Basque Country</t>
  </si>
  <si>
    <t>Arroita, M (corresponding author), Univ Basque Country, Fac Sci &amp; Technol, Dept Plant Biol &amp; Ecol, POB 644, Bilbao 48080, Spain.</t>
  </si>
  <si>
    <t>maite.arroita@ehu.eus</t>
  </si>
  <si>
    <t>; Martínez-Santos, Miren/L-2197-2014; Larrañaga, Aitor/A-6185-2009; Elosegi, Arturo/B-7796-2009; Martínez, Aingeru/R-5531-2019</t>
  </si>
  <si>
    <t>Martínez-Santos, Miren/0000-0002-0577-5185; LARRAÑAGA ARRIZABALAGA, AITOR/0000-0002-0185-9154; Elosegi, Arturo/0000-0001-8809-8484; Arroita, Maite/0000-0001-8754-7604; Martínez, Aingeru/0000-0002-7888-1798</t>
  </si>
  <si>
    <t>Spanish Ministry of Economy and Competitiveness; FEDER through the ABSTRACT [CGL2012-35848]; SCARCE Consolider-Ingenio [CSD2009-00065]; Basque Government [7-CA-18/10]; Basque Government; University of the Basque Country</t>
  </si>
  <si>
    <t>Spanish Ministry of Economy and Competitiveness(Spanish Government); FEDER through the ABSTRACT; SCARCE Consolider-Ingenio; Basque Government(Basque Government); Basque Government(Basque Government); University of the Basque Country(University of Basque Country)</t>
  </si>
  <si>
    <t>This work was supported by the Spanish Ministry of Economy and Competitiveness and FEDER through the ABSTRACT CGL2012-35848 and SCARCE Consolider-Ingenio CSD2009-00065 projects and the Basque Government (7-CA-18/10). Thanks to Ibon Aristi and Jose Manuel Gonzalez for assisting in fieldwork, to Daniel von Schiller for his help during data analysis and writing processes, and to the staff of Artikutza for continuous support during the experiment. We also acknowledge financial support in terms of predoctoral grants from the Basque Government (M. Arroita) and the University of the Basque Country (O. Pereda, L. Solagaistua) and post-doctoral grant from the University of the Basque Country (A. Martinez). We thank the comments by the associate editor and referees that enhanced the quality of the paper.</t>
  </si>
  <si>
    <t>10.1111/fwb.12864</t>
  </si>
  <si>
    <t>EK2YN</t>
  </si>
  <si>
    <t>WOS:000393793100003</t>
  </si>
  <si>
    <t>Hattich, GSI; Listmann, L; Raab, J; Ozod-Seradj, D; Reusch, TBH; Matthiessen, B</t>
  </si>
  <si>
    <t>Hattich, Giannina S. I.; Listmann, Luisa; Raab, Julia; Ozod-Seradj, Dorthe; Reusch, Thorsten B. H.; Matthiessen, Birte</t>
  </si>
  <si>
    <t>Inter- and intraspecific phenotypic plasticity of three phytoplankton species in response to ocean acidification</t>
  </si>
  <si>
    <t>BIOLOGY LETTERS</t>
  </si>
  <si>
    <t>Emiliania huxleyi; Gephyrocapsa oceanica; Chaetoceros affinis; ocean acidification; plasticity; reaction norm</t>
  </si>
  <si>
    <t>ADAPTATION; EVOLUTION</t>
  </si>
  <si>
    <t>Phenotypic plasticity describes the phenotypic adjustment of the same genotype to different environmental conditions and is best described by a reaction norm. We focus on the effect of ocean acidification on inter-and intraspecific reaction norms of three globally important phytoplankton species (Emiliania huxleyi, Gephyrocapsa oceanica and Chaetoceros affinis). Despite significant differences in growth rates between the species, they all showed a high potential for phenotypic buffering (similar growth rates between ambient and high CO2 conditions). Only three coccolithophore genotypes showed a reduced growth in high CO2. Diverging responses to high CO2 of single coccolithophore genotypes compared with the respective mean species responses, however, raise the question of whether an extrapolation to the population level is possible from single-genotype experiments. We therefore compared the mean response of all tested genotypes with a total species response comprising the same genotypes, which was not significantly different in the coccolithophores. Assessing species reaction norms to different environmental conditions on short time scale in a genotype-mix could thus reduce sampling effort while increasing predictive power.</t>
  </si>
  <si>
    <t>[Hattich, Giannina S. I.; Listmann, Luisa; Raab, Julia; Ozod-Seradj, Dorthe; Reusch, Thorsten B. H.; Matthiessen, Birte] GEOMAR Helmholtz Ctr Ocean Res Kiel, Dusternbrooker Weg 20, D-24105 Kiel, Germany</t>
  </si>
  <si>
    <t>Helmholtz Association; GEOMAR Helmholtz Center for Ocean Research Kiel</t>
  </si>
  <si>
    <t>Hattich, GSI (corresponding author), GEOMAR Helmholtz Ctr Ocean Res Kiel, Dusternbrooker Weg 20, D-24105 Kiel, Germany.</t>
  </si>
  <si>
    <t>ghattich@geomar.de</t>
  </si>
  <si>
    <t>; Hattich, Giannina Saskia Isabelle/LKK-3421-2024; Matthiessen, Birte/IZP-7854-2023; Matthiessen, Birte/U-5459-2017; Reusch, Thorsten/B-9311-2019</t>
  </si>
  <si>
    <t>Hattich, Giannina Saskia Isabelle/0000-0003-4660-7759; Reusch, Thorsten B H/0000-0002-8961-4337; Matthiessen, Birte/0000-0001-9673-1876;</t>
  </si>
  <si>
    <t>DFG [MA5058/2-1, RE5058/2-2]</t>
  </si>
  <si>
    <t>DFG(German Research Foundation (DFG))</t>
  </si>
  <si>
    <t>G.H. and L.L. are funded by the DFG priority program 1704 Dynatrait: MA5058/2-1, RE5058/2-2.</t>
  </si>
  <si>
    <t>ROYAL SOC</t>
  </si>
  <si>
    <t>6-9 CARLTON HOUSE TERRACE, LONDON SW1Y 5AG, ENGLAND</t>
  </si>
  <si>
    <t>1744-9561</t>
  </si>
  <si>
    <t>1744-957X</t>
  </si>
  <si>
    <t>BIOL LETTERS</t>
  </si>
  <si>
    <t>Biol. Lett.</t>
  </si>
  <si>
    <t>FEB 1</t>
  </si>
  <si>
    <t>10.1098/rsbl.2016.0774</t>
  </si>
  <si>
    <t>Biology; Ecology; Evolutionary Biology</t>
  </si>
  <si>
    <t>Life Sciences &amp; Biomedicine - Other Topics; Environmental Sciences &amp; Ecology; Evolutionary Biology</t>
  </si>
  <si>
    <t>EN4ZM</t>
  </si>
  <si>
    <t>Green Submitted, Green Published, Green Accepted, hybrid</t>
  </si>
  <si>
    <t>WOS:000396015400004</t>
  </si>
  <si>
    <t>Giblin, SM</t>
  </si>
  <si>
    <t>Giblin, Shawn M.</t>
  </si>
  <si>
    <t>Identifying and quantifying environmental thresholds for ecological shifts in a large semi-regulated river</t>
  </si>
  <si>
    <t>JOURNAL OF FRESHWATER ECOLOGY</t>
  </si>
  <si>
    <t>Aquatic macrophytes; fisheries guilds; trophic shifts; Mississippi River; total suspended solids; ecological shift; alternative stable state</t>
  </si>
  <si>
    <t>CARP CYPRINUS-CARPIO; UPPER MISSISSIPPI RIVER; SHALLOW EUTROPHIC LAKE; PIKE ESOX-LUCIUS; WATER-QUALITY; SUBMERGED MACROPHYTES; SEDIMENT RESUSPENSION; COMMUNITY STRUCTURE; AQUATIC VEGETATION; BENTHIVOROUS FISH</t>
  </si>
  <si>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</si>
  <si>
    <t>[Giblin, Shawn M.] Wisconsin Dept Nat Resources, La Crosse, WI 54601 USA</t>
  </si>
  <si>
    <t>Giblin, SM (corresponding author), Wisconsin Dept Nat Resources, La Crosse, WI 54601 USA.</t>
  </si>
  <si>
    <t>shawn.giblin@wisconsin.gov</t>
  </si>
  <si>
    <t>Upper Mississippi River Restoration</t>
  </si>
  <si>
    <t>Upper Mississippi River Restoration (additional project element)</t>
  </si>
  <si>
    <t>0270-5060</t>
  </si>
  <si>
    <t>2156-6941</t>
  </si>
  <si>
    <t>J FRESHWATER ECOL</t>
  </si>
  <si>
    <t>J. Freshw. Ecol.</t>
  </si>
  <si>
    <t>10.1080/02705060.2017.1319431</t>
  </si>
  <si>
    <t>Ecology; Limnology</t>
  </si>
  <si>
    <t>EV4HM</t>
  </si>
  <si>
    <t>WOS:000401719600004</t>
  </si>
  <si>
    <t>Hegerl, C; Burgess, ND; Nielsen, MR; Martin, E; Ciolli, M; Rovero, F</t>
  </si>
  <si>
    <t>Hegerl, Carla; Burgess, Neil D.; Nielsen, Martin R.; Martin, Emanuel; Ciolli, Marco; Rovero, Francesco</t>
  </si>
  <si>
    <t>Using camera trap data to assess the impact of bushmeat hunting on forest mammals in Tanzania</t>
  </si>
  <si>
    <t>ORYX</t>
  </si>
  <si>
    <t>Biodiversity conservation; bushmeat; Eastern Arc; poaching; rainforest; Tanzania; Udzungwa</t>
  </si>
  <si>
    <t>EASTERN ARC MOUNTAINS; UDZUNGWA MOUNTAINS; COMMUNITY STRUCTURE; TROPICAL FORESTS; TREE RECRUITMENT; WILDLIFE; BIODIVERSITY; DIVERSITY; BENEFITS; HABITAT</t>
  </si>
  <si>
    <t>Bushmeat hunting is a pantropical threat to rainforest mammals. Understanding its effects on species richness, community composition and population abundance is of critical conservation relevance. As data on the pre-hunting state of mammal populations in Africa are not generally available, we evaluated the impacts of illegal bushmeat hunting on the mammal community of two ecologically similar forests in the Udzungwa Mountains of Tanzania. The forests differ only in their protection status: one is a National Park and the other a Forest Reserve. We deployed systematic camera trap surveys in these forests, amounting to 850 and 917 camera days in the Forest Reserve and the National Park, respectively, and investigated differences between the two areas in estimated species-specific occupancies, detectabilities and species richness. We show that the mammal community in the Forest Reserve is degraded in all aspects relative to the National Park. Species richness was almost 40% lower in the Forest Reserve (median 18 vs 29 species, highest posterior density intervals 15-30 and 23-47, respectively). Occupancy of most species was also reduced significantly and the functional community appeared significantly altered, with an increase in rodents, and loss of large carnivores and omnivores. Overall, our results show how ineffective reserve management, with almost absent law enforcement, leads to uncontrolled illegal hunting, which in turn has a significant impact on the mammal fauna of globally important sites for conservation.</t>
  </si>
  <si>
    <t>[Hegerl, Carla] Uppsala Univ, Dept Anim Ecol, Evolutionary Biol Ctr, Norbyvagen 18D, SE-75236 Uppsala, Sweden; [Burgess, Neil D.] UNEP WCMC, Cambridge, England; [Burgess, Neil D.] Univ Copenhagen, CMEC, Nat Hist Museum, Copenhagen, Denmark; [Nielsen, Martin R.] Univ Copenhagen, Dept Food &amp; Resource Econ, Frederiksberg, Denmark; [Martin, Emanuel] Sokoine Univ Agr, Dept Wildlife Management, Morogoro, Tanzania; [Ciolli, Marco] Univ Trento, Dept Civil Environm &amp; Mech Engn, Trento, Italy; [Rovero, Francesco] MUSE Museo Sci, Trop Biodivers Sect, Trento, Italy; [Martin, Emanuel; Rovero, Francesco] Udzungwa Mt Natl Pk, Udzungwa Ecol Monitoring Ctr, Kidayi, Tanzania</t>
  </si>
  <si>
    <t>Uppsala University; United Nations Environment Programme; University of Copenhagen; University of Copenhagen; Sokoine University of Agriculture; University of Trento</t>
  </si>
  <si>
    <t>Hegerl, C (corresponding author), Uppsala Univ, Dept Anim Ecol, Evolutionary Biol Ctr, Norbyvagen 18D, SE-75236 Uppsala, Sweden.</t>
  </si>
  <si>
    <t>carlahegerl@gmail.com</t>
  </si>
  <si>
    <t>Ciolli, Marco/D-8613-2014; Martin, Emanuel/ABD-1876-2020; Nielsen, Martin Reinhardt/E-1173-2015; Nielsen, Martin/E-1173-2015; Rovero, Francesco/AAI-3157-2020</t>
  </si>
  <si>
    <t>Ciolli, Marco/0000-0001-8370-9039; Nielsen, Martin Reinhardt/0000-0002-8941-6031; Martin, Emanuel/0000-0003-1801-5131; Rovero, Francesco/0000-0001-6688-1494</t>
  </si>
  <si>
    <t>Gordon and Betty Moore Foundation; German Academic Exchange Service; MUSE-Museo delle Scienze (Trento, Italy); Uppsala University; University of Trento</t>
  </si>
  <si>
    <t>Gordon and Betty Moore Foundation(Gordon &amp; Betty Moore Foundation); German Academic Exchange Service(Deutscher Akademischer Austausch Dienst (DAAD)); MUSE-Museo delle Scienze (Trento, Italy); Uppsala University; University of Trento</t>
  </si>
  <si>
    <t>We thank two anonymous reviewers for valuable comments. Permits for data collection were granted by the Tanzania Wildlife Research Institute, Tanzania Commission for Science and Technology, Forestry and Beekeeping Division and Tanzania National Parks. Data for Mwanihana were provided by the Tropical Ecology Assessment and Monitoring Network (a collaboration between Conservation International, the Missouri Botanical Garden, the Smithsonian Institution, and the Wildlife Conservation Society, partially funded by these institutions, the Gordon and Betty Moore Foundation and other donors). Funding for this project was provided by the German Academic Exchange Service, MUSE-Museo delle Scienze (Trento, Italy), and Uppsala University; University of Trento funded the camera traps for Uzungwa Scarp. We are grateful to the staff at the Udzungwa Ecological Monitoring Centre who provided critical logistical support, and to field assistants Ruben Mwakisoma, Steven Shinyambala and Aggrey Uisso, as well as Elisa Cattani, for their invaluable help.</t>
  </si>
  <si>
    <t>CAMBRIDGE UNIV PRESS</t>
  </si>
  <si>
    <t>NEW YORK</t>
  </si>
  <si>
    <t>32 AVENUE OF THE AMERICAS, NEW YORK, NY 10013-2473 USA</t>
  </si>
  <si>
    <t>0030-6053</t>
  </si>
  <si>
    <t>1365-3008</t>
  </si>
  <si>
    <t>Oryx</t>
  </si>
  <si>
    <t>10.1017/S0030605315000836</t>
  </si>
  <si>
    <t>EI1FS</t>
  </si>
  <si>
    <t>WOS:000392222700020</t>
  </si>
  <si>
    <t>Liu, X; Petitpierre, B; Broennimann, O; Li, XP; Guisan, A; Li, YM</t>
  </si>
  <si>
    <t>Liu, Xuan; Petitpierre, Blaise; Broennimann, Olivier; Li, Xianping; Guisan, Antoine; Li, Yiming</t>
  </si>
  <si>
    <t>Realized climatic niches are conserved along maximum temperatures among herpetofaunal invaders</t>
  </si>
  <si>
    <t>JOURNAL OF BIOGEOGRAPHY</t>
  </si>
  <si>
    <t>biological invasions; climate change; niche conservatism; niche limits; niche shift; realized climatic niche</t>
  </si>
  <si>
    <t>PREDICTING SPECIES DISTRIBUTIONS; NONNATIVE BIRDS; SHIFT; ECOLOGY; RANGES; DIVERSITY; INVASIONS; DYNAMICS; BIOGEOGRAPHY; PHYLOGENY</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</si>
  <si>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</si>
  <si>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[Liu, Xuan; Li, Xianping; Li, Yiming] Chinese Acad Sci, Inst Zool, Key Lab Anim Ecol &amp; Conservat Biol, 1 Beichen West Rd, Beijing 100101, Peoples R China; [Petitpierre, Blaise; Broennimann, Olivier; Guisan, Antoine] Univ Lausanne, Dept Ecol &amp; Evolut, Biophore Bldg, CH-1015 Lausanne, Switzerland; [Li, Xianping] Univ Chinese Acad Sci, 19 Yuquan Rd, Beijing 100039, Peoples R China; [Guisan, Antoine] Univ Lausanne, Inst Earth Surface Dynam, Geopolis Bldg, CH-1015 Lausanne, Switzerland</t>
  </si>
  <si>
    <t>Chinese Academy of Sciences; Institute of Zoology, CAS; University of Lausanne; Chinese Academy of Sciences; University of Chinese Academy of Sciences, CAS; University of Lausanne</t>
  </si>
  <si>
    <t>Li, YM (corresponding author), Chinese Acad Sci, Inst Zool, Key Lab Anim Ecol &amp; Conservat Biol, 1 Beichen West Rd, Beijing 100101, Peoples R China.</t>
  </si>
  <si>
    <t>liym@ioz.ac.cn</t>
  </si>
  <si>
    <t>Guisan, Antoine/A-1057-2011; Liu, Xuan/AAF-3703-2020; Broennimann, Olivier/D-3495-2011; Petitpierre, Blaise/JMC-4420-2023</t>
  </si>
  <si>
    <t>Guisan, Antoine/0000-0002-3998-4815; Broennimann, Olivier/0000-0001-9913-3695; Petitpierre, Blaise/0000-0002-3087-3422; Brönnimann, Olivier/0000-0001-5394-4564; Li, Xianping/0000-0003-4892-5953</t>
  </si>
  <si>
    <t>National Science Foundation of China [31572284, 31530088]; Ministry of Science and Technology of China [2013FY110300]; Youth Innovation Promotion Association of Chinese Academy of Sciences [2015066]</t>
  </si>
  <si>
    <t>National Science Foundation of China(National Natural Science Foundation of China (NSFC)); Ministry of Science and Technology of China(Ministry of Science and Technology, China); Youth Innovation Promotion Association of Chinese Academy of Sciences</t>
  </si>
  <si>
    <t>We thank Zetian Liu and Shaofei Yan for assisting with the collection of data and F. Kraus for helpful suggestions on data collection. We greatly appreciate the constructive comments that Nicholas Gotelli, Francois Guilhaumon, Regan Early, Peter Linder and other anonymous referees provided for our manuscript. This research was supported by grants from the National Science Foundation of China (31572284 and 31530088), the Ministry of Science and Technology of China (2013FY110300) and the Youth Innovation Promotion Association of Chinese Academy of Sciences (2015066).</t>
  </si>
  <si>
    <t>0305-0270</t>
  </si>
  <si>
    <t>1365-2699</t>
  </si>
  <si>
    <t>J BIOGEOGR</t>
  </si>
  <si>
    <t>J. Biogeogr.</t>
  </si>
  <si>
    <t>10.1111/jbi.12808</t>
  </si>
  <si>
    <t>EH7MK</t>
  </si>
  <si>
    <t>WOS:000391956900011</t>
  </si>
  <si>
    <t>Potapov, P; Hansen, MC; Laestadius, L; Turubanova, S; Yaroshenko, A; Thies, C; Smith, W; Zhuravleva, I; Komarova, A; Minnemeyer, S; Esipova, E</t>
  </si>
  <si>
    <t>Potapov, Peter; Hansen, Matthew C.; Laestadius, Lars; Turubanova, Svetlana; Yaroshenko, Alexey; Thies, Christoph; Smith, Wynet; Zhuravleva, Ilona; Komarova, Anna; Minnemeyer, Susan; Esipova, Elena</t>
  </si>
  <si>
    <t>The last frontiers of wilderness: Tracking loss of intact forest landscapes from 2000 to 2013</t>
  </si>
  <si>
    <t>SPATIAL-PATTERNS; FIRE; DEFORESTATION; CONSEQUENCES; ALASKA</t>
  </si>
  <si>
    <t>An intact forest landscape (IFL) is a seamless mosaic of forest and naturally treeless ecosystems with no remotely detected signs of human activity and a minimum area of 500 km(2). IFLs are critical for stabilizing terrestrial carbon storage, harboring biodiversity, regulating hydrological regimes, and providing other ecosystem functions. Although the remaining IFLs comprise only 20% of tropical forest area, they account for 40% of the total aboveground tropical forest carbon. We show that global IFL extent has been reduced by 7.2% since the year 2000. An increasing rate of global IFL area reduction was found, largely driven by the tripling of IFL tropical forest loss in 2011-2013 compared to that in 2001-2003. Industrial logging, agricultural expansion, fire, and mining/resource extraction were the primary causes of IFL area reduction. Protected areas (International Union for Conservation of Nature categories I to III) were found to have a positive effect in slowing the reduction of IFL area from timber harvesting but were less effective in limiting agricultural expansion. The certification of logging concessions under responsible management had a negligible impact on slowing IFL fragmentation in the Congo Basin. Fragmentation of IFLs by logging and establishment of roads and other infrastructure initiates a cascade of changes that lead to landscape transformation and loss of conservation values. Given that only 12% of the global IFL area is protected, our results illustrate the need for planning and investment in carbon sequestration and biodiversity conservation efforts that target the most valuable remaining forests, as identified using the IFL approach.</t>
  </si>
  <si>
    <t>[Potapov, Peter; Hansen, Matthew C.; Turubanova, Svetlana] Univ Maryland, College Pk, MD 20740 USA; [Laestadius, Lars] Laestadius Consulting LLC, Silver Spring, MD 20901 USA; [Yaroshenko, Alexey; Zhuravleva, Ilona; Komarova, Anna] Greenpeace Russia, Moscow, Russia; [Thies, Christoph] Greenpeace Germany, Hamburg, Germany; [Smith, Wynet] Global Forest Watch Canada, Ottawa, ON, Canada; [Minnemeyer, Susan] World Resources Inst, Washington, DC 20002 USA; [Esipova, Elena] NGO Transparent World, Moscow, Russia</t>
  </si>
  <si>
    <t>University System of Maryland; University of Maryland College Park; Greenpeace; Greenpeace</t>
  </si>
  <si>
    <t>Potapov, P (corresponding author), Univ Maryland, College Pk, MD 20740 USA.</t>
  </si>
  <si>
    <t>potapov@umd.edu</t>
  </si>
  <si>
    <t>Potapov, Peter/AAE-7388-2019; Hansen, Matthew/ABE-7226-2020</t>
  </si>
  <si>
    <t>Komarova, Anna/0000-0003-2746-2291; Zhuravleva, Ilona/0000-0001-7897-281X; Potapov, Peter/0000-0003-3977-0021; , Elena Esipova/0009-0005-0561-0216</t>
  </si>
  <si>
    <t>Greenpeace Russia; Global Forest Watch, an initiative of the World Resources Institute</t>
  </si>
  <si>
    <t>The IFL 2000-2013 global update was funded by Greenpeace Russia and Global Forest Watch, an initiative of the World Resources Institute.</t>
  </si>
  <si>
    <t>e1600821</t>
  </si>
  <si>
    <t>10.1126/sciadv.1600821</t>
  </si>
  <si>
    <t>EK2XI</t>
  </si>
  <si>
    <t>WOS:000393789900007</t>
  </si>
  <si>
    <t>Heron, SF; Maynard, JA; van Hooidonk, R; Eakin, CM</t>
  </si>
  <si>
    <t>Heron, Scott F.; Maynard, Jeffrey A.; van Hooidonk, Ruben; Eakin, C. Mark</t>
  </si>
  <si>
    <t>Warming Trends and Bleaching Stress of the World's Coral Reefs 1985-2012</t>
  </si>
  <si>
    <t>SCIENTIFIC REPORTS</t>
  </si>
  <si>
    <t>SEA-SURFACE TEMPERATURE; CLIMATE-CHANGE; FUTURE; SUSCEPTIBILITY; VARIABILITY; RESISTANCE; IMPACTS; REFUGIA</t>
  </si>
  <si>
    <t>Coral reefs across the world's oceans are in the midst of the longest bleaching event on record (from 2014 to at least 2016). As many of the world's reefs are remote, there is limited information on how past thermal conditions have influenced reef composition and current stress responses. Using satellite temperature data for 1985-2012, the analysis we present is the first to quantify, for global reef locations, spatial variations in warming trends, thermal stress events and temperature variability at reef-scale (-4 km). Among over 60,000 reef pixels globally, 97% show positive SST trends during the study period with 60% warming significantly. Annual trends exceeded summertime trends at most locations. This indicates that the period of summer-like temperatures has become longer through the record, with a corresponding shortening of the 'winter' reprieve from warm temperatures. The frequency of bleaching-level thermal stress increased three-fold between 1985-91 and 2006-12 -a trend climate model projections suggest will continue. The thermal history data products developed enable needed studies relating thermal history to bleaching resistance and community composition. Such analyses can help identify reefs more resilient to thermal stress.</t>
  </si>
  <si>
    <t>[Heron, Scott F.; Eakin, C. Mark] NOAA Coral Reef Watch, NESDIS Ctr Satellite Applicat &amp; Res, 5830 Univ Res Ct,E-RA3, College Pk, MD 20740 USA; [Heron, Scott F.] Global Sci &amp; Technol Inc, Greenbelt, MD 20770 USA; [Heron, Scott F.] James Cook Univ, Marine Geophys Lab, Dept Phys, Coll Sci Technol &amp; Engn, Townsville, Qld 4811, Australia; [Maynard, Jeffrey A.] SymbioSeas &amp; Marine Appl Res Ctr, Wilmington, NC 28411 USA; [Maynard, Jeffrey A.] CNRS EPHE UPVD, CRIOBE, USR 3278, Lab Excellence CORAIL, 58 Ave Paul Alduy, F-66860 Perpignan, France; [van Hooidonk, Ruben] NOAA Atlantic Oceanog &amp; Meteorol Lab, Ocean Chem &amp; Ecosyst Div, 4301 Rickenbacker Causeway, Miami, FL 33149 USA; [van Hooidonk, Ruben] Univ Miami, Rosenstiel Sch Marine &amp; Atmospher Sci, Cooperat Inst Marine &amp; Atmospher Studies, 4600 Rickenbacker Cswy, Miami, FL 33149 USA</t>
  </si>
  <si>
    <t>National Oceanic Atmospheric Admin (NOAA) - USA; National Aeronautics &amp; Space Administration (NASA); James Cook University; Centre National de la Recherche Scientifique (CNRS); CNRS - Institute of Ecology &amp; Environment (INEE); National Oceanic Atmospheric Admin (NOAA) - USA; Atlantic Oceanographic &amp; Meteorological Laboratory (AOML); University of Miami</t>
  </si>
  <si>
    <t>Heron, SF (corresponding author), NOAA Coral Reef Watch, NESDIS Ctr Satellite Applicat &amp; Res, 5830 Univ Res Ct,E-RA3, College Pk, MD 20740 USA.;Heron, SF (corresponding author), Global Sci &amp; Technol Inc, Greenbelt, MD 20770 USA.;Heron, SF (corresponding author), James Cook Univ, Marine Geophys Lab, Dept Phys, Coll Sci Technol &amp; Engn, Townsville, Qld 4811, Australia.</t>
  </si>
  <si>
    <t>scott.heron@noaa.gov</t>
  </si>
  <si>
    <t>; Eakin, C Mark/F-5585-2010; van Hooidonk, Ruben/F-7395-2010; Eakin, C./F-5585-2010; Heron, Scott/E-7928-2011</t>
  </si>
  <si>
    <t>Heron, Scott/0000-0001-5262-6978; Eakin, C Mark/0000-0002-5987-0858;</t>
  </si>
  <si>
    <t>National Oceanic and Atmospheric Administration (NOAA) Coral Reef Conservation Program (CRCP) via the U.S. National Fish and Wildlife Foundation; NOAA CRCP; National Environmental Satellite, Data, and Information Service (NESDIS); Total Foundation (Fondation Total)</t>
  </si>
  <si>
    <t>National Oceanic and Atmospheric Administration (NOAA) Coral Reef Conservation Program (CRCP) via the U.S. National Fish and Wildlife Foundation(National Oceanic Atmospheric Admin (NOAA) - USA); NOAA CRCP(National Oceanic Atmospheric Admin (NOAA) - USA); National Environmental Satellite, Data, and Information Service (NESDIS); Total Foundation (Fondation Total)</t>
  </si>
  <si>
    <t>This study was primarily funded by a grant from the National Oceanic and Atmospheric Administration (NOAA) Coral Reef Conservation Program (CRCP) via the U.S. National Fish and Wildlife Foundation awarded to SFH and JAM. G Liu, J De La Cour and E Geiger co-developed the NOAA Coral Reef Watch (CRW) webpages that contain static and interactive maps of the thermal history metrics presented here. The NOAA CRCP and National Environmental Satellite, Data, and Information Service (NESDIS) support the NOAA CRW team. Figures were collaboratively developed with D Tracey. The Total Foundation (Fondation Total) is providing financial support to ongoing analyses using thermal history data layers to identify reefs potentially more resilient to climate change. The contents in this manuscript are solely the opinions of the authors and do not constitute a statement of policy, decision or position on behalf of NOAA or the U.S. Government.</t>
  </si>
  <si>
    <t>2045-2322</t>
  </si>
  <si>
    <t>SCI REP-UK</t>
  </si>
  <si>
    <t>Sci Rep</t>
  </si>
  <si>
    <t>DEC 6</t>
  </si>
  <si>
    <t>10.1038/srep38402</t>
  </si>
  <si>
    <t>EE0BV</t>
  </si>
  <si>
    <t>WOS:000389239400001</t>
  </si>
  <si>
    <t>Davies, JAC; Tipping, E; Whitmore, AP</t>
  </si>
  <si>
    <t>Davies, J. A. C.; Tipping, E.; Whitmore, A. P.</t>
  </si>
  <si>
    <t>150 years of macronutrient change in unfertilized UK ecosystems: Observations vs simulations</t>
  </si>
  <si>
    <t>Plant-soil processes; Biogeochemical cycles; Modelling; Land-use change; Atmospheric nitrogen deposition</t>
  </si>
  <si>
    <t>LONG-TERM EXPERIMENTS; SOIL ORGANIC-CARBON; PARK GRASS; NITROGEN; DEPOSITION; PHOSPHORUS; MATTER; RADIOCARBON; TURNOVER; TRENDS</t>
  </si>
  <si>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</si>
  <si>
    <t>[Davies, J. A. C.] Univ Lancaster, Lancaster Environm Ctr, Lancaster LA1 4YQ, England; [Tipping, E.] Ctr Ecol &amp; Hydrol, Lib Ave, Lancaster LA1 4AP, England; [Whitmore, A. P.] Rothamsted Res, Harpenden AL5 2JQ, Herts, England</t>
  </si>
  <si>
    <t>Lancaster University; UK Centre for Ecology &amp; Hydrology (UKCEH); UK Research &amp; Innovation (UKRI); Biotechnology and Biological Sciences Research Council (BBSRC); Rothamsted Research</t>
  </si>
  <si>
    <t>Davies, JAC (corresponding author), Univ Lancaster, Lancaster Environm Ctr, Lancaster LA1 4YQ, England.</t>
  </si>
  <si>
    <t>j.davies4@lancaster.ac.uk</t>
  </si>
  <si>
    <t>; Whitmore, Andrew/B-5102-2008</t>
  </si>
  <si>
    <t>Whitmore, Anew/0000-0001-8984-1436; Davies, Jessica/0000-0001-9832-7412;</t>
  </si>
  <si>
    <t>UK Natural Environment Research Council Macronutrient Cycles Programme (LTLS project) [NE/J011533/1, NE/J011703/1, NE/J0011568/1]; Scottish Government; UK Biotechnology and Biological Sciences Research Council [BBS/E/C/00005189]; Lawes Agricultural Trust; NERC [ceh020008, NE/J011533/1, NE/J011568/1] Funding Source: UKRI; Biotechnology and Biological Sciences Research Council [BBS/E/C/00005189] Funding Source: researchfish; Natural Environment Research Council [NE/J011533/1, NE/J011703/1, ceh020008] Funding Source: researchfish</t>
  </si>
  <si>
    <t>UK Natural Environment Research Council Macronutrient Cycles Programme (LTLS project); Scottish Government; UK Biotechnology and Biological Sciences Research Council(UK Research &amp; Innovation (UKRI)Biotechnology and Biological Sciences Research Council (BBSRC)); Lawes Agricultural Trust; NERC(UK Research &amp; Innovation (UKRI)Natural Environment Research Council (NERC)); Biotechnology and Biological Sciences Research Council(UK Research &amp; Innovation (UKRI)Biotechnology and Biological Sciences Research Council (BBSRC)); Natural Environment Research Council(UK Research &amp; Innovation (UKRI)Natural Environment Research Council (NERC))</t>
  </si>
  <si>
    <t>This research was funded by the UK Natural Environment Research Council Macronutrient Cycles Programme (LTLS project, Grant nos. NE/J011533/1, NE/J011703/1 and NE/J0011568/1), and the Scottish Government. We thank T. Dore and M. Vieno (Centre of Ecology and Hydrology) for provision of deposition data, and the Lawes Agricultural Trust and Rothamsted Research for data from the e-RA database. The Rothamsted Long-term Experiments National Capability (LTE-NCG) is supported by the UK Biotechnology and Biological Sciences Research Council (BBS/E/C/00005189) and the Lawes Agricultural Trust. We also thank Andy Macdonald, Margaret Glendining and Paul Poulton for their helpful advice and comments. The Rothamsted experimental data is available from the Electronic Rothamsted Archive (e-RA) www.era.rothamsted.ac.uk and model data can be requested from the author (Jessica Davies, j.davies4@lancaster.ac.uk).</t>
  </si>
  <si>
    <t>10.1016/j.scitotenv.2016.03.055</t>
  </si>
  <si>
    <t>EC0RA</t>
  </si>
  <si>
    <t>WOS:000387807200143</t>
  </si>
  <si>
    <t>Ghosh, MK; Kumar, L; Roy, C</t>
  </si>
  <si>
    <t>Ghosh, Manoj Kumer; Kumar, Lalit; Roy, Chandan</t>
  </si>
  <si>
    <t>Mapping Long-Term Changes in Mangrove Species Composition and Distribution in the Sundarbans</t>
  </si>
  <si>
    <t>FORESTS</t>
  </si>
  <si>
    <t>mangroves; Sundarbans; remote sensing; image classification; change detection; Landsat</t>
  </si>
  <si>
    <t>FOREST DISTRIBUTIONS; BANGLADESH; DYNAMICS; ACCURACY; IMAGES; CONSERVATION; STRATEGIES; VEGETATION; COASTLINE; WORLD</t>
  </si>
  <si>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</si>
  <si>
    <t>[Ghosh, Manoj Kumer; Kumar, Lalit] Univ New England, Sch Environm &amp; Rural Sci, Ecosyst Management, Armidale, NSW 2351, Australia; [Roy, Chandan] Rajshahi Univ, Geog &amp; Environm Studies, Rajshahi 6205, Bangladesh</t>
  </si>
  <si>
    <t>University of New England; University of Rajshahi</t>
  </si>
  <si>
    <t>Ghosh, MK (corresponding author), Univ New England, Sch Environm &amp; Rural Sci, Ecosyst Management, Armidale, NSW 2351, Australia.</t>
  </si>
  <si>
    <t>mghosh@myune.edu.au; lkumar@une.edu.au; chandanroy@gmail.com</t>
  </si>
  <si>
    <t>Ghosh, Manoj/G-7535-2012; Roy, Chandan/F-4534-2010; Kumar, Lalit/A-6397-2011</t>
  </si>
  <si>
    <t>Ghosh, Manoj Kumer/0000-0002-5279-272X; Roy, Chandan/0000-0002-3997-1088; Kumar, Lalit/0000-0002-9205-756X;</t>
  </si>
  <si>
    <t>1999-4907</t>
  </si>
  <si>
    <t>Forests</t>
  </si>
  <si>
    <t>10.3390/f7120305</t>
  </si>
  <si>
    <t>EJ6KI</t>
  </si>
  <si>
    <t>WOS:000393327700005</t>
  </si>
  <si>
    <t>van der Sluis, T; Pedroli, B; Kristensen, SBP; Cosor, GL; Pavlis, E</t>
  </si>
  <si>
    <t>van der Sluis, Theo; Pedroli, Bas; Kristensen, Soren B. P.; Cosor, Georgia Lavinia; Pavlis, Evangelos</t>
  </si>
  <si>
    <t>Changing land use intensity in Europe - Recent processes in selected case studies</t>
  </si>
  <si>
    <t>Land use intensity; Intensification; Extensification; Landscape structure; Land abandonment</t>
  </si>
  <si>
    <t>LANDSCAPE CHANGES; FARM CHARACTERISTICS; CROSS-COMPLIANCE; SLOPING LAND; INTENSIFICATION; BIODIVERSITY; CONSEQUENCES; PRODUCTIVISM; CONSERVATION; PERSPECTIVES</t>
  </si>
  <si>
    <t>In recent decades the intensification of agricultural production in many European countries has been one of the key components of land-use change. The impact of agricultural intensification varies according to national and local contexts and a greater understanding of the drivers of intensification will help to mitigate against its negative impacts and harness potential benefits. This paper analyses changes in land use intensity in six case studies in Europe. A total of 437 landowners were interviewed and their responses were analysed in relation to changes in land use intensity and agricultural production between 2001 and 2011. In the case studies in Western and Eastern Europe we observed stabilisation during the last decade, and no clear tendency of increase or decrease of land use intensity. The use of fertilizers and pesticides seems to have decreased in our cases in Western Europe, which is contrary to trends in Eastern Europe. Agricultural production remained stable in almost all cases, except for an increase in Austria and Romania which may indicate that the farming efficiency has increased. A statistical analysis showed a division between study areas in Romania and Austria (increasing land use intensity) versus those in the Netherlands, Denmark and Greece (decreasing). In the Mediterranean cases we observe a process where agriculture is becoming increasingly marginalised, at the same time as changes in function with regard to urbanisation and recreational land uses have taken place. Logistic regression highlighted the importance of farm size and farmer type in understanding changes in land use intensity. The dominant pattern of stabilisation which has occurred over the past 10 years may also partly be a result of effective EU and national environmental and agricultural policies, which are increasingly concerned with improving environmental conditions in rural areas. (C) 2015 Elsevier Ltd. All rights reserved.</t>
  </si>
  <si>
    <t>[van der Sluis, Theo; Pedroli, Bas] Univ Wageningen &amp; Res Ctr, Environm Sci Grp, Alterra, POB 47, NL-6700 MA Wageningen, Netherlands; [Kristensen, Soren B. P.] Univ Copenhagen, Dept Geosci &amp; Nat Resource Management, Oster Voldgade 10, DK-1350 Copenhagen K, Denmark; [Cosor, Georgia Lavinia] Univ Bucharest, Dept Syst Ecol &amp; Sustainabil, Res Ctr Syst Ecol Ecodivers &amp; Sustainabil, 91-95 Splaiul Independentei, Bucharest 050095, Romania; [Pavlis, Evangelos] Univ Aegean, Dept Geog, Univ Hill, Mitiline 81100, Lesvos, Greece</t>
  </si>
  <si>
    <t>Wageningen University &amp; Research; University of Copenhagen; University of Bucharest; University of Aegean</t>
  </si>
  <si>
    <t>van der Sluis, T (corresponding author), Univ Wageningen &amp; Res Ctr, Environm Sci Grp, Alterra, POB 47, NL-6700 MA Wageningen, Netherlands.</t>
  </si>
  <si>
    <t>; Peoli, Bas/E-1352-2016; Pavlis, Evangelos/ABA-8809-2021; Kristensen, Soren/C-9440-2015; Cosor, Georgia Lavinia/ABB-4012-2021; van der Sluis, Theo/H-6666-2019; Georgia, Cosor/ABB-4012-2021; PAVLIS, EVANGELOS/ABA-8809-2021; Pedroli, Bas/E-1352-2016</t>
  </si>
  <si>
    <t>Van der Sluis, Theo/0000-0001-7300-5417; Peoli, Bas/0000-0003-3450-447X; Kristensen, Soren/0000-0002-4335-7662; Cosor, Georgia Lavinia/0000-0003-2580-9060; PAVLIS, EVANGELOS/0000-0001-8210-541X;</t>
  </si>
  <si>
    <t>European Union via the VOLANTE project [265104]</t>
  </si>
  <si>
    <t>European Union via the VOLANTE project</t>
  </si>
  <si>
    <t>This research received funding from the European Union Seventh Framework Programme (FP7/2007-2013) via the VOLANTE project under grant agreement no 265104. The advice concerning the statistical analysis from Paul Goedhart, Statistician at Biometris, Wageningen University and Research Centre, is gratefully acknowledged. Lawrence Jones-Walters edited the English text. The comments from two anonymous reviewers were most helpful in improving the text.</t>
  </si>
  <si>
    <t>NOV 30</t>
  </si>
  <si>
    <t>10.1016/j.landusepol.2014.12.005</t>
  </si>
  <si>
    <t>DU6RB</t>
  </si>
  <si>
    <t>WOS:000382341200071</t>
  </si>
  <si>
    <t>Ambarli, D; Zeydanli, US; Balkiz, Ö; Aslan, S; Karaçetin, E; Sözen, M; Ilgaz, Ç; Ergen, AG; Lise, Y; Çaglayan, SD; Welch, HJ; Welch, G; Turak, AS; Bilgin, CC; Özkil, A; Vural, M</t>
  </si>
  <si>
    <t>Ambarli, Didem; Zeydanli, Ugur S.; Balkiz, Ozge; Aslan, Serdar; Karacetin, Evrim; Sozen, Mustafa; Ilgaz, Cetin; Ergen, Arzu Gursoy; Lise, Yildiray; Caglayan, Semiha Demirbas; Welch, Hilary J.; Welch, Geoff; Turak, Ayse S.; Bilgin, C. Can; Ozkil, Aydan; Vural, Mecit</t>
  </si>
  <si>
    <t>An overview of biodiversity and conservation status of steppes of the Anatolian Biogeographical Region</t>
  </si>
  <si>
    <t>BIODIVERSITY AND CONSERVATION</t>
  </si>
  <si>
    <t>Dry grassland; Land use; Protected area; Threat; Turkey; Vascular plants</t>
  </si>
  <si>
    <t>SOUTHWEST ASIA; LAND-USE; TURKEY; DOMESTICATION; AGRICULTURE; CHALLENGES; VEGETATION; DIVERSITY; ORIGINS; AREAS</t>
  </si>
  <si>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</si>
  <si>
    <t>[Ambarli, Didem] Duzce Univ, Fac Agr &amp; Nat Sci, TR-81620 Konuralp, Duzce, Turkey; [Ambarli, Didem] Univ Cambridge, Dept Zool, Conservat Sci Grp, Cambridge CB2 3EJ, England; [Ambarli, Didem; Zeydanli, Ugur S.; Balkiz, Ozge; Lise, Yildiray; Caglayan, Semiha Demirbas; Welch, Hilary J.; Turak, Ayse S.; Ozkil, Aydan] Nat Conservat Ctr, Asagi Ovecler Mah 1065 Cad 1293 Sok 9-32, TR-06460 Ankara, Turkey; [Zeydanli, Ugur S.] Yale Univ, Forestry &amp; Environm Studies, 195 Prospect St, New Haven, CT 06511 USA; [Aslan, Serdar] Duzce Univ, Fac Forestry, TR-81620 Konuralp, Duzce, Turkey; [Karacetin, Evrim] Erciyes Univ, Fac Engn, Dept Environm Engn, TR-38039 Kayseri, Turkey; [Sozen, Mustafa] Bulent Ecevit Univ, Dept Biol, TR-67100 Incivez, Zonguldak, Turkey; [Ilgaz, Cetin] Dokuz Eylul Univ, Dept Biol, Fac Sci, TR-35160 Izmir, Turkey; [Ergen, Arzu Gursoy] Ondokuz MayA s Univ, Fac Sci &amp; Arts, Dept Biol, Samsun, Turkey; [Welch, Geoff] Royal Soc Protect Birds, Sandy SG19 2DL, Beds, England; [Bilgin, C. Can] Middle East Tech Univ, Fac Arts &amp; Sci, Dept Biol, Dumlupinar Bulvari 1, TR-06800 Ankara, Turkey; [Vural, Mecit] Gazi Univ, Fac Sci &amp; Arts, Dept Bot, TR-06500 Ankara, Turkey</t>
  </si>
  <si>
    <t>Duzce University; University of Cambridge; Ministry of National Education - Turkey; Yale University; Duzce University; Erciyes University; Zonguldak Bulent Ecevit University; Dokuz Eylul University; Royal Society for Protection of Birds; Middle East Technical University; Gazi University</t>
  </si>
  <si>
    <t>Ambarli, D (corresponding author), Duzce Univ, Fac Agr &amp; Nat Sci, TR-81620 Konuralp, Duzce, Turkey.;Ambarli, D (corresponding author), Univ Cambridge, Dept Zool, Conservat Sci Grp, Cambridge CB2 3EJ, England.;Ambarli, D (corresponding author), Nat Conservat Ctr, Asagi Ovecler Mah 1065 Cad 1293 Sok 9-32, TR-06460 Ankara, Turkey.</t>
  </si>
  <si>
    <t>didem.ambarli@gmail.com</t>
  </si>
  <si>
    <t>Gursoy Ergen, Arzu/F-5981-2016; Bilgin, C Can/H-2159-2011; Gürsoy Ergen, Arzu/F-5981-2016; Karacetin, Evrim/AAS-7725-2021; Aslan, Serdar/AAB-7966-2020; Ambarlı, Didem/AAE-8648-2022; Ilgaz, Çetin/P-6603-2019; SOZEN, MUSTAFA/A-6372-2018</t>
  </si>
  <si>
    <t>Gürsoy Ergen, Arzu/0000-0001-7776-6571; Ambarlı, Didem/0000-0001-5589-9373; Bilgin, C Can/0000-0001-9284-307X; Karacetin, Evrim/0000-0002-7311-1989;</t>
  </si>
  <si>
    <t>SPRINGER</t>
  </si>
  <si>
    <t>DORDRECHT</t>
  </si>
  <si>
    <t>VAN GODEWIJCKSTRAAT 30, 3311 GZ DORDRECHT, NETHERLANDS</t>
  </si>
  <si>
    <t>0960-3115</t>
  </si>
  <si>
    <t>1572-9710</t>
  </si>
  <si>
    <t>BIODIVERS CONSERV</t>
  </si>
  <si>
    <t>Biodivers. Conserv.</t>
  </si>
  <si>
    <t>SI</t>
  </si>
  <si>
    <t>10.1007/s10531-016-1172-0</t>
  </si>
  <si>
    <t>EA3KI</t>
  </si>
  <si>
    <t>WOS:000386500700016</t>
  </si>
  <si>
    <t>Friedrich, T; Timmermann, A; Tigchelaar, M; Timm, OE; Ganopolski, A</t>
  </si>
  <si>
    <t>Friedrich, Tobias; Timmermann, Axel; Tigchelaar, Michelle; Timm, Oliver Elison; Ganopolski, Andrey</t>
  </si>
  <si>
    <t>Nonlinear climate sensitivity and its implications for future greenhouse warming</t>
  </si>
  <si>
    <t>SEA-SURFACE TEMPERATURES; CENTRAL EQUATORIAL PACIFIC; EARTH SYSTEM MODEL; SOUTH CHINA SEA; WESTERN PACIFIC; CARBON-DIOXIDE; CALIFORNIA CURRENT; STATE DEPENDENCY; NORTH-ATLANTIC; MG/CA RATIOS</t>
  </si>
  <si>
    <t>Global mean surface temperatures are rising in response to anthropogenic greenhouse gas emissions. The magnitude of this warming at equilibrium for a given radiative forcing-referred to as specific equilibrium climate sensitivity (S)-is still subject to uncertainties. We estimate global mean temperature variations and S using a 784,000-year-long field reconstruction of sea surface temperatures and a transient paleoclimate model simulation. Our results reveal that S is strongly dependent on the climate background state, with significantly larger values attained during warm phases. Using the Representative Concentration Pathway 8.5 for future greenhouse radiative forcing, we find that the range of paleo-based estimates of Earth's future warming by 2100 CE overlaps with the upper range of climate simulations conducted as part of the Coupled Model Inter-comparison Project Phase 5 (CMIP5). Furthermore, we find that within the 21st century, global mean temperatures will very likely exceed maximum levels reconstructed for the last 784,000 years. On the basis of temperature data from eight glacial cycles, our results provide an independent validation of the magnitude of current CMIP5 warming projections.</t>
  </si>
  <si>
    <t>[Friedrich, Tobias; Timmermann, Axel] Univ Hawaii Manoa, Int Pacific Res Ctr, Honolulu, HI 96822 USA; [Tigchelaar, Michelle] Univ Washington, Dept Atmospher Sci, Seattle, WA 98195 USA; [Timm, Oliver Elison] SUNY Albany, Dept Atmospher &amp; Environm Sci, Albany, NY 12222 USA; [Ganopolski, Andrey] Potsdam Inst Climate Impact Res, Potsdam, Germany</t>
  </si>
  <si>
    <t>University of Hawaii System; University of Hawaii Manoa; University of Washington; University of Washington Seattle; State University of New York (SUNY) System; University at Albany, SUNY; Potsdam Institut fur Klimafolgenforschung</t>
  </si>
  <si>
    <t>Friedrich, T (corresponding author), Univ Hawaii Manoa, Int Pacific Res Ctr, Honolulu, HI 96822 USA.</t>
  </si>
  <si>
    <t>tobiasf@hawaii.edu</t>
  </si>
  <si>
    <t>Timmermann, Axel/F-4977-2011; Friedrich, Tobias/D-1053-2013; Timm, Oliver/L-2543-2018</t>
  </si>
  <si>
    <t>Timmermann, Axel/0000-0003-0657-2969; Tigchelaar, Michelle/0000-0001-7964-229X</t>
  </si>
  <si>
    <t>NSF [1341311, 1400914]; Directorate For Geosciences; Office of Polar Programs (OPP) [1341311] Funding Source: National Science Foundation; Division Of Ocean Sciences; Directorate For Geosciences [1400914] Funding Source: National Science Foundation</t>
  </si>
  <si>
    <t>NSF(National Science Foundation (NSF)); Directorate For Geosciences; Office of Polar Programs (OPP)(National Science Foundation (NSF)NSF - Directorate for Geosciences (GEO)); Division Of Ocean Sciences; Directorate For Geosciences(National Science Foundation (NSF)NSF - Directorate for Geosciences (GEO))</t>
  </si>
  <si>
    <t>This study was supported by NSF grants 1341311 and 1400914.</t>
  </si>
  <si>
    <t>e1501923</t>
  </si>
  <si>
    <t>10.1126/sciadv.1501923</t>
  </si>
  <si>
    <t>EG7WS</t>
  </si>
  <si>
    <t>WOS:000391267800002</t>
  </si>
  <si>
    <t>Lai, RWS; Perkins, MJ; Ho, KKY; Astudillo, JC; Yung, MMN; Russell, BD; Williams, GA; Leung, KMY</t>
  </si>
  <si>
    <t>Lai, Racliffe W. S.; Perkins, Matthew J.; Ho, Kevin K. Y.; Astudillo, Juan C.; Yung, Mana M. N.; Russell, Bayden D.; Williams, Gray A.; Leung, Kenneth M. Y.</t>
  </si>
  <si>
    <t>Hong Kong's marine environments: History, challenges and opportunities</t>
  </si>
  <si>
    <t>REGIONAL STUDIES IN MARINE SCIENCE</t>
  </si>
  <si>
    <t>Reclamation; Sewage treatment; Fishery management; Bioinvasion; Ecological threats</t>
  </si>
  <si>
    <t>PEARL RIVER ESTUARY; ENDOCRINE DISRUPTING CHEMICALS; CLIMATE-CHANGE; PROTECTED AREAS; RISK-ASSESSMENT; SOUTH CHINA; OCEAN ACIDIFICATION; COASTAL WATERS; ORGANOCHLORINE PESTICIDES; ORGANOTIN COMPOUNDS</t>
  </si>
  <si>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</si>
  <si>
    <t>Univ Hong Kong, Swire Inst Marine Sci, Pokfulam, Hong Kong, Peoples R China; [Leung, Kenneth M. Y.] Univ Hong Kong, Sch Biol Sci, Pokfulam, Hong Kong, Peoples R China</t>
  </si>
  <si>
    <t>University of Hong Kong; University of Hong Kong</t>
  </si>
  <si>
    <t>Leung, KMY (corresponding author), Univ Hong Kong, Sch Biol Sci, Pokfulam, Hong Kong, Peoples R China.</t>
  </si>
  <si>
    <t>kmyleung@hku.hk</t>
  </si>
  <si>
    <t>; Williams, Gray/D-3139-2009; Leung, Kenneth/C-1055-2009; Lai, Weng Seng/HMO-8224-2023; Leung, Kenneth Mei Yee/C-1055-2009; Yung, Mana/I-4079-2019; Russell, Bayden/A-9942-2008</t>
  </si>
  <si>
    <t>Astudillo Placencia, Juan Carlos/0000-0002-3350-8279; Yung, Mana MN/0000-0001-9627-859X; Racliffe Weng Seng, Lai/0000-0002-9181-3458; Russell, Bayden/0000-0003-1282-9978; Leung, Kenneth Mei Yee/0000-0002-2164-4281;</t>
  </si>
  <si>
    <t>University Grants Council [HKU5/CRF/12G HKU]; Environment and Conservation Fund [ECF/2014-64]; University of Hong Kong</t>
  </si>
  <si>
    <t>University Grants Council; Environment and Conservation Fund; University of Hong Kong(University of Hong Kong)</t>
  </si>
  <si>
    <t>This work is supported by the University Grants Council via the Collaborative Research Grant (Project no.: HKU5/CRF/12G HKU) to KMYL, and the Environment and Conservation Fund (Project no.: ECF/2014-64) to GAW. RWSL thanks the University of Hong Kong for partially supporting his Ph.D. study via a Type-B studentship.</t>
  </si>
  <si>
    <t>2352-4855</t>
  </si>
  <si>
    <t>REG STUD MAR SCI</t>
  </si>
  <si>
    <t>Reg. Stud. Mar. Sci.</t>
  </si>
  <si>
    <t>10.1016/j.rsma.2016.09.001</t>
  </si>
  <si>
    <t>FM1VW</t>
  </si>
  <si>
    <t>Green Accepted</t>
  </si>
  <si>
    <t>WOS:000414771500005</t>
  </si>
  <si>
    <t>Shannon, G; McKenna, MF; Angeloni, LM; Crooks, KR; Fristrup, KM; Brown, E; Warner, KA; Nelson, MD; White, C; Briggs, J; McFarland, S; Wittemyer, G</t>
  </si>
  <si>
    <t>Shannon, Graeme; McKenna, Megan F.; Angeloni, Lisa M.; Crooks, Kevin R.; Fristrup, Kurt M.; Brown, Emma; Warner, Katy A.; Nelson, Misty D.; White, Cecilia; Briggs, Jessica; McFarland, Scott; Wittemyer, George</t>
  </si>
  <si>
    <t>A synthesis of two decades of research documenting the effects of noise on wildlife</t>
  </si>
  <si>
    <t>BIOLOGICAL REVIEWS</t>
  </si>
  <si>
    <t>acoustics; noise pollution,human disturbance; vocal communication; acoustic metrics; masking; physiology; behaviour; mitigation; fitness; conservation</t>
  </si>
  <si>
    <t>BOTTLE-NOSED DOLPHINS; PORPOISES PHOCOENA-PHOCOENA; CHICKADEES POECILE-ATRICAPILLUS; UNDERWATER DATA-TRANSMISSION; CHRONIC ANTHROPOGENIC NOISE; HERRING CLUPEA-HARENGUS; EVOKED VOCAL RESPONSES; ROAD TRAFFIC NOISE; URBAN NOISE; BEHAVIORAL-RESPONSES</t>
  </si>
  <si>
    <t>Global increases in environmental noise levels arising from expansion ofhuman populations, transportation networks, and resource extraction have catalysed a recent surge of research into the effects of noise on wildlife. Synthesising a coherent understanding of the biological consequences of noise from this literature is challenging. Taxonomic groups vary in auditory capabilities.. wide range of noise sources and exposure levels occur, and many kinds of biological responses have been observed, ranging faint individual behaviours to changes in ecological conununities. Also, noise is one of several environmental effects generated by human activities, so researchers must contend with potentially confounding explanations for biological responses. Nonetheless, it is clear that noise presents diverse threats to species and ecosystems and salient patterns are emerging to help inform future natural resource-management decisions. We conducted a systematic and standardised review of the scientific literature published from 1990 to 2013 on the effects of anthropogenic noise on wildlife, including both terrestrial and aquatic studies. Research to date has concentrated predominantly On European and North American species that rely on vocal corrununication, with approximately two-thirds of the data set focussing on songbirds and marine mammals. The majority of studies documented effects from noise, including altered vocal behaviour to mitigate masking, reduced abundance in noisy habitats, changes in vigilance and foraging behaviour, and impacts on individual fitness and the structure of ecological communities. This literature survey shows that terrestrial wildlife responses begin at noise levels of approximately 40 dIlA, and 20% of papers documented impacts below 50 dBA. Our analysis highlights the utility of existing scientific information concerning, the effects of anthropogenic noise on Wikllife for predicting potential outcomes of noise exposure and implementing meaningful mitigation measures. future research directions that Would support more comprehensive predictions regarding the magnitude and severity of noise impacts include: broadening taxonomic and geographical scope, exploring interacting stressors, conducting larger-scale studies, testing mitigation approaches, standardising reporting of acoustic metrics, and assessing the biological response to noise-source removal or mitigation. The broad volume of existing information concerning the effects of anthropogenic, noise on wildlife offers a valuable resource to assist scientists, industry, and natural-resource managers in predicting potential ()incomes of noise exposure.</t>
  </si>
  <si>
    <t>[Shannon, Graeme; Crooks, Kevin R.; Warner, Katy A.; Nelson, Misty D.; White, Cecilia; Briggs, Jessica; McFarland, Scott; Wittemyer, George] Colorado State Univ, Dept Fish Wildlife &amp; Conservat Biol, Ft Collins, CO 80523 USA; [McKenna, Megan F.; Fristrup, Kurt M.; Brown, Emma] Natl Pk Serv, Nat Sounds &amp; Night Skies Div, Ft Collins, CO 80525 USA; [Angeloni, Lisa M.] Colorado State Univ, Dept Biol, Ft Collins, CO 80523 USA</t>
  </si>
  <si>
    <t>Colorado State University System; Colorado State University Fort Collins; United States Department of the Interior; US National Park Service; Colorado State University System; Colorado State University Fort Collins</t>
  </si>
  <si>
    <t>Shannon, G (corresponding author), Colorado State Univ, Dept Fish Wildlife &amp; Conservat Biol, Ft Collins, CO 80523 USA.</t>
  </si>
  <si>
    <t>graeme.shannon@colostate.edu</t>
  </si>
  <si>
    <t>Wittemyer, George/AFQ-1840-2022; Shannon, Graeme/A-5790-2011</t>
  </si>
  <si>
    <t>Shannon, Graeme/0000-0002-5039-4904</t>
  </si>
  <si>
    <t>National Park Service, Natural Sounds and Night Skies Division</t>
  </si>
  <si>
    <t>The National Park Service, Natural Sounds and Night Skies Division funded this study. We thank two anonymous referees for their helpful comments and A. Cooper and W. Foster for their editorial assistance.</t>
  </si>
  <si>
    <t>1464-7931</t>
  </si>
  <si>
    <t>1469-185X</t>
  </si>
  <si>
    <t>BIOL REV</t>
  </si>
  <si>
    <t>Biol. Rev.</t>
  </si>
  <si>
    <t>10.1111/brv.12207</t>
  </si>
  <si>
    <t>Biology</t>
  </si>
  <si>
    <t>Life Sciences &amp; Biomedicine - Other Topics</t>
  </si>
  <si>
    <t>DZ1AG</t>
  </si>
  <si>
    <t>WOS:000385570300006</t>
  </si>
  <si>
    <t>van der Kooij, J; Engelhard, GH; Righton, DA</t>
  </si>
  <si>
    <t>van der Kooij, Jeroen; Engelhard, Georg H.; Righton, David A.</t>
  </si>
  <si>
    <t>Climate change and squid range expansion in the North Sea</t>
  </si>
  <si>
    <t>Alloteuthis; Atlantic multidecadal oscillation; climate change; Loligo; North Atlantic oscillation; North Sea; Ommastrephidae; sea surface temperature; time series; Todaropsis</t>
  </si>
  <si>
    <t>LOLIGO-FORBESI; SCOTTISH WATERS; ATLANTIC OSCILLATION; ADDITIVE-MODELS; EUROPEAN SEAS; MARINE FISHES; PELAGIC FISH; ABUNDANCE; TRENDS; VARIABILITY</t>
  </si>
  <si>
    <t>Aim Studies focussing on long-term changes in squid populations are rare due to limited availability of fisheries-independent data. However, squid play an important role as predator and prey in marine food-webs and have also become an increasingly important target for fisheries. Their short life history is thought to make them particularly sensitive to changes in the environment, potentially leading to strong fluctuations in population size. Here, we investigate whether squid have increased in the North Sea, in terms of distribution and abundance, and whether these patterns are related to variability in environmental and climatic factors. Location North Sea, north-east Atlantic Ocean. Methods We extracted squid catches from a unique 35-year time series of bottom trawl survey data in the North Sea (1980-2014), collected during late summer (August-September). Changes in distribution and abundance were compared with climatic variables known to be linked with various ecosystem components in the area. Results We found that squid distribution across the North Sea increased over the 35-year time series. Loligo expanded southward from a predominantly north-easterly distribution, compared to northward expansions by Alloteuthis and the Ommastrephidae from their core distributions in the southern and central North Sea respectively. In addition, all squid species studied here displayed an overall increase in biomass over the time series and there were large annual fluctuations. Significantly positive relationships were found between this increase and climate variables for each of the dominant individual taxa studied and when all species were combined. Main conclusions The results suggest a strong causal relationship between climate variability, notably warming sea temperatures, and squid populations. At least for the last 35 years, climate change appears to have been largely favourable for squid and with changes in climate set to continue, squid may end up beneficiaries where many finfish struggle.</t>
  </si>
  <si>
    <t>[van der Kooij, Jeroen; Engelhard, Georg H.; Righton, David A.] Ctr Environm Fisheries &amp; Aquaculture Sci, Pakefield Rd, Lowestoft NR33 0HT, Suffolk, England</t>
  </si>
  <si>
    <t>Centre for Environment Fisheries &amp; Aquaculture Science</t>
  </si>
  <si>
    <t>van der Kooij, J (corresponding author), Ctr Environm Fisheries &amp; Aquaculture Sci, Pakefield Rd, Lowestoft NR33 0HT, Suffolk, England.</t>
  </si>
  <si>
    <t>jeroen.vanderkooij@cefas.co.uk</t>
  </si>
  <si>
    <t>; Righton, David/D-6140-2013</t>
  </si>
  <si>
    <t>Engelhard, Georg H/0000-0002-7821-7029; van der Kooij, Jeroen/0000-0001-9691-0380; Righton, David/0000-0001-8643-3672</t>
  </si>
  <si>
    <t>Defra (UK) [MF1110, MF1112]</t>
  </si>
  <si>
    <t>Defra (UK)(Department for Environment, Food &amp; Rural Affairs (DEFRA))</t>
  </si>
  <si>
    <t>We are grateful to skippers, crew and scientists who were involved in collecting the 35-year time series of squid data onboard the research vessels. We particularly thank Brian Harley and Steve Warnes who helped in historic squid data validation, and Bill Mulligan and Peter Robinson who provided extractions from the various databases. This study was funded by the Defra (UK) contracts MF1110 (The effect of climate variability on the distribution and abundance of squid in the North Sea) and MF1112 (POSEIDON). The manuscript was substantially improved through constructive feedback by our editors and three anonymous referees.</t>
  </si>
  <si>
    <t>WILEY-BLACKWELL</t>
  </si>
  <si>
    <t>10.1111/jbi.12847</t>
  </si>
  <si>
    <t>ED5CH</t>
  </si>
  <si>
    <t>WOS:000388868700017</t>
  </si>
  <si>
    <t>Schandl, H; Hatfield-Dodds, S; Wiedmann, T; Geschke, A; Cai, YY; West, J; Newth, D; Baynes, T; Lenzen, M; Owen, A</t>
  </si>
  <si>
    <t>Schandl, Heinz; Hatfield-Dodds, Steve; Wiedmann, Thomas; Geschke, Arne; Cai, Yiyong; West, James; Newth, David; Baynes, Tim; Lenzen, Manfred; Owen, Anne</t>
  </si>
  <si>
    <t>Decoupling global environmental pressure and economic growth: scenarios for energy use, materials use and carbon emissions</t>
  </si>
  <si>
    <t>JOURNAL OF CLEANER PRODUCTION</t>
  </si>
  <si>
    <t>Decoupling; Economic development; Material and energy use; Carbon emissions; Footprint; Integrated modelling</t>
  </si>
  <si>
    <t>SUSTAINABLE DEVELOPMENT; ELECTRICITY-GENERATION; CONSUMPTION; FOOTPRINT; FLOWS; MODEL</t>
  </si>
  <si>
    <t>In recent decades economic growth and increased human wellbeing around the globe have come at the cost of fast growing natural resource use (including materials and energy) and carbon emissions, leading to converging pressures of declining resource security, rising and increasingly volatile natural resource prices, and climate change. We ask whether well-designed policies can reduce global material and energy use, and carbon emissions, with only minimal impacts on improvements in living standards. We use a novel approach of combined economic and environmental modelling to assess the potential for decoupling for 13 world regions and globally. We apply a production (territorial) and consumption approach to discuss regional differences in natural resource use and carbon emissions across three stylized policy outlooks: a reference case with no significant changes to environment and climate policies; a 'high efficiency' outlook involving a global carbon price rising from $50 to $236 (constant price) per tonne of CO2 between 2010 and 2050 and improvements in resource efficiency (rising from 1.5% historically to between 3.5% and 4.5% in the scenarios); and a 'medium efficiency' outlook midway between the 'no change' and 'high' outlooks. We find that global energy use will continue to grow rapidly under all three scenarios from 17 billion tonnes of oil equivalent (toe) in 2010 to between 30 and 36 billion toe. Carbon emissions would be considerably lower with a global carbon price, less than half the level of the reference case (29-37 billion tonnes of CO2 instead of 74 billion tonnes) and also material use would grow much more slowly under a carbon price and significant investment to increase resource efficiency (95 instead of 180 billion tonnes of materials). We find that OECD economies have significant potential to reduce their material throughput and carbon emissions with little impact on economic growth, and that developing economies such as China could expand their economies at much lower environmental cost. Globally, the effects of very strong abatement and resource efficiency policies on economic growth and employment until 2050 are negligible. Our study suggests that decarbonization and dematerialization are possible with well-designed policy settings and would not contradict efforts to raise human wellbeing and standards of living. The research demonstrates the usefulness of scenarios for unpacking environmental and economic outcomes of policy alternatives. The findings have important implications for future economic opportunities in a highly resource efficient and low carbon global economy to set human development and achieving the sustainable development goals on a more resilient path. Crown Copyright (C) 2015 Published by Elsevier Ltd. All rights reserved.</t>
  </si>
  <si>
    <t>[Schandl, Heinz; Hatfield-Dodds, Steve; West, James; Baynes, Tim] CSIRO Land &amp; Water, GPO Box 1700, Canberra, ACT 2601, Australia; [Schandl, Heinz] Australian Natl Univ, Sch Sociol, Canberra, ACT 2601, Australia; [Wiedmann, Thomas] UNSW Australia, Sch Civil &amp; Environm Engn, Sydney, NSW, Australia; [Wiedmann, Thomas; Geschke, Arne; Lenzen, Manfred] Univ Sydney, Sch Phys, Integrated Sustainabil Anal, Sydney, NSW 2006, Australia; [Cai, Yiyong; Newth, David] CSIRO Oceans &amp; Atmosphere, Canberra, ACT 2601, Australia; [Owen, Anne] Univ Leeds, Sch Earth &amp; Environm, Leeds LS2 9JT, W Yorkshire, England</t>
  </si>
  <si>
    <t>Commonwealth Scientific &amp; Industrial Research Organisation (CSIRO); CSIRO Land &amp; Water; Australian National University; University of New South Wales Sydney; University of Sydney; Commonwealth Scientific &amp; Industrial Research Organisation (CSIRO); CSIRO Oceans &amp; Atmosphere; University of Leeds</t>
  </si>
  <si>
    <t>Schandl, H (corresponding author), CSIRO Land &amp; Water, GPO Box 1700, Canberra, ACT 2601, Australia.</t>
  </si>
  <si>
    <t>heinz.schandl@csiro.au</t>
  </si>
  <si>
    <t>Baynes, Timothy/D-4738-2011; Lenzen, Manfred/D-3161-2013; Geschke, Arne/AAM-7434-2020; West, James/B-5487-2011; Wiedmann, Thomas/C-9158-2011; Schandl, Heinz/C-5055-2008; Hatfield-Dodds, Steve/K-1067-2013; Baynes, Timothy/D-4738-2011; Newth, David/A-1848-2011; Owen, Anne/E-9958-2012</t>
  </si>
  <si>
    <t>Baynes, Timothy/0000-0001-8416-3365; Lenzen, Manfred/0000-0002-0828-5288; West, James/0000-0002-1444-1080; Wiedmann, Thomas/0000-0002-6395-8887; Geschke, Arne/0000-0001-9193-5829; Schandl, Heinz/0000-0001-6399-4231; Owen, Anne/0000-0002-3872-9900; Baynes, Timothy/0000-0001-8416-3365;</t>
  </si>
  <si>
    <t>CSIRO Integrated Carbon Pathways initiative; EPSRC [EP/N022645/1] Funding Source: UKRI; Engineering and Physical Sciences Research Council [EP/N022645/1] Funding Source: researchfish</t>
  </si>
  <si>
    <t>CSIRO Integrated Carbon Pathways initiative; EPSRC(UK Research &amp; Innovation (UKRI)Engineering &amp; Physical Sciences Research Council (EPSRC)); Engineering and Physical Sciences Research Council(UK Research &amp; Innovation (UKRI)Engineering &amp; Physical Sciences Research Council (EPSRC))</t>
  </si>
  <si>
    <t>The authors acknowledge funding from the CSIRO Integrated Carbon Pathways initiative and wish to thank Karin Hosking for editing and Mark Stafford Smith and David Fleming for providing feedback.</t>
  </si>
  <si>
    <t>0959-6526</t>
  </si>
  <si>
    <t>1879-1786</t>
  </si>
  <si>
    <t>J CLEAN PROD</t>
  </si>
  <si>
    <t>J. Clean Prod.</t>
  </si>
  <si>
    <t>SEP 20</t>
  </si>
  <si>
    <t>10.1016/j.jclepro.2015.06.100</t>
  </si>
  <si>
    <t>Green &amp; Sustainable Science &amp; Technology; Engineering, Environmental; Environmental Sciences</t>
  </si>
  <si>
    <t>Science &amp; Technology - Other Topics; Engineering; Environmental Sciences &amp; Ecology</t>
  </si>
  <si>
    <t>DS2OW</t>
  </si>
  <si>
    <t>WOS:000380624400004</t>
  </si>
  <si>
    <t>Bhatta, KP; Vetaas, OR</t>
  </si>
  <si>
    <t>Bhatta, Kuber P.; Vetaas, Ole R.</t>
  </si>
  <si>
    <t>Does tree canopy closure moderate the effect of climate warming on plant species composition of temperate Himalayan oak forest?</t>
  </si>
  <si>
    <t>Canopy closure; Climate warming; Himalaya; Land-use change; Mesophication; Oak forest; Thermophilization</t>
  </si>
  <si>
    <t>EUROPEAN VEGETATION CHANGE; RANGE SHIFTS; IMPORTANT DRIVER; DRIVING FACTORS; MICROCLIMATE; EUTROPHICATION; MANAGEMENT; DIVERSITY; RESPONSES; ECOSYSTEM</t>
  </si>
  <si>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</si>
  <si>
    <t>[Bhatta, Kuber P.; Vetaas, Ole R.] Univ Bergen, Dept Geog, Post Box 7802, N-5020 Bergen, Norway</t>
  </si>
  <si>
    <t>Bhatta, KP (corresponding author), Univ Bergen, Dept Geog, Post Box 7802, N-5020 Bergen, Norway.</t>
  </si>
  <si>
    <t>Kuber.Bhatta@uib.no; Ole.Vetaas@uib.no</t>
  </si>
  <si>
    <t>; Bhatta, Kuber/J-3105-2019; VETAAS, OLE/ABA-7337-2020</t>
  </si>
  <si>
    <t>Bhatta, Kuber Prasad/0000-0001-7837-1395;</t>
  </si>
  <si>
    <t>10.1111/jvs.12423</t>
  </si>
  <si>
    <t>EC9BU</t>
  </si>
  <si>
    <t>WOS:000388439400009</t>
  </si>
  <si>
    <t>Stamoulis, A; Torreele, E</t>
  </si>
  <si>
    <t>Stamoulis, Antonios; Torreele, Els</t>
  </si>
  <si>
    <t>The response of the North Sea demersal fish community to changing fishing pressure as seen through the prism of the large fish indicator</t>
  </si>
  <si>
    <t>Demersal fish community; Large fish indicator (LFI); North Sea; Good environmental status (GES); Size-based indicators</t>
  </si>
  <si>
    <t>COD GADUS-MORHUA; PLAICE PLEURONECTES-PLATESSA; CELTIC SEA; SPECIES COMPOSITION; ECOSYSTEM APPROACH; CLIMATE-CHANGE; MARINE FISHES; SURVEY TRAWLS; SIZE; RECOVERY</t>
  </si>
  <si>
    <t>The large fish indicator (LFI) is a size-based indicator of fish community state. In the North Sea, the LFI is already established as the fish community's Ecological Quality Objective (OSPAR-EcoQO). The LFI has also been proposed as an indicator for food webs and for monitoring of biodiversity in European regional seas. The LFI was developed based on the entire North Sea fish community, which ignores the differences between the southern and the northern fish communities from the International Bottom Trawl Survey (IBTS) data. In this study, we have calculated LFIs based on IBTS and the Beam Trawl Survey (BTS), which target different components of the fish community and we test whether the LFI responds to changes in fishing pressure. The results did not confirm our expectation of a negative correlation between the pressure and state. We found a positive relationship between the IBTS-based LFI and the roundfish fishing mortality as well as an inverse relationship between the BTS-based LFI and the flatfish fishing mortality. The differences in the relationships between the IBTS- and BTS-based LFI and the respective roundfish-averaged and flatfish-averaged fishing mortality confirmed the spatial differences between the North Sea roundfish and flatfish fish communities. Although previous relationships between the LFI and the fishing pressure involved lengthy time-lags (10-12 years), we found shorter responsiveness of the LFI of 1-2 years. Further understanding of the ecological, environmental and anthropogenic factors affecting the LFI is required before ecosystem objectives can be set within the MSFD. (C) 2016 Elsevier B.V. All rights reserved.</t>
  </si>
  <si>
    <t>[Stamoulis, Antonios; Torreele, Els] Inst Agr &amp; Fisheries Res ILVO Fisheries, Ankerstr 1, B-8400 Oostende, Belgium; [Stamoulis, Antonios] Univ Wageningen &amp; Res Ctr, Aquaculture &amp; Fisheries Grp, POB 338, NL-6700 AH Wageningen, Netherlands</t>
  </si>
  <si>
    <t>Institute For Agricultural &amp; Fisheries Research; Wageningen University &amp; Research</t>
  </si>
  <si>
    <t>Stamoulis, A (corresponding author), Inst Agr &amp; Fisheries Res ILVO Fisheries, Ankerstr 1, B-8400 Oostende, Belgium.</t>
  </si>
  <si>
    <t>antonios.stamoulis@gmail.com</t>
  </si>
  <si>
    <t>Institute for Agricultural and Fisheries Research (ILVO Fisheries)</t>
  </si>
  <si>
    <t>The authors wish to thank Prof. Dr. Adriaan D. Rijnsdorp who promoted this study and critically reviewed the manuscript. The useful comments of Drs Sara Vandamme and Daniel van Denderen are gratefully appreciated along with the help of Costis Economides in the figure design. Fruitful discussions with Dr. Jake Rice contributed significantly towards the understanding of the LFI mechanisms; the authors would like to thank him. The critical comments of two anonymous reviewers are gratefully acknowledged. Antonios Stamoulis received a PhD grant from the Institute for Agricultural and Fisheries Research (ILVO Fisheries).</t>
  </si>
  <si>
    <t>10.1016/j.fishres.2016.05.002</t>
  </si>
  <si>
    <t>DP0LS</t>
  </si>
  <si>
    <t>WOS:000378181900022</t>
  </si>
  <si>
    <t>Venter, O; Sanderson, EW; Magrach, A; Allan, JR; Beher, J; Jones, KR; Possingham, HP; Laurance, WF; Wood, P; Fekete, BM; Levy, MA; Watson, JEM</t>
  </si>
  <si>
    <t>Venter, Oscar; Sanderson, Eric W.; Magrach, Ainhoa; Allan, James R.; Beher, Jutta; Jones, Kendall R.; Possingham, Hugh P.; Laurance, William F.; Wood, Peter; Fekete, Balazs M.; Levy, Marc A.; Watson, James E. M.</t>
  </si>
  <si>
    <t>Global terrestrial Human Footprint maps for 1993 and 2009</t>
  </si>
  <si>
    <t>SCIENTIFIC DATA</t>
  </si>
  <si>
    <t>Article; Data Paper</t>
  </si>
  <si>
    <t>IMPACT; SIZE; EXTINCTION; LANDSCAPES; CHALLENGES; AGREEMENT; FRAMEWORK; DISCHARGE; ACCURACY; ROADS</t>
  </si>
  <si>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 x 1 km(2) random sample plots revealed strong agreement with the Human Footprint maps. We anticipate that the Human Footprint maps will find a range of uses as proxies for human disturbance of natural systems. The updated maps should provide an increased understanding of the human pressures that drive macro-ecological patterns, as well as for tracking environmental change and informing conservation science and application.</t>
  </si>
  <si>
    <t>[Venter, Oscar] Univ Northern British Columbia, Ecosyst Sci &amp; Management, Prince George, BC V2N 4Z9, Canada; [Venter, Oscar; Allan, James R.; Beher, Jutta; Jones, Kendall R.; Possingham, Hugh P.] Univ Queensland, Ctr Excellence Environm Decis, St Lucia, Qld 4072, Australia; [Venter, Oscar; Allan, James R.; Beher, Jutta; Jones, Kendall R.; Possingham, Hugh P.] Univ Queensland, Sch Biol Sci, St Lucia, Qld 4072, Australia; [Venter, Oscar; Laurance, William F.; Wood, Peter] James Cook Univ, Ctr Trop Environm &amp; Sustainabil Sci, Cairns, Qld 4878, Australia; [Venter, Oscar; Laurance, William F.; Wood, Peter] James Cook Univ, Coll Sci &amp; Engn, Cairns, Qld 4878, Australia; [Sanderson, Eric W.; Watson, James E. M.] Wildlife Conservat Soc, Global Conservat Program, Bronx, NY 10460 USA; [Magrach, Ainhoa] Swiss Fed Inst Technol, Ecosyst Management, CH-8092 Zurich, Switzerland; [Magrach, Ainhoa] Donana Biol Stn EBD CSIC, Avd Amer Vespucio S-N, Seville 41092, Spain; [Allan, James R.; Jones, Kendall R.] Univ Queensland, Sch Geog Planning &amp; Environm Management, St Lucia, Qld 4072, Australia; [Possingham, Hugh P.] Imperial Coll London, Dept Life Sci, Silwood Pk, Ascot SL5 7PY, Berks, England; [Fekete, Balazs M.] CUNY City Coll, Dept Civil Engn, New York, NY 10007 USA; [Levy, Marc A.] Columbia Univ, Ctr Int Earth Sci Informat Network, Palisades, NY 10964 USA</t>
  </si>
  <si>
    <t>University of Northern British Columbia; University of Queensland; University of Queensland; James Cook University; James Cook University; Wildlife Conservation Society; Swiss Federal Institutes of Technology Domain; ETH Zurich; Consejo Superior de Investigaciones Cientificas (CSIC); CSIC - Estacion Biologica de Donana (EBD); University of Queensland; Imperial College London; City University of New York (CUNY) System; City College of New York (CUNY); Columbia University</t>
  </si>
  <si>
    <t>Venter, O (corresponding author), Univ Northern British Columbia, Ecosyst Sci &amp; Management, Prince George, BC V2N 4Z9, Canada.;Venter, O (corresponding author), Univ Queensland, Ctr Excellence Environm Decis, St Lucia, Qld 4072, Australia.;Venter, O (corresponding author), Univ Queensland, Sch Biol Sci, St Lucia, Qld 4072, Australia.;Venter, O (corresponding author), James Cook Univ, Ctr Trop Environm &amp; Sustainabil Sci, Cairns, Qld 4878, Australia.;Venter, O (corresponding author), James Cook Univ, Coll Sci &amp; Engn, Cairns, Qld 4878, Australia.</t>
  </si>
  <si>
    <t>oscar.venter@unbc.ca</t>
  </si>
  <si>
    <t>Allan, James/C-6680-2017; Levy, Marc A/K-3557-2015; beher, jutta/AAQ-5350-2020; Jones, Kendall/N-2464-2015; Magrach, Ainhoa/B-1038-2012; Venter, Oscar/ABE-1477-2021; Sanderson, Eric/O-1664-2019; Levy, Marc/K-3557-2015; Laurance, William/B-2709-2012; Watson, James/D-8779-2013; Possingham, Hugh/B-1337-2008; Watson, James/D-8779-2013</t>
  </si>
  <si>
    <t>Allan, James/0000-0001-6322-0172; Levy, Marc A/0000-0002-1111-2222; Jones, Kendall/0000-0003-2221-9938; Watson, James/0000-0003-4942-1984; Venter, Oscar/0000-0003-1719-8474; SANDERSON, ERIC W/0000-0002-7477-0193; Watson, James/0000-0003-4942-1984</t>
  </si>
  <si>
    <t>Wildlife Conservation Society; James Cook University; Australian Research Council [DP110102872, DE140101624]; Australian Research Council [DE140101624] Funding Source: Australian Research Council</t>
  </si>
  <si>
    <t>Wildlife Conservation Society; James Cook University; Australian Research Council(Australian Research Council); Australian Research Council(Australian Research Council)</t>
  </si>
  <si>
    <t>This work was supported by grants from the Wildlife Conservation Society, James Cook University and the Australian Research Council DP110102872 and DE140101624. We thank Neil Burgess, Jonas Geldman, Michelle Venter, Todd Stevens, Dan Segan, Joe Walston, John Robinson, Kim Fisher for their thoughtful feedback on this work. We thank Christopher Small for help with the nightlights data, and Alex De Sherbinin for help with roads and population data.</t>
  </si>
  <si>
    <t>2052-4463</t>
  </si>
  <si>
    <t>SCI DATA</t>
  </si>
  <si>
    <t>Sci. Data</t>
  </si>
  <si>
    <t>AUG 23</t>
  </si>
  <si>
    <t>10.1038/sdata.2016.67</t>
  </si>
  <si>
    <t>EF3MZ</t>
  </si>
  <si>
    <t>WOS:000390229900001</t>
  </si>
  <si>
    <t>Early, R; Bradley, BA; Dukes, JS; Lawler, JJ; Olden, JD; Blumenthal, DM; Gonzalez, P; Grosholz, ED; Ibañez, I; Miller, LP; Sorte, CJB; Tatem, AJ</t>
  </si>
  <si>
    <t>Early, Regan; Bradley, Bethany A.; Dukes, Jeffrey S.; Lawler, Joshua J.; Olden, Julian D.; Blumenthal, Dana M.; Gonzalez, Patrick; Grosholz, Edwin D.; Ibanez, Ines; Miller, Luke P.; Sorte, Cascade J. B.; Tatem, Andrew J.</t>
  </si>
  <si>
    <t>Global threats from invasive alien species in the twenty-first century and national response capacities</t>
  </si>
  <si>
    <t>PLANT INVASIONS; BIOLOGICAL INVASIONS; UNITED-STATES; BIODIVERSITY; TRADE; RISK; RICHNESS; PATHWAYS; DISTURBANCE; DISPERSAL</t>
  </si>
  <si>
    <t>Invasive alien species (IAS) threaten human livelihoods and biodiversity globally. Increasing globalization facilitates IAS arrival, and environmental changes, including climate change, facilitate IAS establishment. Here we provide the first global, spatial analysis of the terrestrial threat from IAS in light of twenty-first century globalization and environmental change, and evaluate national capacities to prevent and manage species invasions. We find that one-sixth of the global land surface is highly vulnerable to invasion, including substantial areas in developing economies and biodiversity hotspots. The dominant invasion vectors differ between high-income countries (imports, particularly of plants and pets) and low-income countries (air travel). Uniting data on the causes of introduction and establishment can improve early-warning and eradication schemes. Most countries have limited capacity to act against invasions. In particular, we reveal a clear need for proactive invasion strategies in areas with high poverty levels, high biodiversity and low historical levels of invasion.</t>
  </si>
  <si>
    <t>[Early, Regan] Univ Exeter, Ctr Ecol &amp; Conservat, Penryn Campus, Penryn TR10 9FE, Cornwall, England; [Bradley, Bethany A.] Univ Massachusetts, Dept Environm Conservat, Amherst, MA 01003 USA; [Dukes, Jeffrey S.] Purdue Univ, Dept Forestry &amp; Nat Resources, W Lafayette, IN 47907 USA; [Dukes, Jeffrey S.] Purdue Univ, Dept Biol Sci, W Lafayette, IN 47907 USA; [Lawler, Joshua J.] Univ Washington, Sch Environm &amp; Forest Sci, Seattle, WA 98195 USA; [Olden, Julian D.] Univ Washington, Sch Aquat &amp; Fishery Sci, Seattle, WA 98195 USA; [Blumenthal, Dana M.] USDA ARS, Rangeland Resources Res Unit, Ft Collins, CO USA; [Gonzalez, Patrick] Natl Pk Serv, Nat Resource Stewardship &amp; Sci, Berkeley, CA 94720 USA; [Gonzalez, Patrick] Univ Calif Berkeley, Dept Environm Sci Policy &amp; Management, Berkeley, CA 94720 USA; [Grosholz, Edwin D.] Univ Calif Davis, Dept Environm Sci &amp; Policy, Davis, CA 95616 USA; [Ibanez, Ines] Univ Michigan, Sch Nat Resources &amp; Environm, Ann Arbor, MI 48109 USA; [Miller, Luke P.] Stanford Univ, Hopkins Marine Stn, Pacific Grove, CA 93950 USA; [Sorte, Cascade J. B.] Univ Calif Irvine, Dept Ecol &amp; Evolutionary Biol, Irvine, CA 92697 USA; [Tatem, Andrew J.] Univ Southampton, Dept Geog &amp; Environm, Southampton SO17 1BJ, Hants, England; [Tatem, Andrew J.] NIH, Fogarty Int Ctr, Bldg 10, Bethesda, MD 20892 USA; [Tatem, Andrew J.] Flowminder Fdn, SE-11355 Stockholm, Sweden</t>
  </si>
  <si>
    <t>University of Exeter; University of Massachusetts System; University of Massachusetts Amherst; Purdue University System; Purdue University; Purdue University System; Purdue University; University of Washington; University of Washington Seattle; University of Washington; University of Washington Seattle; United States Department of Agriculture (USDA); United States Department of the Interior; US National Park Service; University of California System; University of California Berkeley; University of California System; University of California Davis; University of Michigan System; University of Michigan; Stanford University; University of California System; University of California Irvine; University of Southampton; National Institutes of Health (NIH) - USA; NIH Fogarty International Center (FIC)</t>
  </si>
  <si>
    <t>Early, R (corresponding author), Univ Exeter, Ctr Ecol &amp; Conservat, Penryn Campus, Penryn TR10 9FE, Cornwall, England.</t>
  </si>
  <si>
    <t>r.early@exeter.ac.uk</t>
  </si>
  <si>
    <t>Bradley, Bethany/B-1964-2008; Miller, Luke/B-8992-2009; Olden, Julian/A-8535-2010; Early, Regan/A-5442-2010; Dukes, Jeffrey/C-9765-2009; Gonzalez, Patrick/B-9479-2013</t>
  </si>
  <si>
    <t>Tatem, Anew/0000-0002-7270-941X; Miller, Luke/0000-0002-2009-6981; Dukes, Jeffrey/0000-0001-9482-7743; Bradley, Bethany/0000-0003-4912-4971; Olden, Julian/0000-0003-2143-1187; Gonzalez, Patrick/0000-0002-7105-0561</t>
  </si>
  <si>
    <t>University of California, Santa Barbara; State of California; National Center for Ecological Analysis and Synthesis - National Science Foundation [EF-0553768]; NERC GW4+ DTP PhD 'Unexplained limits on species distributions. What do they mean for conservation?'</t>
  </si>
  <si>
    <t>University of California, Santa Barbara(University of California System); State of California; National Center for Ecological Analysis and Synthesis - National Science Foundation(National Science Foundation (NSF)); NERC GW4+ DTP PhD 'Unexplained limits on species distributions. What do they mean for conservation?'</t>
  </si>
  <si>
    <t>We thank Ricardo Dobrovolski, Andy Nelson, Ben Halpern, Catarina Meireles, Sarah Ayton and Ryan Bird Rafalski for supplying or collating data, and Rashid Al Badwawi, Olga Dmitrieva, Manar Maraqa and Nazmi Sellami for help with translation. The analysis was conducted as part of the Climate Change &amp; Invasive Species Working Group supported by the National Center for Ecological Analysis and Synthesis, a Center funded by the National Science Foundation (grant #EF-0553768), the University of California, Santa Barbara, and the State of California. The work was supported by the NERC GW4+ DTP PhD 'Unexplained limits on species distributions. What do they mean for conservation?'</t>
  </si>
  <si>
    <t>10.1038/ncomms12485</t>
  </si>
  <si>
    <t>DU1DG</t>
  </si>
  <si>
    <t>WOS:000381947800001</t>
  </si>
  <si>
    <t>Meng, XW; Xia, P; Li, Z; Meng, DZ</t>
  </si>
  <si>
    <t>Meng, Xianwei; Xia, Peng; Li, Zhen; Meng, Dezhen</t>
  </si>
  <si>
    <t>Mangrove degradation and response to anthropogenic disturbance in the Maowei Sea (SW China) since 1926 AD: Mangrove-derived OM and pollen</t>
  </si>
  <si>
    <t>ORGANIC GEOCHEMISTRY</t>
  </si>
  <si>
    <t>Mangrove degradation; Mangrove-derived organic matter; Mangrove pollen; Anthropogenic disturbance; Maowei Sea</t>
  </si>
  <si>
    <t>NITROGEN STABLE-ISOTOPE; ORGANIC-MATTER SOURCES; RIVER ESTUARY; SURFACE SEDIMENTS; ENVIRONMENTAL-CHANGE; YINGLUO BAY; CARBON; HOLOCENE; GULF; RECONSTRUCTION</t>
  </si>
  <si>
    <t>Mangrove forests, located at the interface between land and sea, have been impacted by an increase in intensive anthropogenic disturbance in developing countries or regions. In order to study the impact of human activity on mangrove forests, mangrove development was reconstructed over the last 130 yr, using the contribution of mangrove-derived organic matter (OM) and mangrove pollen as proxies, from two sediment cores from the Maowei Sea (SW China). It is a semi-enclosed bay that receives a large amount of terrestrial material from the Qinjiang and Maoling rivers, with average sedimentation rate of 0.63-0.64 cm/yr. The material accumulates mainly in the coast and its adjacent region, owing to weak water exchange through the channel. Sediment samples had C:N and delta C-13(org) values intermediate between mangrove leaves and flood plain sediments, indicating that OM sources could be apportioned as a mixture from only these two sources. Based on k-mean cluster analysis, mangrove development was divided into three stages since 1880 AD: (i) a flourishing period (1880-1926 AD), (ii) a phase of slow degradation (1926-1980 AD) and (iii) a time of rapid degradation (1980 AD to the present). The study indicates that anthropogenic activity, including reclamation of mangrove swamps for farmland and shrimp ponds, is the primary reason for mangrove degradation since 1926 AD, rather than climate change (temperature and precipitation). Crown Copyright (C) 2016 Published by Elsevier Ltd. All rights reserved.</t>
  </si>
  <si>
    <t>[Meng, Xianwei; Xia, Peng; Meng, Dezhen] State Ocean Adm, Inst Oceanog 1, Qingdao 266061, Peoples R China; [Meng, Xianwei] Qingdao Natl Lab Marine Sci &amp; Technol, Lab Marine Geol &amp; Environm, Qingdao 266061, Peoples R China; [Li, Zhen] Univ Victoria, Sch Earth &amp; Ocean Sci, Victoria, BC V8W 2Y2, Canada</t>
  </si>
  <si>
    <t>First Institute of Oceanography, Ministry of Natural Resources; Laoshan Laboratory; University of Victoria</t>
  </si>
  <si>
    <t>Xia, P (corresponding author), State Ocean Adm, Inst Oceanog 1, Qingdao 266061, Peoples R China.</t>
  </si>
  <si>
    <t>mxw@fio.org.cn; pengxia@fio.org.cn</t>
  </si>
  <si>
    <t>; Li, Zhen/G-7667-2012</t>
  </si>
  <si>
    <t>Li, Zhen/0000-0003-3989-7233; Meng, Xianwei/0000-0001-9041-2997;</t>
  </si>
  <si>
    <t>National Key Scientific Research Project on Global Climate Change [2010CB951203]; National Natural Science Foundation of China [41376075, 41576061, 41206057, 41576067]</t>
  </si>
  <si>
    <t>National Key Scientific Research Project on Global Climate Change; National Natural Science Foundation of China(National Natural Science Foundation of China (NSFC))</t>
  </si>
  <si>
    <t>The authors thank G.A. Wang (China Agricultural University) for delta13Corg analysis. Sampling assistance was provided by X.Q. Wang, Z. W. Zhu and Z. Li. We are also grateful for critical and constructive comments from and two anonymous reviewers. The work was supported by the National Key Scientific Research Project on Global Climate Change (Grant No. 2010CB951203) and the National Natural Science Foundation of China (Grant Nos. 41376075, 41576061, 41206057 and 41576067).</t>
  </si>
  <si>
    <t>0146-6380</t>
  </si>
  <si>
    <t>1873-5290</t>
  </si>
  <si>
    <t>ORG GEOCHEM</t>
  </si>
  <si>
    <t>Org. Geochem.</t>
  </si>
  <si>
    <t>10.1016/j.orggeochem.2016.06.001</t>
  </si>
  <si>
    <t>Geochemistry &amp; Geophysics</t>
  </si>
  <si>
    <t>DR3DH</t>
  </si>
  <si>
    <t>WOS:000379782300014</t>
  </si>
  <si>
    <t>Sguotti, C; Lynam, CP; García-Carreras, B; Ellis, JR; Engelhard, GH</t>
  </si>
  <si>
    <t>Sguotti, Camilla; Lynam, Christopher P.; Garcia-Carreras, Bernardo; Ellis, Jim R.; Engelhard, Georg H.</t>
  </si>
  <si>
    <t>Distribution of skates and sharks in the North Sea: 112years of change</t>
  </si>
  <si>
    <t>climate change; community shift; elasmobranchs; fishing; habitat degradation; local extirpation; marine historical ecology</t>
  </si>
  <si>
    <t>EASTERN ENGLISH-CHANNEL; LONG-TERM CHANGES; CLIMATE-CHANGE; DEMERSAL ELASMOBRANCHS; TRAWLING DISTURBANCE; COMMUNITY STRUCTURE; SPECIES COMPOSITION; FISH ASSEMBLAGE; BRITISH-ISLES; GERMAN BIGHT</t>
  </si>
  <si>
    <t>How have North Sea skate and shark assemblages changed since the early 20th century when bottom trawling became widespread, whilst their environment became increasingly impacted by fishing, climate change, habitat degradation and other anthropogenic pressures? This article examines long-term changes in the distribution and occurrence of the elasmobranch assemblage of the southern North Sea, based on extensive historical time series (1902-2013) of fishery-independent survey data. In general, larger species (thornback ray, tope, spurdog) exhibited long-term declines, and the largest (common skate complex) became locally extirpated (as did angelshark). Smaller species increased (spotted and starry ray, lesser-spotted dogfish) as did smooth-hound, likely benefiting from greater resilience to fishing and/or climate change. This indicates a fundamental shift from historical dominance of larger, commercially valuable species to current prevalence of smaller, more productive species often of low commercial value. In recent years, however, some trends have reversed, with the (cold-water associated) starry ray now declining and thornback ray increasing. This shift may be attributed to (i) fishing, including mechanised beam trawling introduced in the 1960s-1970s, and historical target fisheries for elasmobranchs; (ii) climate change, currently favouring warm-water above cold-water species; and (iii) habitat loss, including potential degradation of coastal and outer estuarine nursery habitats. The same anthropogenic pressures, here documented to have impacted North Sea elasmobranchs over the past century, are likewise impacting shelf seas worldwide and may increase in the future; therefore, parallel changes in elasmobranch communities in other regions are to be expected.</t>
  </si>
  <si>
    <t>[Sguotti, Camilla; Lynam, Christopher P.; Garcia-Carreras, Bernardo; Ellis, Jim R.; Engelhard, Georg H.] Cefas, Pakefield Rd, Lowestoft NR33 0HT, Suffolk, England; [Sguotti, Camilla] Univ Padua, Dept Biol, Via U Bassi,58-B, I-35121 Padua, Italy; [Sguotti, Camilla] Univ Hamburg, Inst Hydrobiol &amp; Fisheries Sci, Grosse Elbstr 133, D-22767 Hamburg, Germany; [Garcia-Carreras, Bernardo] Imperial Coll London, Silwood Pk Campus, Ascot SL5 7PY, Berks, England; [Engelhard, Georg H.] Univ E Anglia, Sch Environm Sci, Norwich NR4 7TJ, Norfolk, England</t>
  </si>
  <si>
    <t>Centre for Environment Fisheries &amp; Aquaculture Science; University of Padua; University of Hamburg; Imperial College London; University of East Anglia</t>
  </si>
  <si>
    <t>Engelhard, GH (corresponding author), Cefas, Pakefield Rd, Lowestoft NR33 0HT, Suffolk, England.;Engelhard, GH (corresponding author), Univ E Anglia, Sch Environm Sci, Norwich NR4 7TJ, Norfolk, England.</t>
  </si>
  <si>
    <t>georg.engelhard@cefas.co.uk</t>
  </si>
  <si>
    <t>Garcia-Carreras, Bernardo/H-3234-2011; García-Carreras, Bernardo/H-3234-2011; Sguotti, Camilla/MIO-0645-2025; Lynam, Christopher/A-9561-2008</t>
  </si>
  <si>
    <t>Lynam, Christopher/0000-0001-5481-8033; García-Carreras, Bernardo/0000-0002-0714-300X; Engelhard, Georg H/0000-0002-7821-7029; Sguotti, Camilla/0000-0002-3019-6273;</t>
  </si>
  <si>
    <t>UK Department for Environment, Food and Rural Affairs [MF1228, MF1108]; Cefas; EU [IS1403, 308392]</t>
  </si>
  <si>
    <t>UK Department for Environment, Food and Rural Affairs(Department for Environment, Food &amp; Rural Affairs (DEFRA)); Cefas; EU(European Union (EU))</t>
  </si>
  <si>
    <t>This work was supported by the UK Department for Environment, Food and Rural Affairs (projects MF1228 and MF1108); Cefas (project 'Trawling Through Time'); and the EU Framework Programme H2020 [COST Action IS1403 'Oceans Past Platform' (European Cooperation in Science and Technology)]. CPL was supported by EU FP7 project DEVOTES (Grant Agreement 308392; www.devotes-project.eu). We thank David Pattison, Michelle Dann, Suzy Angelus, Susan Dale and all others who contributed to data digitisation. We were advised by Sophy McCully Phillips and John Pinnegar (Cefas), Carlotta Mazzoldi (University of Padova) and three anonymous reviewers. We acknowledge the ICES Working Group on the History of Fish and Fisheries (WGHIST) during which the study was initiated (2013) and the completed work presented (2014). The authors declare no conflict of interest.</t>
  </si>
  <si>
    <t>10.1111/gcb.13316</t>
  </si>
  <si>
    <t>DR6MU</t>
  </si>
  <si>
    <t>WOS:000380016800008</t>
  </si>
  <si>
    <t>van Strien, AJ; Meyling, AWG; Herder, JE; Hollander, H; Kalkman, VJ; Poot, MJM; Turnhout, S; van der Hoorn, B; van Strien-van Liempt, WTFH; van Swaay, CAM; van Turnhout, CAM; Verweij, RJT; Oerlemans, NJ</t>
  </si>
  <si>
    <t>van Strien, Arco J.; Meyling, Adriaan W. Gmelig; Herder, Jelger E.; Hollander, Hans; Kalkman, Vincent J.; Poot, Martin J. M.; Turnhout, Sander; van der Hoorn, Berry; van Strien-van Liempt, Willy T. F. H.; van Swaay, Chris A. M.; van Turnhout, Chris A. M.; Verweij, Richard J. T.; Oerlemans, Natasja J.</t>
  </si>
  <si>
    <t>Modest recovery of biodiversity in a western European country: The Living Planet Index for the Netherlands</t>
  </si>
  <si>
    <t>Biodiversity change; 2020 target; Abundance trends; Occupancy trends; Standardised data; Opportunistic data</t>
  </si>
  <si>
    <t>INDICATORS; TRENDS; DECLINES; NITROGEN; MAMMALS; BIRDS</t>
  </si>
  <si>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</si>
  <si>
    <t>[van Strien, Arco J.; Meyling, Adriaan W. Gmelig; Poot, Martin J. M.; Verweij, Richard J. T.] Stat Netherlands, POB 24500, NL-2490 HA The Hague, Netherlands; [Meyling, Adriaan W. Gmelig] Anemoon Fdn, POB 29, NL-2120 AA Bennebroek, Netherlands; [Herder, Jelger E.] Reptile Amphibian &amp; Fish Conservat Netherlands RA, POB 1413, NL-6501 BK Nijmegen, Netherlands; [Hollander, Hans] Dutch Mammal Soc, POB 6531, NL-6503 GA Nijmegen, Netherlands; [Kalkman, Vincent J.] EIS Kennisctr Insecten, Naturalis Biodivers Ctr, POB 9517, NL-2300 RA Leiden, Netherlands; [Turnhout, Sander] SoortenNL, Toernooiveld 1, NL-6500 GL Nijmegen, Netherlands; [van der Hoorn, Berry] Naturals Biodivers Ctr, POB 9517, NL-2300 RA Leiden, Netherlands; [van Strien-van Liempt, Willy T. F. H.] Brederostr 10, NL-2332 BB Leiden, Netherlands; [van Swaay, Chris A. M.] Dutch Butterfly Conservat, POB 506, NL-6700 AM Wageningen, Netherlands; [van Turnhout, Chris A. M.] Sovon Dutch Ctr Field Ornithol, POB 6521, NL-6503 GA Nijmegen, Netherlands; [van Turnhout, Chris A. M.] Radboud Univ Nijmegen, Inst Water &amp; Wetland Res, POB 9010, NL-6500 GL Nijmegen, Netherlands; [Oerlemans, Natasja J.] WWF NL, Driebergseweg 10, NL-3798 JB Zeist, Netherlands</t>
  </si>
  <si>
    <t>Naturalis Biodiversity Center; Naturalis Biodiversity Center; Radboud University Nijmegen</t>
  </si>
  <si>
    <t>van Strien, AJ (corresponding author), Stat Netherlands, POB 24500, NL-2490 HA The Hague, Netherlands.</t>
  </si>
  <si>
    <t>asin@cbs.nl</t>
  </si>
  <si>
    <t>; van Strien, Arco J/AAG-1843-2020; Kalkman, Vincent/D-5275-2013; van der Hoorn, Berry/D-3282-2018; van Strien, Arco/AAG-1843-2020</t>
  </si>
  <si>
    <t>Turnhout, Sander/0000-0002-1299-3498; van Strien, Arco J/0000-0003-0451-073X; Kalkman, Vincent/0000-0002-1484-7865; Poot, Martin/0000-0003-0219-8914;</t>
  </si>
  <si>
    <t>Ministry of Economic Affairs in the framework of the Dutch Network Ecological Monitoring program</t>
  </si>
  <si>
    <t>This work would not have been possible without the help of thousands of voluntary field workers. The standardised monitoring schemes are organised by Sovon (breeding birds), Dutch Mammal Society (mammals), RAVON (reptiles, amphibians, fishes) and Dutch Butterfly Conservation (butterflies, dragonflies). These organisations collaborate with Statistics Netherlands and the monitoring schemes are financed by the Ministry of Economic Affairs in the framework of the Dutch Network Ecological Monitoring program.</t>
  </si>
  <si>
    <t>10.1016/j.biocon.2016.05.031</t>
  </si>
  <si>
    <t>DT2QK</t>
  </si>
  <si>
    <t>WOS:000381325300006</t>
  </si>
  <si>
    <t>Bahaa-el-Din, L; Sollmann, R; Hunter, LTB; Slotow, R; Macdonald, DW; Henschel, P</t>
  </si>
  <si>
    <t>Bahaa-el-Din, Laila; Sollmann, Rahel; Hunter, Luke T. B.; Slotow, Rob; Macdonald, David W.; Henschel, Philipp</t>
  </si>
  <si>
    <t>Effects of human land-use on Africa's only forest-dependent fetid: The African golden cat Caracal aurata</t>
  </si>
  <si>
    <t>Bushmeat; Camera trap; Density; Gabon; Logging; Spatial capture-recapture</t>
  </si>
  <si>
    <t>CAMERA-TRAP; DENSITY; LEOPARD; CARNIVORES; ABUNDANCE; SELECTION; RESERVES; MAMMALS; SABAH</t>
  </si>
  <si>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</si>
  <si>
    <t>[Bahaa-el-Din, Laila; Slotow, Rob] Univ Kwazulu Natal, Sch Life Sci, Westville Campus,Private Bag X54001, ZA-4000 Durban, South Africa; [Bahaa-el-Din, Laila; Hunter, Luke T. B.; Henschel, Philipp] Panthera, 8 West 40th St,18th Fl, New York, NY 10018 USA; [Bahaa-el-Din, Laila; Macdonald, David W.] Univ Oxford, Dept Zool, Wildlife Conservat Res Unit WiIdCRU, Recanati Kaplan Ctr, Tubney House,Abingdon Rd, Tubney OX13 5QL, England; [Sollmann, Rahel] Univ Calif Davis, Dept Wildlife Fish &amp; Conservat Biol, 1088 Acad Surge,One Shields Ave, Davis, CA 95616 USA; [Sollmann, Rahel] US Forest Serv, USDA, Pacific Southwest Res Stn, 1731 Res Pk Dr, Davis, CA 95618 USA</t>
  </si>
  <si>
    <t>University of Kwazulu Natal; University of Oxford; United States Department of Agriculture (USDA); United States Forest Service</t>
  </si>
  <si>
    <t>Bahaa-el-Din, L (corresponding author), Univ Kwazulu Natal, Sch Life Sci, Westville Campus,Private Bag X54001, ZA-4000 Durban, South Africa.</t>
  </si>
  <si>
    <t>lailab.sp@gmail.com</t>
  </si>
  <si>
    <t>Slotow, Rob/AAM-9053-2020; Hunter, Luke/H-3324-2019</t>
  </si>
  <si>
    <t>Henschel, Philipp/0009-0003-6413-8471; Slotow, Rob/0000-0001-9469-1508</t>
  </si>
  <si>
    <t>Panthera; Wildlife Conservation Research Unit (WildCRU); University of KwaZuluNatal (UKZN); International Society for Endangered Cats (ISEC) Canada; El Tigre Fund</t>
  </si>
  <si>
    <t>Funding for this study was received from Panthera, the Wildlife Conservation Research Unit (WildCRU) and the University of KwaZuluNatal (UKZN). Members of all of these institutions are co-authors of this study, and were involved in helping to design the study and prepare the manuscript for publication. Additional funding was received from the International Society for Endangered Cats (ISEC) Canada, and the El Tigre Fund, neither of which were involved with study design, implementation or manuscript preparation.</t>
  </si>
  <si>
    <t>10.1016/j.biocon.2016.04.013</t>
  </si>
  <si>
    <t>DQ9WI</t>
  </si>
  <si>
    <t>WOS:000379559600001</t>
  </si>
  <si>
    <t>Araújo, RM; Assis, J; Aguillar, R; Airoldi, L; Bárbara, I; Bartsch, I; Bekkby, T; Christie, H; Davoult, D; Derrien-Courtel, S; Fernandez, C; Fredriksen, S; Gevaert, F; Gundersen, H; Le Gal, A; Lévêque, L; Mieszkowska, N; Norderhaug, KM; Oliveira, P; Puente, A; Rico, JM; Rinde, E; Schubert, H; Strain, EM; Valero, M; Viard, F; Sousa-Pinto, I</t>
  </si>
  <si>
    <t>Araujo, R. M.; Assis, J.; Aguillar, R.; Airoldi, L.; Barbara, I.; Bartsch, I.; Bekkby, T.; Christie, H.; Davoult, D.; Derrien-Courtel, S.; Fernandez, C.; Fredriksen, S.; Gevaert, F.; Gundersen, H.; Le Gal, A.; Leveque, L.; Mieszkowska, N.; Norderhaug, K. M.; Oliveira, P.; Puente, A.; Rico, J. M.; Rinde, E.; Schubert, H.; Strain, E. M.; Valero, M.; Viard, F.; Sousa-Pinto, I.</t>
  </si>
  <si>
    <t>Status, trends and drivers of kelp forests in Europe: an expert assessment</t>
  </si>
  <si>
    <t>Kelp forests; Expert consultation; Status and temporal trends; Long-term changes; Europe</t>
  </si>
  <si>
    <t>UNDARIA-PINNATIFIDA LAMINARIALES; LARGE BROWN SEAWEEDS; SACCHARINA-LATISSIMA; GENETIC DIVERSITY; CLIMATE-CHANGE; NORTH COAST; WEST-COAST; SEA; ALGAE; TEMPERATURE</t>
  </si>
  <si>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</si>
  <si>
    <t>[Araujo, R. M.; Oliveira, P.; Sousa-Pinto, I.] Univ Porto, Interdisciplinary Ctr Marine &amp; Environm Res, CIIMAR CIMAR, Rua Bragas 289, P-4050123 Oporto, Portugal; [Assis, J.] Univ Algarve CIMAR Algarve, Ctr Marine Sci, Campus Gambelas, P-8005139 Faro, Portugal; [Aguillar, R.] Oceana, Madrid, Spain; [Airoldi, L.] Univ Bologna, UO CoNISMa, Dipartimento Sci Biol Geol &amp; Ambientali, BIGEA, Via S Alberto 163, I-48123 Ravenna, Italy; [Airoldi, L.] Univ Bologna, UO CoNISMa, CIRSA, Via S Alberto 163, I-48123 Ravenna, Italy; [Barbara, I.] Univ A Coruna, Fac Ciencias, Grp BioCost, Dept Bioloxia Anim Bioloxia Vexetal &amp; Ecoloxia, Campus A Coruna, La Coruna 15008, Spain; Helmholtz Ctr Polar &amp; Marine Res, Alfred Wegener Inst, Handelshafen 12, D-27570 Bremerhaven, Germany; Norwegian Inst Water Res, Gaustadalleen 21, N-0349 Oslo, Norway; [Davoult, D.; Viard, F.] CNRS, UMR M AD2 7144, Stn, Biol, Pl Georges Teissier, F-29680 Roscoff, France; [Davoult, D.; Leveque, L.; Valero, M.; Viard, F.] Univ Paris 06, Sorbonne Univ, Stn Biol, Pl Georges Teissier, F-19680 Roscoff, France; [Derrien-Courtel, S.; Le Gal, A.] Museum Natl Hist Nat, Stn Marine, Pl Croix,BP 225, F-29182 Concarneau, France; [Fernandez, C.; Rico, J. M.] Univ Oviedo, Dept BOS Ecol, E-33071 Oviedo, Spain; [Fredriksen, S.; Norderhaug, K. M.] Univ Oslo, Dept Biosci, POB 1066, N-0316 Oslo, Norway; [Gevaert, F.] Univ Lille 1, Univ Lille Nord France, UMR LOG 8187, F-62930 Wimereux, France; [Gevaert, F.] CNRS, UMR LOG 8187, F-62930 Wimereux, France; [Leveque, L.] CNRS, FR2424, Stn Biol, Pl Georges Teissier, F-29680 Roscoff, France; [Mieszkowska, N.] Marine Biol Assoc UK, Citadel Hill, Plymouth PL1 2PB, Devon, England; [Puente, A.] Univ Cantabria, Environm Hydraul Inst IH Cantabria, Ave Isabel Torres 15,Parque Cient &amp; Tecnol Cantab, Santander 39011, Spain; [Schubert, H.] Univ Rostock, Biosci, Albert Einsteinstr 3, D-18059 Rostock, Germany; [Strain, E. M.] Sydney Inst Marine Sci, 19 Chowder Bay Rd, Mosman, NSW 2088, Australia; [Valero, M.] CNRS, UACH, UC, UMI EBEA 3614,Stn Biol, F-29680 Roscoff, France; [Sousa-Pinto, I.] Univ Porto, Fac Sci, Dept Biol, Oporto, Portugal</t>
  </si>
  <si>
    <t>Universidade do Porto; Universidade do Algarve; University of Bologna; University of Bologna; Universidade da Coruna; Helmholtz Association; Alfred Wegener Institute, Helmholtz Centre for Polar &amp; Marine Research; Norwegian Institute for Water Research (NIVA); Centre National de la Recherche Scientifique (CNRS); Sorbonne Universite; Museum National d'Histoire Naturelle (MNHN); University of Oviedo; University of Oslo; Centre National de la Recherche Scientifique (CNRS); CNRS - National Institute for Earth Sciences &amp; Astronomy (INSU); Universite de Lille; Centre National de la Recherche Scientifique (CNRS); CNRS - National Institute for Earth Sciences &amp; Astronomy (INSU); Centre National de la Recherche Scientifique (CNRS); Sorbonne Universite; Marine Biological Association United Kingdom; Universidad de Cantabria; IHCantabria - Instituto de Hidraulica Ambiental de la Universidad de Cantabria; University of Rostock; Sydney Institute of Marine Science; Centre National de la Recherche Scientifique (CNRS); Sorbonne Universite; Universidade do Porto</t>
  </si>
  <si>
    <t>Araújo, RM (corresponding author), Univ Porto, Interdisciplinary Ctr Marine &amp; Environm Res, CIIMAR CIMAR, Rua Bragas 289, P-4050123 Oporto, Portugal.</t>
  </si>
  <si>
    <t>ritaraujo@ciimar.up.pt</t>
  </si>
  <si>
    <t>Assis, Jorge/G-9688-2012; Viard, Frédérique/O-4360-2018; Rico, Jose/C-7441-2013; Mieszkowska, Nova/U-8479-2019; Davoult, Dominique/D-5932-2012; Davoult, dominique/D-5932-2012; Airoldi, Laura/I-3553-2019; Araujo, Rita/S-2065-2019; Assis, Jorge/G-9688-2012; Gevaert, Francois/B-9629-2018; Sousa Pinto, Isabel/G-1497-2010; Strain, Elisabeth/U-3520-2017; Pinto, Isabel/W-1591-2019; Bekkby, Trine/GRY-2922-2022; Araujo, Rita/I-2964-2015; Puente, Araceli/H-3163-2015; Gundersen, Hege/F-1494-2013; Valero, Myriam/M-6052-2019; Valero, Myriam/C-7550-2011; Gevaert, François/B-9629-2018; Puente, Araceli/H-3163-2015</t>
  </si>
  <si>
    <t>Assis, Jorge/0000-0002-6624-4820; Viard, Frédérique/0000-0001-5603-9527; Davoult, Dominique/0000-0001-8678-3998; Rico-Ordas, Jose Manuel/0000-0001-6253-257X; Bekkby, Trine/0000-0001-8188-8264; Mieszkowska, Nova/0000-0002-9570-7759; Airoldi, Laura/0000-0001-5046-0871; Norderhaug, Kjell Magnus/0000-0001-6374-4275; Assis, Jorge/0000-0002-6624-4820; Aguilar, Ricardo/0000-0001-6615-8626; Sousa Pinto, Isabel/0000-0002-9231-0553; Strain, Elisabeth/0000-0003-2165-9544; Araujo, Rita/0000-0001-8062-972X; Bárbara, Ignacio/0000-0003-1779-0224; Puente, Araceli/0000-0001-7627-4743; Gundersen, Hege/0000-0001-9706-1325; Valero, Myriam/0000-0002-9000-1423; Gevaert, François/0000-0002-5078-1154; Puente, Araceli/0000-0001-7627-4743</t>
  </si>
  <si>
    <t>Brittany REBENT; European Water Framework Directive; European Regional Development Fund; Loire-Brittany Water Agency; ONEMA; Ifremer; MNHN; Estuaires Loire Vilaine association; Portuguese Foundation for Science and Technology [EXCL/AAG-GLO/0661/2012, PTDC/MAR-EST/6053/2014, SFRH/BPD/111003/2015, SFRH/BPD/75843/2011]; European Commission [265299]; Fundação para a Ciência e a Tecnologia [SFRH/BPD/75843/2011, EXCL/AAG-GLO/0661/2012] Funding Source: FCT</t>
  </si>
  <si>
    <t>Brittany REBENT; European Water Framework Directive; European Regional Development Fund(European Union (EU)); Loire-Brittany Water Agency; ONEMA; Ifremer; MNHN; Estuaires Loire Vilaine association; Portuguese Foundation for Science and Technology(Fundacao para a Ciencia e a Tecnologia (FCT)); European Commission(European Union (EU)European Commission Joint Research Centre); Fundação para a Ciência e a Tecnologia</t>
  </si>
  <si>
    <t>We would like to thank to the following persons or entities: (1) Lise Tveiten (NIVA) and Frithjof Moy (Institute of Marine Research, IMR), who for many years have sampled data on kelp forest ecology and distribution along the Norwegian coast; (2) The financial partners of the two monitoring programs the Brittany REBENT and the European Water Framework Directive for making it possible to obtain valuable data: the Brittany Region, the European Regional Development Fund, the Loire-Brittany Water Agency, the ONEMA, Ifremer, the MNHN and the Estuaires Loire Vilaine association; (3) Elodie Catherine, Francois-Xavier Decaris, Rene Derrien, Marie Mercier-Pecard, Nicolas Mercier and Thomas Abiven Annie Castric-Fey, Annie Girard-Descatoire, Marie-Therese L'Hardy-Halos (MNHN Station de Biologie Marine de Concarneau) who have, for many years, also contributed to French data on kelp forest ecology and distribution; (4) The marine operation department (Service Mer et Observation) of the Station Biologique de Roscoff and the natural marine park Parc Naturel Marin d'Iroise; (5) The MarClim project at the Marine Biological Association of the UK that has maintained long-term studies of kelps in the UK thanks to funding from Natural England and Natural Resources Wales; (6) Rolf Karez and the State Agency for Agriculture, Environment and Rural Areas, Lower Saxony, Germany who have a regular kelp monitoring program in the German North Sea with Philipp Schubert, being the main responsible diving expert; (7) Christian Wiencke (Alfred-Wegener-Institute, Bremerhaven, Germany) who established the recent quantitative diving study at Kongsfjorden, Spitsbergen, where the sampling was performed with major help from Max Schwanitz and Martin Paar; (8) Annalisa Falace who reviewed the data for the Adriatic Sea; (9) The Portuguese Foundation for Science and Technology (projects of Ester Serrao: EXCL/AAG-GLO/0661/2012 and PTDC/MAR-EST/6053/2014) and postdoctoral fellowship to JA (SFRH/BPD/111003/2015) and RA (SFRH/BPD/75843/2011); (10) The project TETRIS (PRIN 2010-2011, MIUR) for support to LA and EMS. This work was funded by the European Commission under FP7 as the coordination action KNEU-Developing a Knowledge Network for EUropean expertise on biodiversity and ecosystem services to inform policy making economic sectors (Grant No. 265299).</t>
  </si>
  <si>
    <t>10.1007/s10531-016-1141-7</t>
  </si>
  <si>
    <t>DQ2BT</t>
  </si>
  <si>
    <t>WOS:000379006400008</t>
  </si>
  <si>
    <t>Weller, RA; Farrar, JT; Buckley, J; Mathew, S; Venkatesan, R; Lekha, JS; Chaudhuri, D; Kumar, NS; Kumar, BP</t>
  </si>
  <si>
    <t>Weller, Robert A.; Farrar, J. Thomas; Buckley, Jared; Mathew, Simi; Venkatesan, R.; Lekha, J. Sree; Chaudhuri, Dipanjan; Kumar, N. Suresh; Kumar, B. Praveen</t>
  </si>
  <si>
    <t>Air-Sea Interaction in the Bay of Bengal</t>
  </si>
  <si>
    <t>OCEANOGRAPHY</t>
  </si>
  <si>
    <t>UPPER-OCEAN RESPONSE; SUMMER MONSOON; ARABIAN SEA; SURFACE; REANALYSIS; FLUXES</t>
  </si>
  <si>
    <t>Recent observations of surface meteorology and exchanges of heat, freshwater, and momentum between the ocean and the atmosphere in the Bay of Bengal are presented. These observations characterize air-sea interaction at 18 degrees N, 89.5 degrees E from December 2014 to January 2016 and also at other locations in the northern Bay of Bengal. Monsoonal variability dominated the records, with winds to the northeast in summer and to the southwest in winter. This variability included a strong annual cycle in the atmospheric forcing of the ocean in the Bay of Bengal, with the winter monsoon marked by sustained ocean heat loss resulting in ocean cooling, and the summer monsoon marked by strong storm events with dark skies and rain that also resulted in ocean cooling. The spring intermonsoon was a period of clear skies and low winds, when strong solar heating and weak wind-driven mixing led to ocean warming. The fall intermonsoon was a transitional period, with some storm events but also with enough clear skies and sunlight that ocean surface temperature rose again. Mooring and shipboard observations are used to examine the ability of model-based surface fluxes to represent air-sea interaction in the Bay of Bengal; the model-based fluxes have significant errors. The surface forcing observed at 18 degrees N is also used together with a one-dimensional ocean model to illustrate the potential for local air-sea interaction to drive upper-ocean variability in the Bay of Bengal.</t>
  </si>
  <si>
    <t>[Weller, Robert A.; Farrar, J. Thomas] Woods Hole Oceanog Inst, Woods Hole, MA 02543 USA; [Buckley, Jared] Univ Massachusetts Dartmouth, N Dartmouth, MA USA; [Mathew, Simi; Venkatesan, R.] Natl Inst Ocean Technol, Ocean Observat, Chennai, Tamil Nadu, India; [Lekha, J. Sree; Chaudhuri, Dipanjan] Indian Inst Sci, Ctr Atmospher &amp; Ocean Sci, Bangalore, Karnataka, India; [Kumar, N. Suresh; Kumar, B. Praveen] Indian Natl Ctr Ocean Informat Serv, Hyderabad, Andhra Pradesh, India</t>
  </si>
  <si>
    <t>Woods Hole Oceanographic Institution; University of Massachusetts System; University Massachusetts Dartmouth; Ministry of Earth Sciences (MoES) - India; National Institute of Ocean Technology (NIOT); Indian Institute of Science (IISC) - Bangalore; Ministry of Earth Sciences (MoES) - India; Indian National Centre for Ocean Information Services (INCOIS)</t>
  </si>
  <si>
    <t>Weller, RA (corresponding author), Woods Hole Oceanog Inst, Woods Hole, MA 02543 USA.</t>
  </si>
  <si>
    <t>rweller@whoi.edu</t>
  </si>
  <si>
    <t>Kumar, Praveen/D-5244-2009; Farrar, John/F-3532-2012; Beniwal, Dr Suresh/HHZ-2615-2022; Farrar, J./F-3532-2012; MATHEW, SIMI/ADY-9906-2022; Jarugula, Sreelekha/HHN-7474-2022</t>
  </si>
  <si>
    <t>Farrar, John/0000-0003-3495-1990; Mathew, Simi/0000-0003-2109-8345; Ramasamy, Venkatesan/0000-0001-7386-1539; Jarugula, Sreelekha/0000-0003-2171-2480; Kumar, Praveen/0000-0003-0523-4095; Beniwal, Suresh/0000-0002-2539-6553</t>
  </si>
  <si>
    <t>US Office of Naval Research [N00014-13-1-0453]; Ministry of Earth Sciences (MoES, Government of India)</t>
  </si>
  <si>
    <t>US Office of Naval Research(United States Department of DefenseUnited States NavyOffice of Naval Research); Ministry of Earth Sciences (MoES, Government of India)(Ministry of Earth Sciences (MoES) - India)</t>
  </si>
  <si>
    <t>Deployment of the WHOI mooring and R. Weller and J.T. Farrar were supported by the US Office of Naval Research, grant N00014-13-1-0453. Deployment of the WHOI mooring was carried out by ORV Sagar Nidhi and the recovery by ORV Sagar Kanya; the help of the crew and science parties is gratefully acknowledged as is the ongoing support at the National Institute of Ocean Technology (NIOT) in Chennai and by other colleagues in India of this mooring work. We especially thank M. Ravichandran of the Indian National Center for Ocean Information Services (INCOIS) and D. Sengupta of the Center for Atmospheric and Oceanic Sciences, Indian Institute of Science. Jim Moum and Emily Shroyer of Oregon State University deployed the chi pods. Amala Mahadevan (WHOI) and Melissa Osmand (University of Rhode Island) deployed the dissolved oxygen, PAR, and nitrate sensors. N. Suresh Kumar and B. Praveen Kumar acknowledge the financial support from Ministry of Earth Sciences (MoES, Government of India). This paper is INCOIS contribution number 248.</t>
  </si>
  <si>
    <t>OCEANOGRAPHY SOC</t>
  </si>
  <si>
    <t>ROCKVILLE</t>
  </si>
  <si>
    <t>P.O. BOX 1931, ROCKVILLE, MD USA</t>
  </si>
  <si>
    <t>1042-8275</t>
  </si>
  <si>
    <t>Oceanography</t>
  </si>
  <si>
    <t>10.5670/oceanog.2016.36</t>
  </si>
  <si>
    <t>DS2EY</t>
  </si>
  <si>
    <t>Green Published, gold</t>
  </si>
  <si>
    <t>WOS:000380572500007</t>
  </si>
  <si>
    <t>Hunter, A; Speirs, DC; Heath, MR</t>
  </si>
  <si>
    <t>Hunter, Aidan; Speirs, Douglas C.; Heath, Michael R.</t>
  </si>
  <si>
    <t>Investigating trends in the growth of five demersal fish species from the Firth of Clyde and the wider western shelf of Scotland</t>
  </si>
  <si>
    <t>Firth of Clyde; Growth rate; Demersal fish</t>
  </si>
  <si>
    <t>SIZE-SELECTIVE MORTALITY; COD GADUS-MORHUA; BODY-SIZE; TEMPERATURE; LENGTH; AGE; POPULATION; TRAITS; DENSITY; HARVEST</t>
  </si>
  <si>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</si>
  <si>
    <t>[Hunter, Aidan; Speirs, Douglas C.; Heath, Michael R.] Univ Strathclyde, Dept Math &amp; Stat, Marine Populat Modelling Grp, 26 Richmond St, Glasgow G1 1XH, Lanark, Scotland</t>
  </si>
  <si>
    <t>University of Strathclyde</t>
  </si>
  <si>
    <t>Hunter, A (corresponding author), Univ Strathclyde, Dept Math &amp; Stat, Marine Populat Modelling Grp, 26 Richmond St, Glasgow G1 1XH, Lanark, Scotland.</t>
  </si>
  <si>
    <t>aidan.hunter@strath.ac.uk; d.c.speirs@strath.ac.uk; m.heath@strath.ac.uk</t>
  </si>
  <si>
    <t>Hunter, Aidan/HTP-5511-2023; Speirs, Douglas/D-7526-2013; Heath, Michael/D-5765-2013</t>
  </si>
  <si>
    <t>Heath, Michael/0000-0001-6602-3107; Hunter, Aidan/0000-0003-2621-9978; Speirs, Douglas/0000-0002-4367-1459;</t>
  </si>
  <si>
    <t>Natural Environment Research Council (NERC) [NE/K508911/1]; Marine Scotland Science (MSS) Marine Laboratory in Aberdeen [MF0762]; Natural Environment Research Council [1263497] Funding Source: researchfish</t>
  </si>
  <si>
    <t>Natural Environment Research Council (NERC)(UK Research &amp; Innovation (UKRI)Natural Environment Research Council (NERC)); Marine Scotland Science (MSS) Marine Laboratory in Aberdeen; Natural Environment Research Council(UK Research &amp; Innovation (UKRI)Natural Environment Research Council (NERC))</t>
  </si>
  <si>
    <t>Data not publicly available were provided by the Marine Scotland Science (MSS) Marine Laboratory in Aberdeen under research project MF0762, as part of a Memorandum of Understanding between MSS and the University of Strathclyde. The authors thank Dr Robin Cook for guidance in using OpenBUGS, and the Natural Environment Research Council (NERC) for funding this work (grant reference NE/K508911/1).</t>
  </si>
  <si>
    <t>10.1016/j.fishres.2016.01.005</t>
  </si>
  <si>
    <t>DG9BU</t>
  </si>
  <si>
    <t>WOS:000372378600009</t>
  </si>
  <si>
    <t>Critchell, K; Lambrechts, J</t>
  </si>
  <si>
    <t>Critchell, Kay; Lambrechts, Jonathan</t>
  </si>
  <si>
    <t>Modelling accumulation of marine plastics in the coastal zone; what are the dominant physical processes?</t>
  </si>
  <si>
    <t>ESTUARINE COASTAL AND SHELF SCIENCE</t>
  </si>
  <si>
    <t>Marine debris; Coastal; Oceanography; Wind shadow; Modelling; Sensitivity analysis</t>
  </si>
  <si>
    <t>EAST CHINA SEA; TRAWL WEB; DEBRIS; TRACKING; FATE; MICROPLASTICS; DISPERSION; INGESTION; DIFFUSION; TRANSPORT</t>
  </si>
  <si>
    <t>Anthropogenic marine debris, mainly of plastic origin, is accumulating in estuarine and coastal environments around the world causing damage to fauna, flora and habitats. Plastics also have the potential to accumulate in the food web, as well as causing economic losses to tourism and sea-going industries. If we are to manage this increasing threat, we must first understand where debris is accumulating and why these locations are different to others that do not accumulate large amounts of marine debris. This paper demonstrates an advection-diffusion model that includes beaching, settling, resuspension/re-floating, degradation and topographic effects on the wind in nearshore waters to quantify the relative importance of these physical processes governing plastic debris accumulation. The aim of this paper is to prioritise research that will improve modelling outputs in the future. We have found that the physical characteristic of the source location has by far the largest effect on the fate of the debris. The diffusivity, used to parameterise the sub-grid scale movements, and the relationship between debris resuspension/re-floating from beaches and the wind shadow created by high islands also has a dramatic impact on the modelling results. The rate of degradation of macroplastics into microplastics also have a large influence in the result of the modelling. The other processes presented (settling, wind drift velocity) also help determine the fate of debris, but to a lesser degree. These findings may help prioritise research on physical processes that affect plastic accumulation, leading to more accurate modelling, and subsequently management in the future. (C) 2016 Elsevier Ltd. All rights reserved.</t>
  </si>
  <si>
    <t>[Critchell, Kay] James Cook Univ, Coll Marine &amp; Environm Sci, Ctr Trop Water &amp; Aquat Ecosyst Res, Townsville, Qld 4814, Australia; [Lambrechts, Jonathan] Catholic Univ Louvain, Inst Mech Mat &amp; Civil Engn, B-1348 Louvain, Belgium</t>
  </si>
  <si>
    <t>James Cook University; Universite Catholique Louvain</t>
  </si>
  <si>
    <t>Critchell, K (corresponding author), James Cook Univ, Coll Marine &amp; Environm Sci, Ctr Trop Water &amp; Aquat Ecosyst Res, Townsville, Qld 4814, Australia.</t>
  </si>
  <si>
    <t>kay.critchell@my.jcu.edu.au</t>
  </si>
  <si>
    <t>Critchell, Kay/E-3150-2017; Critchell, Kay/M-8859-2019</t>
  </si>
  <si>
    <t>Critchell, Kay/0000-0003-0599-2355; Lambrechts, Jonathan/0000-0003-1061-6514</t>
  </si>
  <si>
    <t>Communaute Francaise de Belgique [ARC 10/15-028]</t>
  </si>
  <si>
    <t>Communaute Francaise de Belgique(Australian Research Council)</t>
  </si>
  <si>
    <t>The development of the Second-generation Louvain-la-Neuve Ice-ocean Model (SLIM, www.climate.be/slim) has been supported by the Communaute Francaise de Belgique under contract ARC 10/15-028.</t>
  </si>
  <si>
    <t>ACADEMIC PRESS LTD- ELSEVIER SCIENCE LTD</t>
  </si>
  <si>
    <t>24-28 OVAL RD, LONDON NW1 7DX, ENGLAND</t>
  </si>
  <si>
    <t>0272-7714</t>
  </si>
  <si>
    <t>1096-0015</t>
  </si>
  <si>
    <t>ESTUAR COAST SHELF S</t>
  </si>
  <si>
    <t>Estuar. Coast. Shelf Sci.</t>
  </si>
  <si>
    <t>MAR 20</t>
  </si>
  <si>
    <t>10.1016/j.ecss.2016.01.036</t>
  </si>
  <si>
    <t>DJ4SX</t>
  </si>
  <si>
    <t>WOS:000374199400013</t>
  </si>
  <si>
    <t>Viña, A; McConnell, WJ; Yang, HB; Xu, ZC; Liu, JG</t>
  </si>
  <si>
    <t>Vina, Andres; McConnell, William J.; Yang, Hongbo; Xu, Zhenci; Liu, Jianguo</t>
  </si>
  <si>
    <t>Effects of conservation policy on China's forest recovery</t>
  </si>
  <si>
    <t>TRANSITIONS; SUSTAINABILITY; DEFORESTATION; PREDICTION; ACCURACY; BIOMASS; IMAGERY; AREA</t>
  </si>
  <si>
    <t>Forest loss is one of the most pervasive land surface transformations on Earth, with drastic effects on global climate, ecosystems, and human well-being. As part of biodiversity conservation and climate change mitigation efforts, many countries, including China, have been implementing large-scale policies to conserve and restore forests. However, little is known about the effectiveness of these policies, and information on China's forest dynamics at the national level has mainly relied on official statistics. In response to international calls for improved reliability and transparency of information on biodiversity conservation and climate change mitigation efforts, it is crucial to independently verify government statistics. Furthermore, if forest recovery is verified, it is essential to assess the degree to which this recovery is attributable to policy, within the context of other relevant factors. We assess the dynamics of forest cover in China between 2000 and 2010 and evaluate the effectiveness of one of the largest forest conservation programs in the world-the Natural Forest Conservation Program (NFCP). Results indicate that forest cover has significantly increased in around 1.6% of China's territory and that the areas exhibiting forest gain experienced a combined increase in net primary productivity (ca. 0.9 Tg of carbon). Among the variables evaluated at county level, the NFCP exhibited a significantly positive relation with forest gain, whereas reduction in rural labor showed a negative relationship with both forest loss and gain. Findings such as these have global implications for forest conservation and climate change mitigation efforts.</t>
  </si>
  <si>
    <t>[Vina, Andres; Yang, Hongbo; Xu, Zhenci; Liu, Jianguo] Michigan State Univ, Ctr Syst Integrat &amp; Sustainabil, Dept Fisheries &amp; Wildlife, E Lansing, MI 48823 USA; [McConnell, William J.] Michigan State Univ, Ctr Global Change &amp; Earth Observat, E Lansing, MI 48823 USA</t>
  </si>
  <si>
    <t>Michigan State University; Michigan State University</t>
  </si>
  <si>
    <t>Viña, A; Liu, JG (corresponding author), Michigan State Univ, Ctr Syst Integrat &amp; Sustainabil, Dept Fisheries &amp; Wildlife, E Lansing, MI 48823 USA.</t>
  </si>
  <si>
    <t>vina@msu.edu; liuji@msu.edu</t>
  </si>
  <si>
    <t>Yang, Hongbo/AAL-4818-2021; Vina, Andres/KIE-0168-2024; Liu, Jianguo/G-5211-2015</t>
  </si>
  <si>
    <t>Yang, Hongbo/0000-0001-5935-6595; Xu, Zhenci/0000-0003-4123-077X; Viña, Andrés/0000-0001-6240-6610; Liu, Jianguo/0000-0001-6344-0087</t>
  </si>
  <si>
    <t>National Science Foundation; Michigan AgBioResearch; Direct For Biological Sciences; Division Of Environmental Biology [1340812] Funding Source: National Science Foundation; Directorate For Geosciences; ICER [1531086] Funding Source: National Science Foundation</t>
  </si>
  <si>
    <t>National Science Foundation(National Science Foundation (NSF)); Michigan AgBioResearch; Direct For Biological Sciences; Division Of Environmental Biology(National Science Foundation (NSF)NSF - Directorate for Biological Sciences (BIO)); Directorate For Geosciences; ICER(National Science Foundation (NSF)NSF - Directorate for Geosciences (GEO))</t>
  </si>
  <si>
    <t>This study received financial support from the National Science Foundation and Michigan AgBioResearch.</t>
  </si>
  <si>
    <t>e1500965</t>
  </si>
  <si>
    <t>10.1126/sciadv.1500965</t>
  </si>
  <si>
    <t>DR0TQ</t>
  </si>
  <si>
    <t>WOS:000379620200006</t>
  </si>
  <si>
    <t>Izmest'eva, LR; Moore, MV; Hampton, SE; Ferwerda, CJ; Gray, DK; Woo, KH; Pislegina, HV; Krashchuk, LS; Shimaraeva, SV; Silow, EA</t>
  </si>
  <si>
    <t>Izmest'eva, Lyubov R.; Moore, Marianne V.; Hampton, Stephanie E.; Ferwerda, Carolin J.; Gray, Derek K.; Woo, Kara H.; Pislegina, Helena V.; Krashchuk, Lyudmila S.; Shimaraeva, Svetlana V.; Silow, Eugene A.</t>
  </si>
  <si>
    <t>Lake-wide physical and biological trends associated with warming in Lake Baikal</t>
  </si>
  <si>
    <t>JOURNAL OF GREAT LAKES RESEARCH</t>
  </si>
  <si>
    <t>Lake warming; Eutrophication; Zooplankton; Lake Baikal; Lake monitoring</t>
  </si>
  <si>
    <t>CLIMATE-CHANGE; EUTROPHICATION; COPEPODS; PHYTOPLANKTON; ZOOPLANKTON; POLLUTION; IMPACTS; SIBERIA; CARBON; ALGAE</t>
  </si>
  <si>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</si>
  <si>
    <t>[Izmest'eva, Lyubov R.; Pislegina, Helena V.; Krashchuk, Lyudmila S.; Shimaraeva, Svetlana V.; Silow, Eugene A.] Irkutsk State Univ, Inst Biol, POB 24, Irkutsk 664003, Russia; [Moore, Marianne V.] Wellesley Coll, Dept Biol Sci, Wellesley, MA 02481 USA; [Hampton, Stephanie E.; Woo, Kara H.] Washington State Univ, Ctr Environm Res Educ &amp; Outreach, Pullman, WA 99164 USA; [Ferwerda, Carolin J.] Wellesley Coll, Lib Serv, Wellesley, MA 02481 USA; [Ferwerda, Carolin J.] Wellesley Coll, Technol Serv, Wellesley, MA 02481 USA; [Gray, Derek K.] Calif Univ Penn, Dept Biol &amp; Environm Sci, California, PA 15419 USA; [Izmest'eva, Lyubov R.] 5th Armee St,46, Irkutsk 664025 3, Russia</t>
  </si>
  <si>
    <t>Irkutsk State University; Wellesley College; Washington State University; Wellesley College; Wellesley College; Pennsylvania State System of Higher Education (PASSHE); California University of Pennsylvania</t>
  </si>
  <si>
    <t>Moore, MV (corresponding author), Wellesley Coll, Dept Biol Sci, Wellesley, MA 02481 USA.</t>
  </si>
  <si>
    <t>mmoore@wellesley.edu</t>
  </si>
  <si>
    <t>Shimaraeva, Svetlana/ABC-7160-2021; Silow, Eugene/C-2958-2011</t>
  </si>
  <si>
    <t>Silow, Eugene/0000-0002-7039-3220; Hampton, Stephanie/0000-0003-2389-4249; Woo, Kara/0000-0002-5125-4188</t>
  </si>
  <si>
    <t>Russian Ministry of Education and Science research project [GR 01201461929]; Brachman Hoffman Fund; Fiske Fund; Committee on Faculty Awards at Wellesley College; Russian Science Foundation [14-14-00400]; Irkutsk State University; Dimensions of Biodiversity program of the US National Science Foundation [DEB-1136637, DEB-1136657]; Russian Science Foundation [14-14-00400] Funding Source: Russian Science Foundation; Direct For Biological Sciences; Division Of Environmental Biology [1136657] Funding Source: National Science Foundation; Division Of Environmental Biology; Direct For Biological Sciences [1136710] Funding Source: National Science Foundation</t>
  </si>
  <si>
    <t>Russian Ministry of Education and Science research project; Brachman Hoffman Fund; Fiske Fund; Committee on Faculty Awards at Wellesley College; Russian Science Foundation(Russian Science Foundation (RSF)); Irkutsk State University; Dimensions of Biodiversity program of the US National Science Foundation; Russian Science Foundation(Russian Science Foundation (RSF));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t>
  </si>
  <si>
    <t>This paper is dedicated to Nadezhda P. Blokhina, Olga H. Pen'kova, Galina I. Pomazkova (zooplankton specialists) and other students, staff, faculty, ship captains, and crew members who collected or processed the limnological samples from the circumBaikal sampling program at Irkutsk State University's General Hydrobiology Laboratory of the Institute of Biology now supported by the Russian Ministry of Education and Science research project GR 01201461929. These Lake Baikal data are part of a data set (No. 2005620028 and No. 2014621482) registered with the government of the Russian Federation. Data analyses were supported by the Dimensions of Biodiversity program of the US National Science Foundation (DEB-1136637; DEB-1136657) in addition to the awards from the Brachman Hoffman Fund, Fiske Fund, and the Committee on Faculty Awards at Wellesley College. E. Silow was partially supported by the Russian Science Foundation Project No. 14-14-00400. A Howard Hughes grant and a Strategic Investment in Research and Teaching grant to Wellesley College supported student assistants from Irkutsk State University: Denis Axenov-Gribanov, Margarita Tsitsenko, Kirill Shchapov, and Nadia Shakhtanova. Student assistants from Wellesley College included Ashley Ortiz, Julia Shalnova, Genia Nizkorodov, Iris Lin, and Graeme Durovich. We are grateful to Jonathan Lefcheck for sharing the code to calculate the goodness of fit for mixed models and Steve Katz for many conversations about mixed models. We thank Oleg Timoshkin, Ted Ozersky, Nick Rodenhouse, and two anonymous reviewers for comments that improved the manuscript.</t>
  </si>
  <si>
    <t>0380-1330</t>
  </si>
  <si>
    <t>J GREAT LAKES RES</t>
  </si>
  <si>
    <t>J. Gt. Lakes Res.</t>
  </si>
  <si>
    <t>10.1016/j.jglr.2015.11.006</t>
  </si>
  <si>
    <t>Environmental Sciences; Limnology; Marine &amp; Freshwater Biology</t>
  </si>
  <si>
    <t>DD7PB</t>
  </si>
  <si>
    <t>WOS:000370115500002</t>
  </si>
  <si>
    <t>Olah, G; Butchart, SHM; Symes, A; Guzmán, IM; Cunningham, R; Brightsmith, DJ; Heinsohn, R</t>
  </si>
  <si>
    <t>Olah, George; Butchart, Stuart H. M.; Symes, Andy; Guzman, Iliana Medina; Cunningham, Ross; Brightsmith, Donald J.; Heinsohn, Robert</t>
  </si>
  <si>
    <t>Ecological and socio-economic factors affecting extinction risk in parrots</t>
  </si>
  <si>
    <t>Extinction risk; Anthropogenic threat; Psittaciformes; IUCN; Comparative analysis; Socioeconomics</t>
  </si>
  <si>
    <t>RED-LIST-INDEXES; DEVELOPING-COUNTRIES; NESTING BIRDS; CONSERVATION; URBANIZATION; BIODIVERSITY; TRADE; DEFORESTATION; PROGRESS; FORESTS</t>
  </si>
  <si>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</si>
  <si>
    <t>[Olah, George; Cunningham, Ross; Heinsohn, Robert] Australian Natl Univ, Fenner Sch Environm &amp; Soc, Frank Fenner Bldg 141, Canberra, ACT 0200, Australia; [Butchart, Stuart H. M.; Symes, Andy] BirdLife Int, Attenborough Bldg,Pembroke St, Cambridge CB2 3QZ, England; [Butchart, Stuart H. M.] Univ Cambridge, Dept Zool, Downing St, Cambridge CB2 3EJ, England; [Guzman, Iliana Medina] Australian Natl Univ, Res Sch Biol, Dept Ecol Evolut &amp; Genet, Canberra, ACT 0200, Australia; [Brightsmith, Donald J.] Texas A&amp;M Univ, Dept Vet Pathobiol, Schubot Exot Bird Hlth Ctr, College Stn, TX USA</t>
  </si>
  <si>
    <t>Australian National University; BirdLife International; University of Cambridge; Australian National University; Texas A&amp;M University System; Texas A&amp;M University College Station</t>
  </si>
  <si>
    <t>Olah, G (corresponding author), Australian Natl Univ, Fenner Sch Environm &amp; Soc, Frank Fenner Bldg 141, Canberra, ACT 0200, Australia.</t>
  </si>
  <si>
    <t>george.olah@anu.edu.au</t>
  </si>
  <si>
    <t>Olah, George/J-1409-2014; Butchart, Stuart/Y-2711-2018; Brightsmith, Donald/AFP-6335-2022</t>
  </si>
  <si>
    <t>Olah, George/0000-0002-7935-8843; Brightsmith, Donald Joseph/0000-0002-3306-6490; Butchart, Stuart/0000-0002-1140-4049; Heinsohn, Robert/0000-0002-2514-9448</t>
  </si>
  <si>
    <t>10.1007/s10531-015-1036-z</t>
  </si>
  <si>
    <t>DD7XA</t>
  </si>
  <si>
    <t>WOS:000370137100001</t>
  </si>
  <si>
    <t>Wenger, AS; Williamson, DH; da Silva, ET; Ceccarelli, DM; Browne, NK; Petus, C; Devlin, MJ</t>
  </si>
  <si>
    <t>Wenger, Amelia S.; Williamson, David H.; da Silva, Eduardo T.; Ceccarelli, Daniela M.; Browne, Nicola K.; Petus, Caroline; Devlin, Michelle J.</t>
  </si>
  <si>
    <t>Effects of reduced water quality on coral reefs in and out of no-take marine reserves</t>
  </si>
  <si>
    <t>CONSERVATION BIOLOGY</t>
  </si>
  <si>
    <t>coastal development; disturbance; Great Barrier Reef; local adaptation; MPA; resilience</t>
  </si>
  <si>
    <t>GREAT-BARRIER-REEF; NUTRIENT ENRICHMENT; COMMUNITY STRUCTURE; PROTECTED AREAS; PUERTO-RICO; RESILIENCE; SEDIMENTATION; CONSERVATION; BIODIVERSITY; DEGRADATION</t>
  </si>
  <si>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</si>
  <si>
    <t>[Wenger, Amelia S.; Williamson, David H.; Ceccarelli, Daniela M.] James Cook Univ, ARC Ctr Excellence Coral Reef Studies, Townsville, Qld 4811, Australia; [da Silva, Eduardo T.; Petus, Caroline; Devlin, Michelle J.] James Cook Univ, TropWater, Townsville, Qld 4811, Australia; [Browne, Nicola K.] Curtin Univ, Fac Sci &amp; Engn, Dept Environm &amp; Agr, Bentley Campus, Perth, WA 6102, Australia</t>
  </si>
  <si>
    <t>James Cook University; ARC Centre of Excellence for Coral Reef Studies; James Cook University; Curtin University</t>
  </si>
  <si>
    <t>Wenger, AS (corresponding author), James Cook Univ, ARC Ctr Excellence Coral Reef Studies, Townsville, Qld 4811, Australia.</t>
  </si>
  <si>
    <t>amelia.wenger@gmail.com</t>
  </si>
  <si>
    <t>Ceccarelli, Daniela/AAN-3577-2020; Wenger, Amelia/S-9135-2019; Devlin, Michelle/HGC-1104-2022; Devlin, Michelle Jillian/M-5870-2014; Petus, Caroline/A-6937-2015; browne, Nicola/W-6612-2019</t>
  </si>
  <si>
    <t>Williaon, David/0000-0001-8447-039X; Wenger, Amelia/0000-0002-0433-6164; Browne, nicola/0000-0002-7160-6865; Devlin, Michelle Jillian/0000-0003-2194-2534;</t>
  </si>
  <si>
    <t>Australian Research Council; National Environmental Research Program; Marine Monitoring Program</t>
  </si>
  <si>
    <t>Australian Research Council(Australian Research Council); National Environmental Research Program; Marine Monitoring Program</t>
  </si>
  <si>
    <t>We acknowledge the Australian Research Council, the National Environmental Research Program, and the Marine Monitoring Program for funding and support. This paper greatly benefited from discussions with J. Lamb.</t>
  </si>
  <si>
    <t>0888-8892</t>
  </si>
  <si>
    <t>1523-1739</t>
  </si>
  <si>
    <t>CONSERV BIOL</t>
  </si>
  <si>
    <t>Conserv. Biol.</t>
  </si>
  <si>
    <t>10.1111/cobi.12576</t>
  </si>
  <si>
    <t>DC0WG</t>
  </si>
  <si>
    <t>WOS:000368938000016</t>
  </si>
  <si>
    <t>Araújo, FG; de Azevedo, MCC; Guedes, APP</t>
  </si>
  <si>
    <t>Araujo, Francisco Gerson; Costa de Azevedo, Marcia Cristina; Penha Guedes, Ana Paula</t>
  </si>
  <si>
    <t>Inter-decadal changes in fish communities of a tropical bay in southeastern Brazil</t>
  </si>
  <si>
    <t>Estuarine fishes; Biodiversity; Habitat heterogeneity; Richness; Long-term change; Bay</t>
  </si>
  <si>
    <t>SEPETIBA BAY; TEMPORAL VARIATION; BIODIVERSITY LOSS; WATER-QUALITY; ASSEMBLAGES; MARINE; ESTUARY; ABUNDANCE; TRENDS; DIVERSITY</t>
  </si>
  <si>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</si>
  <si>
    <t>[Araujo, Francisco Gerson; Costa de Azevedo, Marcia Cristina; Penha Guedes, Ana Paula] Univ Fed Rural Rio de Janeiro, Lab Ecol Peixes, BR 465,Km 7, BR-23851930 Seropedica, RJ, Brazil</t>
  </si>
  <si>
    <t>Universidade Federal Rural do Rio de Janeiro (UFRRJ)</t>
  </si>
  <si>
    <t>Araújo, FG (corresponding author), Univ Fed Rural Rio de Janeiro, Lab Ecol Peixes, BR 465,Km 7, BR-23851930 Seropedica, RJ, Brazil.</t>
  </si>
  <si>
    <t>gerson@ufrrj.br</t>
  </si>
  <si>
    <t>; Araújo, Francisco/O-4343-2014; Guedes, Ana/AAO-9848-2020</t>
  </si>
  <si>
    <t>Araújo, Francisco Gerson/0000-0003-4551-1974;</t>
  </si>
  <si>
    <t>CNPq-Brazilian National Agency for Scientific and Technological Development [304954/2011-0]</t>
  </si>
  <si>
    <t>CNPq-Brazilian National Agency for Scientific and Technological Development(Conselho Nacional de Desenvolvimento Cientifico e Tecnologico (CNPQ)Fundacao de Apoio a Pesquisa do Distrito Federal (FAPDF))</t>
  </si>
  <si>
    <t>We thank Antonio Gomes Cruz-Filho, Andre Luiz Machado Pessanha and Iracema David Gomes for helping in fieldwork. This work was partially supported by CNPq-Brazilian National Agency for Scientific and Technological Development (Grants for the first author, Process: 304954/2011-0).</t>
  </si>
  <si>
    <t>10.1016/j.rsma.2015.06.001</t>
  </si>
  <si>
    <t>FM1QS</t>
  </si>
  <si>
    <t>WOS:000414755500014</t>
  </si>
  <si>
    <t>Berndes, G; Ahlgren, S; Börjesson, P; Cowie, AL</t>
  </si>
  <si>
    <t>Lund, PD; Byrne, J; Berndes, G; Vasalos, IA</t>
  </si>
  <si>
    <t>Berndes, Goran; Ahlgren, Serina; Borjesson, Pal; Cowie, Annette L.</t>
  </si>
  <si>
    <t>Bioenergy and Land Use Change-State of the Art</t>
  </si>
  <si>
    <t>ADVANCES IN BIOENERGY: THE SUSTAINABILITY CHALLENGE</t>
  </si>
  <si>
    <t>GREENHOUSE-GAS EMISSIONS; BIOFUELS TESTING PREDICTIONS; CLIMATE-CHANGE MITIGATION; ENERGY WOOD PRODUCTION; NET PRIMARY PRODUCTION; CARBON-DIOXIDE; TRADE-OFFS; STOVER REMOVAL; FOOD SECURITY; NORWAY SPRUCE</t>
  </si>
  <si>
    <t>[Berndes, Goran; Borjesson, Pal] Chalmers Univ Technol, Dept Energy &amp; Environm, Phys Resource Theory, Gothenburg, Sweden; [Ahlgren, Serina] Lund Univ, Dept Technol &amp; Soc Environm &amp; Energy Syst Studies, Lund, Sweden; [Cowie, Annette L.] Univ New England, Rural Climate Solut, Armidale, NSW, Australia</t>
  </si>
  <si>
    <t>Chalmers University of Technology; Lund University; University of New England</t>
  </si>
  <si>
    <t>Berndes, G (corresponding author), Chalmers Univ Technol, Dept Energy &amp; Environm, Phys Resource Theory, Gothenburg, Sweden.</t>
  </si>
  <si>
    <t>goran.berndes@chalmers.se</t>
  </si>
  <si>
    <t>Cowie, Annette/E-1485-2016</t>
  </si>
  <si>
    <t>JOHN WILEY &amp; SONS LTD</t>
  </si>
  <si>
    <t>CHICHESTER</t>
  </si>
  <si>
    <t>THE ATRIUM, SOUTHERN GATE, CHICHESTER PO19 8SQ, WEST SUSSEX, ENGLAND</t>
  </si>
  <si>
    <t>978-1-118-95786-8; 978-1-118-95787-5</t>
  </si>
  <si>
    <t>10.1002/wene.41</t>
  </si>
  <si>
    <t>10.1002/9781118957844</t>
  </si>
  <si>
    <t>Agricultural Engineering; Green &amp; Sustainable Science &amp; Technology; Energy &amp; Fuels</t>
  </si>
  <si>
    <t>Agriculture; Science &amp; Technology - Other Topics; Energy &amp; Fuels</t>
  </si>
  <si>
    <t>BF8SA</t>
  </si>
  <si>
    <t>WOS:000385226400017</t>
  </si>
  <si>
    <t>Dixon, MJR; Loh, J; Davidson, NC; Beltrame, C; Freeman, R; Walpole, M</t>
  </si>
  <si>
    <t>Dixon, M. J. R.; Loh, J.; Davidson, N. C.; Beltrame, C.; Freeman, R.; Walpole, M.</t>
  </si>
  <si>
    <t>Tracking global change in ecosystem area: The Wetland Extent Trends index</t>
  </si>
  <si>
    <t>Wetland; Biodiversity; Indicator; Ramsar; Aichi Target; Ecosystem loss</t>
  </si>
  <si>
    <t>BIODIVERSITY INDICATORS; EARTH OBSERVATION; PROGRESS; DIVERSITY; CHINA</t>
  </si>
  <si>
    <t>We present a method for estimating broad trends in ecosystem area based on incomplete and heterogeneous data, developing a proof-of-concept for the first indicator of change in area of natural wetland, the Wetland Extent Trends (WET) index. We use a variation of the Living Planet Index method, which is used for measuring global trends in wild vertebrate species abundance. The analysis is based on a database containing 1100 wetland extent time-series records and the method identifies and addresses ecological and biogeographic biases in the dataset Globally, the natural WET index, excluding human-made wetlands, declined by about 30% on average between 1970 and 2008. Declines varied between regions from about 50% in Europe to about 17% in Oceania over the same period. The WET index fills an important gap in the ecosystem coverage of global biodiversity indicators and can track changes related to a number of current international policy objectives. The same method could be applied to other datasets to create indicators for other ecosystems with incomplete global data. (C) 2015 Elsevier Ltd. All rights reserved.</t>
  </si>
  <si>
    <t>[Dixon, M. J. R.; Walpole, M.] UNEP, WCMC, 219 Huntingdon Rd, Cambridge CB3 0DL, England; [Loh, J.] Univ Kent, Sch Anthropol &amp; Conservat, Canterbury CT2 7NR, Kent, England; [Davidson, N. C.] Charles Sturt Univ, Inst Land Water &amp; Soc, Albury, NSW, Australia; [Davidson, N. C.] Queens House,Ford St, Wigmore HR6 9UN, Herts, England; [Beltrame, C.] Tour Valat, F-13200 Arles, France; [Freeman, R.] Zool Soc London, Regents Pk, London NW1 4RY, England</t>
  </si>
  <si>
    <t>University of Kent; Charles Sturt University; Zoological Society of London</t>
  </si>
  <si>
    <t>Walpole, M (corresponding author), UNEP, WCMC, 219 Huntingdon Rd, Cambridge CB3 0DL, England.</t>
  </si>
  <si>
    <t>mjrdixon@icloud.com; jl590@kent.ac.uk; arenaria.interpres@gmail.com; beltrame@tourduvalat.org; Robin.Freeman@ioz.ac.uk; matt.walpole@unep-wcmc.org</t>
  </si>
  <si>
    <t>; Davidson, Nicholas/AAA-9921-2019; Freeman, Robin/JOZ-4393-2023</t>
  </si>
  <si>
    <t>Freeman, Robin/0000-0002-0560-8942; Dixon, Matthew/0000-0001-5020-7171; Davidson, Nick/0000-0002-2466-0658</t>
  </si>
  <si>
    <t>WCMC</t>
  </si>
  <si>
    <t>We thank the Ramsar Secretariat and WCMC for providing funding to develop the method, carry out data collection and analysis and prepare the paper for publication. In addition we thank Andy Arnell for his analysis of the GLWD and Mike Harfoot for his statistical advice. Fiona Danks, Neil Burgess, Eugenie Regan, Jenni Grossmann, Christian Perennou, Anis Guelmami, Roy Gardner and other members of the Ramsar Scientific and Technical Review Panel provided helpful comments at various stages of this work. We also thank the many authors that responded to our data search and to our anonymous reviewers.</t>
  </si>
  <si>
    <t>10.1016/j.biocon.2015.10.023</t>
  </si>
  <si>
    <t>DC1GB</t>
  </si>
  <si>
    <t>WOS:000368963700004</t>
  </si>
  <si>
    <t>Han, JJ; Li, LH; Chu, HS; Miao, Y; Chen, SP; Chen, JQ</t>
  </si>
  <si>
    <t>Han, Juanjuan; Li, Linghao; Chu, Housen; Miao, Yuan; Chen, Shiping; Chen, Jiquan</t>
  </si>
  <si>
    <t>The effects of grazing and watering on ecosystem CO2 fluxes vary by community phenology</t>
  </si>
  <si>
    <t>ENVIRONMENTAL RESEARCH</t>
  </si>
  <si>
    <t>Human disturbances; Phenology; Carbon; Desert steppe; Grazing; Water</t>
  </si>
  <si>
    <t>CARBON SEQUESTRATION; FLOWERING PHENOLOGY; CHANGING CLIMATE; PLANT-GROWTH; LAND-COVER; SOIL; EVAPOTRANSPIRATION; RESPIRATION; RESPONSES; DROUGHT</t>
  </si>
  <si>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</si>
  <si>
    <t>[Han, Juanjuan] Nanjing Univ Informat Sci &amp; Technol, Int Ctr Ecol Meteorol &amp; Environm, Nanjing 210044, Jiangsu, Peoples R China; [Han, Juanjuan; Li, Linghao; Chen, Shiping] Chinese Acad Sci, Inst Bot, Key Lab Vegetat &amp; Environm Change, Beijing 100093, Peoples R China; [Chen, Jiquan] Michigan State Univ, CGCEO Geog, E Lansing, MI 48824 USA; [Chu, Housen] Univ Calif Berkeley, Dept Environm Sci Policy &amp; Management, Berkeley, CA 94720 USA; [Miao, Yuan] Henan Univ, Coll Life Sci, China &amp; State Key Lab Cotton Biol, Key Lab Plant Stress Biol, Kaifeng 475004, Henan, Peoples R China</t>
  </si>
  <si>
    <t>Nanjing University of Information Science &amp; Technology; Chinese Academy of Sciences; Institute of Botany, CAS; Michigan State University; University of California System; University of California Berkeley; Henan University</t>
  </si>
  <si>
    <t>Chen, JQ (corresponding author), Michigan State Univ, CGCEO Geog, E Lansing, MI 48824 USA.</t>
  </si>
  <si>
    <t>jqchen@msu.edu</t>
  </si>
  <si>
    <t>Chu, Housen/Q-6517-2016; Li, Linghao/NXX-9139-2025; Chen, Shiping/AAH-9751-2019; Chen, Jiquan/D-1955-2009</t>
  </si>
  <si>
    <t>Chu, Housen/0000-0002-8131-4938; Chen, Jiquan/0000-0003-0761-9458;</t>
  </si>
  <si>
    <t>National Natural Science Foundation of China [31500403, 31229001]; NSF [1313761]; China Postdoctoral Science Foundation; Directorate For Geosciences; ICER [1313761] Funding Source: National Science Foundation; ICER; Directorate For Geosciences [1523628] Funding Source: National Science Foundation</t>
  </si>
  <si>
    <t>National Natural Science Foundation of China(National Natural Science Foundation of China (NSFC)); NSF(National Science Foundation (NSF)); China Postdoctoral Science Foundation(China Postdoctoral Science Foundation); Directorate For Geosciences; ICER(National Science Foundation (NSF)NSF - Directorate for Geosciences (GEO)); ICER; Directorate For Geosciences(National Science Foundation (NSF)NSF - Directorate for Geosciences (GEO))</t>
  </si>
  <si>
    <t>We thank Guodong Han for maintaining the grazing platform and constructive suggestions for phenological observation. We also thank to Gabriela Shirkey for language editing of the manuscript. Our research were supported by the National Natural Science Foundation of China (31500403, 31229001), the Dynamics of Coupled Natural and Human Systems (CNH) Program of the NSF (#1313761), and China Postdoctoral Science Foundation.</t>
  </si>
  <si>
    <t>ACADEMIC PRESS INC ELSEVIER SCIENCE</t>
  </si>
  <si>
    <t>SAN DIEGO</t>
  </si>
  <si>
    <t>525 B ST, STE 1900, SAN DIEGO, CA 92101-4495 USA</t>
  </si>
  <si>
    <t>0013-9351</t>
  </si>
  <si>
    <t>1096-0953</t>
  </si>
  <si>
    <t>ENVIRON RES</t>
  </si>
  <si>
    <t>Environ. Res.</t>
  </si>
  <si>
    <t>10.1016/j.envres.2015.09.002</t>
  </si>
  <si>
    <t>Environmental Sciences; Public, Environmental &amp; Occupational Health</t>
  </si>
  <si>
    <t>Environmental Sciences &amp; Ecology; Public, Environmental &amp; Occupational Health</t>
  </si>
  <si>
    <t>CY5JF</t>
  </si>
  <si>
    <t>WOS:000366443200007</t>
  </si>
  <si>
    <t>Knop, E</t>
  </si>
  <si>
    <t>Knop, Eva</t>
  </si>
  <si>
    <t>Biotic homogenization of three insect groups due to urbanization</t>
  </si>
  <si>
    <t>arthropods; Auchenorrhyncha; beta-diversity; biodiversity; Coleoptera; Heteroptera; nestedness; urbanization</t>
  </si>
  <si>
    <t>SPECIES RICHNESS; BETA-DIVERSITY; URBAN FLORAS; BIODIVERSITY; PATTERNS; SIMILARITY; TURNOVER; INVASION; DISTANCE; ECOLOGY</t>
  </si>
  <si>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</si>
  <si>
    <t>[Knop, Eva] Univ Bern, Dept Community Ecol, Inst Ecol &amp; Evolut, CH-3012 Bern, Switzerland</t>
  </si>
  <si>
    <t>University of Bern</t>
  </si>
  <si>
    <t>Knop, E (corresponding author), Univ Bern, Dept Community Ecol, Inst Ecol &amp; Evolut, Baltzerstr 6, CH-3012 Bern, Switzerland.</t>
  </si>
  <si>
    <t>evaknop@gmx.ch</t>
  </si>
  <si>
    <t>Knop, Eva/D-2298-2018</t>
  </si>
  <si>
    <t>Knop, Eva/0000-0001-9402-2216</t>
  </si>
  <si>
    <t>10.1111/gcb.13091</t>
  </si>
  <si>
    <t>DA7KL</t>
  </si>
  <si>
    <t>WOS:000367982900018</t>
  </si>
  <si>
    <t>Isobe, A; Uchida, K; Tokai, T; Iwasaki, S</t>
  </si>
  <si>
    <t>Isobe, Atsuhiko; Uchida, Keiichi; Tokai, Tadashi; Iwasaki, Shinsuke</t>
  </si>
  <si>
    <t>East Asian seas: A hot spot of pelagic microplastics</t>
  </si>
  <si>
    <t>Microplastics; Mesoplastics; Field survey; Total particle count</t>
  </si>
  <si>
    <t>MARINE-ENVIRONMENT; PLASTIC DEBRIS; PACIFIC-OCEAN; CHINA; TRANSPORT; BEACHES; IMPACT</t>
  </si>
  <si>
    <t>To investigate concentrations of pelagic micro- (&lt;5 mm in size) and mesoplastics (&gt;5 mm) in the East Asian seas around Japan, field surveys using two vessels were conducted concurrently in summer 2014. The total particle count (pieces km(-2)) was computed based on observed concentrations (pieces m(-3)) of small plastic fragments (both micro- and mesoplastics) collected using neuston nets. The total particle count of microplastics within the study area was 1,720,000 pieces km(-2), 16 times greater than in the North Pacific and 27 times greater than in the world oceans. The proportion of mesoplastics increased upstream of the northeastward ocean currents, such that the small plastic fragments collected in the present surveys were considered to have originated in the Yellow Sea and East China Sea southwest of the study area. (C) 2015 The Authors. Published by Elsevier Ltd.</t>
  </si>
  <si>
    <t>[Isobe, Atsuhiko; Iwasaki, Shinsuke] Kyushu Univ, Appl Mech Res Inst, Kasuga, Fukuoka 818580, Japan; [Uchida, Keiichi; Tokai, Tadashi] Tokyo Univ Marine Sci &amp; Technol, Dept Ocean Sci, Minato Ku, Tokyo 1088477, Japan</t>
  </si>
  <si>
    <t>Kyushu University; Tokyo University of Marine Science &amp; Technology</t>
  </si>
  <si>
    <t>Isobe, A (corresponding author), Kyushu Univ, Appl Mech Res Inst, 6-1 Kasuga Koen, Kasuga, Fukuoka 818580, Japan.</t>
  </si>
  <si>
    <t>aisobe@riam.kyushu-u.ac.jp; kuchida@kaiyodai.ac.jp; tokai@kaiyodai.ac.jp; iwasaki@riam.kyushu-u.ac.jp</t>
  </si>
  <si>
    <t>Isobe, Atsuhiko/G-4654-2015; Tokai, Tadashi/O-1882-2014</t>
  </si>
  <si>
    <t>Isobe, Atsuhiko/0000-0002-9063-9275; Tokai, Tadashi/0000-0003-2681-9527</t>
  </si>
  <si>
    <t>Ministry of the Environment, Japan; Environmental Research and Technology Development Fund of the Ministry of the Environment [4-1502]</t>
  </si>
  <si>
    <t>Ministry of the Environment, Japan(Ministry of the Environment, Japan); Environmental Research and Technology Development Fund of the Ministry of the Environment</t>
  </si>
  <si>
    <t>The authors sincerely thank Captain Akira Noda, Captain Toshifumi Hayashi, and the officers and crews of the T/V Umitaka-Maru and T/V Shinyo-Maru for their assistance during the field surveys and Ms. Sayaka Yamaguchi for her patience in measuring the small plastic fragments in the laboratory. Thanks are also extended to the journal reviewer for his/her help in improving the manuscript. Part of this research was supported by the Ministry of the Environment, Japan, and the Environmental Research and Technology Development Fund (4-1502) of the Ministry of the Environment.</t>
  </si>
  <si>
    <t>DEC 30</t>
  </si>
  <si>
    <t>10.1016/j.marpolbul.2015.10.042</t>
  </si>
  <si>
    <t>CZ4XY</t>
  </si>
  <si>
    <t>WOS:000367107600019</t>
  </si>
  <si>
    <t>Blackburn, TM; Dyer, E; Su, S; Cassey, P</t>
  </si>
  <si>
    <t>Blackburn, Tim M.; Dyer, Ellie; Su, Shan; Cassey, Phillip</t>
  </si>
  <si>
    <t>Long after the event, or four things we (should) know about bird invasions</t>
  </si>
  <si>
    <t>JOURNAL OF ORNITHOLOGY</t>
  </si>
  <si>
    <t>Article; Proceedings Paper</t>
  </si>
  <si>
    <t>26th International Ornithological Congress (IOC)</t>
  </si>
  <si>
    <t>AUG 18-24, 2014</t>
  </si>
  <si>
    <t>Rikkyo Univ, Tokyo, JAPAN</t>
  </si>
  <si>
    <t>Rikkyo Univ</t>
  </si>
  <si>
    <t>Alien; Bird; Colonization pressure; Enemy release hypothesis; Invasion; John Long; Propagule pressure</t>
  </si>
  <si>
    <t>PROPAGULE PRESSURE; ESTABLISHMENT SUCCESS; PASSERINE INTRODUCTIONS; HISTORICAL RECORDS; GLOBAL PATTERNS; PLANT INVASIONS; LIFE-HISTORY; SOIL BIOTA; FRAMEWORK; RELEASE</t>
  </si>
  <si>
    <t>The most significant single event in the study of alien bird invasions occurred in 1981, with the publication of John L. Long's seminal book ``Introduced birds of the world'' (full title: Introduced birds of the world: The worldwide history, distribution and influence of birds introduced to new environments''; David &amp; Charles Ltd., Newton Abbot, UK). The significance of this book derives not just from its content, but also from its timing, coincident with the 1982 Scientific Committee on Problems of the Environment (SCOPE) programme on the ecology of biological invasions. It was not long before studies started to appear that exploited the data in Long's book to address the questions posed by SCOPE regarding alien invasions. As a result, we arguably have a more complete understanding of the invasion process for birds than for any other taxon. Nevertheless, there are still some key issues in the study of bird invasions where understanding is not all it should be. The aim of this review is to highlight four of these issues by arguing that (1) we do not know half so much about bird invasions as we think; (2) propagule pressure promotes invasions; (3) colonization pressure matters; (4) there is no evidence that escape from parasites promotes alien (bird) invasions. We expect some of the views expressed to be controversial, and others less so, but either way we hope this paper will stimulate others to provide better evidence for-or against-our propositions.</t>
  </si>
  <si>
    <t>[Blackburn, Tim M.; Dyer, Ellie; Su, Shan] UCL, Ctr Biodivers &amp; Environm Res, Dept Genet Evolut &amp; Environm, London WC1E 6BT, England; [Blackburn, Tim M.; Dyer, Ellie; Su, Shan] Zool Soc London, Inst Zool, London NW1 4RY, England; [Blackburn, Tim M.; Cassey, Phillip] Univ Adelaide, Sch Biol Sci, Adelaide, SA 5005, Australia; [Blackburn, Tim M.] Univ Stellenbosch, Dept Bot &amp; Zool, Ctr Invas Biol, ZA-7600 Stellenbosch, South Africa; [Blackburn, Tim M.] King Saud Univ, Distinguished Scientist Fellowship Program, Riyadh 1145, Saudi Arabia</t>
  </si>
  <si>
    <t>University of London; University College London; Zoological Society of London; Adelaide University; University of Adelaide; Stellenbosch University; King Saud University</t>
  </si>
  <si>
    <t>Blackburn, TM (corresponding author), UCL, Ctr Biodivers &amp; Environm Res, Dept Genet Evolut &amp; Environm, Gower St, London WC1E 6BT, England.</t>
  </si>
  <si>
    <t>t.blackburn@ucl.ac.uk</t>
  </si>
  <si>
    <t>Blackburn, Tim/AAC-3144-2019</t>
  </si>
  <si>
    <t>Dyer, Ellie/0000-0001-5331-4490</t>
  </si>
  <si>
    <t>King Saud University Distinguished Scientist Fellowship Program; ARC [DP140102319]; Future Fellowship [FT0991420]</t>
  </si>
  <si>
    <t>King Saud University Distinguished Scientist Fellowship Program(King Saud University); ARC(Australian Research Council); Future Fellowship(Australian Research Council)</t>
  </si>
  <si>
    <t>We thank the organizing committee of the 26th International Ornithological Congress for the opportunity to present our work, and two anonymous referees for their helpful comments on an earlier version of the paper. This study was supported by the King Saud University Distinguished Scientist Fellowship Program (TMB), and by an ARC Discovery Grant (DP140102319) and Future Fellowship (FT0991420) to PC.</t>
  </si>
  <si>
    <t>SPRINGER HEIDELBERG</t>
  </si>
  <si>
    <t>HEIDELBERG</t>
  </si>
  <si>
    <t>TIERGARTENSTRASSE 17, D-69121 HEIDELBERG, GERMANY</t>
  </si>
  <si>
    <t>2193-7192</t>
  </si>
  <si>
    <t>2193-7206</t>
  </si>
  <si>
    <t>J ORNITHOL</t>
  </si>
  <si>
    <t>J. Ornithol.</t>
  </si>
  <si>
    <t>S15</t>
  </si>
  <si>
    <t>S25</t>
  </si>
  <si>
    <t>10.1007/s10336-015-1155-z</t>
  </si>
  <si>
    <t>Science Citation Index Expanded (SCI-EXPANDED); Conference Proceedings Citation Index - Science (CPCI-S)</t>
  </si>
  <si>
    <t>CZ9ZT</t>
  </si>
  <si>
    <t>WOS:000367457200003</t>
  </si>
  <si>
    <t>Burke, M; Hsiang, SM; Miguel, E</t>
  </si>
  <si>
    <t>Burke, Marshall; Hsiang, Solomon M.; Miguel, Edward</t>
  </si>
  <si>
    <t>Global non-linear effect of temperature on economic production</t>
  </si>
  <si>
    <t>MODELS</t>
  </si>
  <si>
    <t>Growing evidence demonstrates that climatic conditions can have a profound impact on the functioning of modern human societies(1,2), but effects on economic activity appear inconsistent. Fundamental productive elements of modern economies, such as workers and crops, exhibit highly non-linear responses to local temperature even in wealthy countries(3,4). In contrast, aggregate macroeconomic productivity of entire wealthy countries is reported not to respond to temperature(5), while poor countries respond only linearly(5,6). Resolving this conflict between micro and macro observations is critical to understanding the role of wealth in coupled human-natural systems(7,8) and to anticipating the global impact of climate change(9,10). Here we unify these seemingly contradictory results by accounting for non-linearity at the macro scale. We show that overall economic productivity is non-linear in temperature for all countries, with productivity peaking at an annual average temperature of 13 degrees C and declining strongly at higher temperatures. The relationship is globally generalizable, unchanged since 1960, and apparent for agricultural and non-agricultural activity in both rich and poor countries. These results provide the first evidence that economic activity in all regions is coupled to the global climate and establish a new empirical foundation for modelling economic loss in response to climate change(11,12), with important implications. If future adaptation mimics past adaptation, unmitigated warming is expected to reshape the global economy by reducing average global incomes roughly 23% by 2100 and widening global income inequality, relative to scenarios without climate change. In contrast to prior estimates, expected global losses are approximately linear in global mean temperature, with median losses many times larger than leading models indicate.</t>
  </si>
  <si>
    <t>[Burke, Marshall] Stanford Univ, Dept Earth Syst Sci, Stanford, CA 94305 USA; [Burke, Marshall] Stanford Univ, Ctr Food Secur &amp; Environm, Stanford, CA 94305 USA; [Hsiang, Solomon M.] Univ Calif Berkeley, Goldman Sch Publ Policy, Berkeley, CA 94720 USA; [Hsiang, Solomon M.; Miguel, Edward] Univ Calif Berkeley, Natl Bur Econ Res, Berkeley, CA 94720 USA; [Miguel, Edward] Univ Calif Berkeley, Dept Econ, Berkeley, CA 94720 USA</t>
  </si>
  <si>
    <t>Stanford University; Stanford University; University of California System; University of California Berkeley; University of California System; University of California Berkeley; National Bureau of Economic Research; University of California System; University of California Berkeley</t>
  </si>
  <si>
    <t>Burke, M (corresponding author), Stanford Univ, Dept Earth Syst Sci, Stanford, CA 94305 USA.</t>
  </si>
  <si>
    <t>mburke@stanford.edu</t>
  </si>
  <si>
    <t>Miguel, Edward/AGZ-9405-2022</t>
  </si>
  <si>
    <t>Miguel, Edward/0000-0001-6927-709X; Burke, Marshall/0000-0003-4288-5858</t>
  </si>
  <si>
    <t>NOV 12</t>
  </si>
  <si>
    <t>10.1038/nature15725</t>
  </si>
  <si>
    <t>CV6RC</t>
  </si>
  <si>
    <t>WOS:000364396700045</t>
  </si>
  <si>
    <t>Alexander, P; Rounsevell, MDA; Dislich, C; Dodson, JR; Engström, K; Moran, D</t>
  </si>
  <si>
    <t>Alexander, Peter; Rounsevell, Mark D. A.; Dislich, Claudia; Dodson, Jennifer R.; Engstroem, Kerstin; Moran, Dominic</t>
  </si>
  <si>
    <t>Drivers for global agricultural land use change: The nexus of diet, population, yield and bioenergy</t>
  </si>
  <si>
    <t>GLOBAL ENVIRONMENTAL CHANGE-HUMAN AND POLICY DIMENSIONS</t>
  </si>
  <si>
    <t>Land use; Dietary patterns; Land displacement; Food security</t>
  </si>
  <si>
    <t>FOOD SECURITY; CROP YIELD; GLOBALIZATION; EMISSIONS; FEED; MEAT; INTENSIFICATION; DISPLACEMENT; CONSUMPTION; BIOFUELS</t>
  </si>
  <si>
    <t>The nexus of population growth and changing diets has increased the demands placed on agriculture to supply food for human consumption, animal feed and fuel. Rising incomes lead to dietary changes, from staple crops, towards commodities with greater land requirements, e.g. meat and dairy products. Despite yield improvements partially offsetting increases in demand, agricultural land has still been expanding, causing potential harm to ecosystems, e.g. through deforestation. We use country-level panel data (1961-2011) to allocate the land areas used to produce food for human consumption, waste and biofuels, and to attribute the food production area changes to diet, population and yields drivers. The results show that the production of animal products dominates agricultural land use and land use change over the 50-year period, accounting for 65% of land use change. The rate of extensification of animal production was found to have reduced more recently, principally due to the smaller effect of population growth. The area used for bioenergy was shown to be relatively small, but formed a substantial contribution (36%) to net agricultural expansion in the most recent period. Nevertheless, in comparison to dietary shifts in animal products, bioenergy accounted for less than a tenth of the increase in demand for agricultural land. Population expansion has been the largest driver for agricultural land use change, but dietary changes are a significant and growing driver. China was a notable exception, where dietary transitions dominate food consumption changes, due to rapidly rising incomes. This suggests that future dietary changes will become the principal driver for land use change, pointing to the potential need for demand-side measures to regulate agricultural expansion. (C) 2015 Elsevier Ltd. All rights reserved.</t>
  </si>
  <si>
    <t>[Alexander, Peter; Rounsevell, Mark D. A.] Univ Edinburgh, Sch GeoSci, Edinburgh EH8 9XP, Midlothian, Scotland; [Alexander, Peter; Moran, Dominic] SRUC, Land Econ &amp; Environm Res Grp, Edinburgh EH9 3JG, Midlothian, Scotland; [Dislich, Claudia] Univ Gottingen, Dept Ecosyst Modelling, D-37077 Gottingen, Germany; [Dislich, Claudia] UFZ Helmholtz Ctr Environm Res, Dept Ecol Modelling, Leipzig, Germany; [Dodson, Jennifer R.] Univ York, Dept Chem, Green Chem Ctr Excellence, York YO10 5DD, N Yorkshire, England; [Engstroem, Kerstin] Lund Univ, Dept Geog &amp; Ecosyst Sci, Lund, Sweden</t>
  </si>
  <si>
    <t>University of Edinburgh; University of Gottingen; Helmholtz Association; Helmholtz Center for Environmental Research (UFZ); University of York - UK; Lund University</t>
  </si>
  <si>
    <t>Alexander, P (corresponding author), Univ Edinburgh, Sch GeoSci, Drummond St, Edinburgh EH8 9XP, Midlothian, Scotland.</t>
  </si>
  <si>
    <t>peter.alexander@ed.ac.uk</t>
  </si>
  <si>
    <t>; Alexander, Peter/AGE-8260-2022; Rounsevell, Mark/AAC-4498-2021</t>
  </si>
  <si>
    <t>Alexander, Peter/0000-0001-6010-1186; Rounsevell, Mark/0000-0001-7476-9398;</t>
  </si>
  <si>
    <t>EU FP7 project LUC4C; Scottish Government Rural and Environmental Science and Analytical Services division through ClimatexChange; Deutsche Forschungsgemeinschaft (DFG) in the framework of the collaborative German-Indonesian project EFFORTS [CRC990]; EPSRC; Future Earth</t>
  </si>
  <si>
    <t>EU FP7 project LUC4C(European Union (EU)); Scottish Government Rural and Environmental Science and Analytical Services division through ClimatexChange; Deutsche Forschungsgemeinschaft (DFG) in the framework of the collaborative German-Indonesian project EFFORTS(German Research Foundation (DFG)); EPSRC(UK Research &amp; Innovation (UKRI)Engineering &amp; Physical Sciences Research Council (EPSRC)); Future Earth</t>
  </si>
  <si>
    <t>The research was supported by the EU FP7 project LUC4C. We acknowledge the financial support of the Scottish Government Rural and Environmental Science and Analytical Services division through ClimatexChange. CD acknowledges financial support from the Deutsche Forschungsgemeinschaft (DFG) in the framework of the collaborative German-Indonesian project EFFORTS (CRC990). JRD acknowledges financial support from the EPSRC. We acknowledge the funding of Future Earth to attend the 2014 Networking Conference on Integrated Science.</t>
  </si>
  <si>
    <t>0959-3780</t>
  </si>
  <si>
    <t>1872-9495</t>
  </si>
  <si>
    <t>GLOBAL ENVIRON CHANG</t>
  </si>
  <si>
    <t>Glob. Environ. Change-Human Policy Dimens.</t>
  </si>
  <si>
    <t>10.1016/j.gloenvcha.2015.08.011</t>
  </si>
  <si>
    <t>Environmental Sciences; Environmental Studies; Geography</t>
  </si>
  <si>
    <t>Environmental Sciences &amp; Ecology; Geography</t>
  </si>
  <si>
    <t>CZ0AI</t>
  </si>
  <si>
    <t>WOS:000366767100014</t>
  </si>
  <si>
    <t>Banger, K; Tian, HQ; Tao, B; Ren, W; Pan, SF; Dangal, S; Yang, J</t>
  </si>
  <si>
    <t>Banger, Kamaljit; Tian, Hanqin; Tao, Bo; Ren, Wei; Pan, Shufen; Dangal, Shree; Yang, Jia</t>
  </si>
  <si>
    <t>Terrestrial net primary productivity in India during 1901-2010: contributions from multiple environmental changes</t>
  </si>
  <si>
    <t>CLIMATIC CHANGE</t>
  </si>
  <si>
    <t>CARBON STORAGE; TROPOSPHERIC OZONE; CLIMATE-CHANGE; AMAZONIAN ECOSYSTEMS; PLANT RESPIRATION; SATELLITE DATA; SURFACE OZONE; GLOBAL CHANGE; MONSOON ASIA; SOIL QUALITY</t>
  </si>
  <si>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</si>
  <si>
    <t>[Banger, Kamaljit; Tian, Hanqin; Tao, Bo; Ren, Wei; Pan, Shufen; Dangal, Shree; Yang, Jia] Auburn Univ, Sch Forestry &amp; Wildlife Sci, Int Ctr Climate &amp; Global Change Res, Auburn, AL 36849 USA</t>
  </si>
  <si>
    <t>Auburn University System; Auburn University</t>
  </si>
  <si>
    <t>Tian, HQ (corresponding author), Auburn Univ, Sch Forestry &amp; Wildlife Sci, Int Ctr Climate &amp; Global Change Res, Auburn, AL 36849 USA.</t>
  </si>
  <si>
    <t>tianhan@auburn.edu</t>
  </si>
  <si>
    <t>Yang, Jia/A-6483-2012; Tian, Hanqin/A-6484-2012; Ren, Wei/G-8317-2016; Pan, Shufen/JJC-1864-2023; Dangal, Shree/N-3393-2015; Banger, Kamaljit/B-3215-2016</t>
  </si>
  <si>
    <t>Pan, Shufen/0000-0001-7920-1427; Tian, Hanqin/0000-0002-1806-4091;</t>
  </si>
  <si>
    <t>NASA Land Cover and Land Use Change Program [NNX08AL73G]; US National Science Foundation [AGS-1243232, CNS-1059376]; NASA [NNX08AL73G, 98551] Funding Source: Federal RePORTER</t>
  </si>
  <si>
    <t>NASA Land Cover and Land Use Change Program(National Aeronautics &amp; Space Administration (NASA)); US National Science Foundation(National Science Foundation (NSF)); NASA(National Aeronautics &amp; Space Administration (NASA))</t>
  </si>
  <si>
    <t>This study has been supported by NASA Land Cover and Land Use Change Program (NNX08AL73G) and US National Science Foundation Grants (AGS-1243232, CNS-1059376).</t>
  </si>
  <si>
    <t>0165-0009</t>
  </si>
  <si>
    <t>1573-1480</t>
  </si>
  <si>
    <t>Clim. Change</t>
  </si>
  <si>
    <t>OCT</t>
  </si>
  <si>
    <t>10.1007/s10584-015-1448-5</t>
  </si>
  <si>
    <t>CS1CC</t>
  </si>
  <si>
    <t>WOS:000361799100009</t>
  </si>
  <si>
    <t>Bernhardt-Römermann, M; Baeten, L; Craven, D; De Frenne, P; Hédl, R; Lenoir, J; Bert, D; Brunet, J; Chudomelová, M; Decocq, G; Dierschke, H; Dirnböck, T; Dörfler, I; Heinken, T; Hermy, M; Hommel, P; Jaroszewicz, B; Keczynski, A; Kelly, DL; Kirby, KJ; Kopecky, M; Macek, M; Mális, F; Mirtl, M; Mitchell, FJG; Naaf, T; Newman, M; Peterken, G; Petrík, P; Schmidt, W; Standovár, T; Tóth, Z; Van Calster, H; Verstraeten, G; Vladovic, J; Vild, O; Wulf, M; Verheyen, K</t>
  </si>
  <si>
    <t>Bernhardt-Roemermann, Markus; Baeten, Lander; Craven, Dylan; De Frenne, Pieter; Hedl, Radim; Lenoir, Jonathan; Bert, Didier; Brunet, Jorg; Chudomelova, Marketa; Decocq, Guillaume; Dierschke, Hartmut; Dirnboeck, Thomas; Doerfler, Inken; Heinken, Thilo; Hermy, Martin; Hommel, Patrick; Jaroszewicz, Bogdan; Keczynski, Andrzej; Kelly, Daniel L.; Kirby, Keith J.; Kopecky, Martin; Macek, Martin; Malis, Frantisek; Mirtl, Michael; Mitchell, Fraser J. G.; Naaf, Tobias; Newman, Miles; Peterken, George; Petrik, Petr; Schmidt, Wolfgang; Standovar, Tibor; Toth, Zoltan; Van Calster, Hans; Verstraeten, Gorik; Vladovic, Jozef; Vild, Ondrej; Wulf, Monika; Verheyen, Kris</t>
  </si>
  <si>
    <t>Drivers of temporal changes in temperate forest plant diversity vary across spatial scales</t>
  </si>
  <si>
    <t>atmospheric nitrogen deposition; evenness; forestREplot; forest management; game browsing; Shannon diversity; spatiotemporal resurvey data; species richness</t>
  </si>
  <si>
    <t>CLIMATE-CHANGE IMPACTS; NITROGEN DEPOSITION; DECIDUOUS FOREST; HERBACEOUS LAYER; BIODIVERSITY CHANGE; COMMUNITY CHANGES; SPECIES RICHNESS; METAANALYSIS; VEGETATION; WOODLAND</t>
  </si>
  <si>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</si>
  <si>
    <t>[Bernhardt-Roemermann, Markus] Univ Jena, Inst Ecol, D-07743 Jena, Germany; [Baeten, Lander; De Frenne, Pieter; Verstraeten, Gorik; Verheyen, Kris] Univ Ghent, Forest &amp; Nat Lab, B-9090 Gontrode Melle, Belgium; [Baeten, Lander] Univ Ghent, Terr Ecol Unit, Dept Biol, B-9000 Ghent, Belgium; [Craven, Dylan] German Ctr Integrat Biodivers Res iDiv, Synth Ctr Biodivers Sci sDiv, D-04103 Leipzig, Germany; [Craven, Dylan] Univ Leipzig, Inst Biol, D-04103 Leipzig, Germany; [Hedl, Radim; Chudomelova, Marketa; Kopecky, Martin; Vild, Ondrej] Acad Sci Czech Republ, Inst Bot, Dept Vegetat Ecol, CZ-60200 Brno, Czech Republic; [Hedl, Radim] Palacky Univ, Dept Bot, Fac Sci, CZ-78371 Olomouc, Czech Republic; [Lenoir, Jonathan; Decocq, Guillaume] Jules Verne Univ Picardie, EDYSAN, FRE CNRS UPJV 3498, Ecol &amp; Dynam Syst Anthropises, F-80037 Amiens, France; [Bert, Didier] INRA, UMR BIOGECO 1202, F-33610 Cestas, France; [Bert, Didier] Univ Bordeaux, BIOGECO, UMR1202, F-33615 Pessac, France; [Brunet, Jorg] Swedish Univ Agr Sci, Southern Swedish Forest Res Ctr, S-23053 Alnarp, Sweden; [Chudomelova, Marketa; Vild, Ondrej] Masaryk Univ, Dept Bot &amp; Zool, CZ-61137 Brno, Czech Republic; [Dierschke, Hartmut] Univ Gottingen, Albrecht von Haller Inst Plant Sci, Dept Vegetat &amp; Phytodivers Anal, D-37073 Gottingen, Germany; [Dirnboeck, Thomas; Mirtl, Michael] Environm Agcy Austria, Ecosyst Res &amp; Environm Informat Management, A-1090 Vienna, Austria; [Doerfler, Inken] Tech Univ Munich, Dept Ecol &amp; Ecosyst management, D-85350 Freising Weihenstephan, Germany; [Heinken, Thilo] Univ Potsdam, Inst Biochem &amp; Biol, Biodivers Res Systemat Bot, D-14471 Potsdam, Germany; [Hermy, Martin] Katholieke Univ Leuven, Dept Earth &amp; Environm Sci, Div Forest Nat &amp; Landscape, B-3001 Louvain, Belgium; [Hommel, Patrick] Wageningen UR, Alterra Res Inst, NL-6700 AA Wageningen, Netherlands; [Jaroszewicz, Bogdan] Univ Warsaw, Bialowieza Geobot Stn, Fac Biol, PL-17230 Bialowieza, Poland; [Keczynski, Andrzej] Bialowieza Natl Pk, PL-17230 Bialowieza, Poland; [Kelly, Daniel L.; Mitchell, Fraser J. G.; Newman, Miles] Univ Dublin Trinity Coll, Sch Nat Sci, Dept Bot, Dublin 2, Ireland; [Kelly, Daniel L.; Mitchell, Fraser J. G.; Newman, Miles] Univ Dublin Trinity Coll, Sch Nat Sci, Trinity Ctr Biodivers Res, Dublin 2, Ireland; [Kirby, Keith J.] Univ Oxford, Dept Plant Sci, Oxford OX1 3RB, England; [Macek, Martin; Petrik, Petr] Acad Sci Czech Republ, Inst Bot, Dept GIS &amp; Remote Sensing, CZ-25243 Pruhonice, Czech Republic; [Malis, Frantisek] Tech Univ Zvolen, Fac Forestry, SK-96053 Zvolen, Slovakia; [Malis, Frantisek; Vladovic, Jozef] Forest Res Inst Zvolen, Natl Forest Ctr, SK-96052 Zvolen, Slovakia; [Naaf, Tobias; Wulf, Monika] Leibniz Ctr Agr Landscape Res ZALF, Inst Land Use Syst, D-15374 Muncheberg, Germany; [Schmidt, Wolfgang] Univ Gottingen, Burckhardt Inst, Dept Silviculture &amp; Forest Ecol Temperate Zones, D-37077 Gottingen, Germany; [Standovar, Tibor; Toth, Zoltan] Eotvos Lorand Univ, Inst Biol, Dept Plant Systemat Ecol &amp; Theoret Biol, H-1117 Budapest, Hungary; [Van Calster, Hans] Res Inst Nat &amp; Forest, B-1070 Brussels, Belgium; [Wulf, Monika] Univ Potsdam, Inst Biochem &amp; Biol, D-14469 Potsdam, Germany</t>
  </si>
  <si>
    <t>Friedrich Schiller University of Jena; Ghent University; Ghent University; German Research Foundation (DFG); German Centre for Integrative Biodiversity Research (iDiv); Leipzig University; Czech Academy of Sciences; Institute of Botany of the Czech Academy of Sciences; Palacky University Olomouc; Universite de Picardie Jules Verne (UPJV); INRAE; Universite de Bordeaux; Swedish University of Agricultural Sciences; Masaryk University; University of Gottingen; Technical University of Munich; University of Potsdam; KU Leuven; Wageningen University &amp; Research; University of Warsaw; Trinity College Dublin; Trinity College Dublin; University of Oxford; Czech Academy of Sciences; Institute of Botany of the Czech Academy of Sciences; Technical University Zvolen; National Forest Center - Slovakia; Leibniz Association; Leibniz Zentrum fur Agrarlandschaftsforschung (ZALF); University of Gottingen; Eotvos Lorand University; Research Institute for Nature &amp; Forest; University of Potsdam</t>
  </si>
  <si>
    <t>Bernhardt-Römermann, M (corresponding author), Univ Jena, Inst Ecol, Dornburger Str 159, D-07743 Jena, Germany.</t>
  </si>
  <si>
    <t>markus.bernhardt@uni-jena.de</t>
  </si>
  <si>
    <t>Máliš, František/R-8687-2016; Brunet, Jörg/B-3583-2012; Jaroszewicz, Bogdan/AAC-8184-2020; Chudomelová, Markéta/KFS-0934-2024; Standovár, Tibor/H-5021-2017; Naaf, Tobias/AAS-7183-2020; Hédl, Radim/A-5631-2011; Bernhardt-Römermann, Markus/B-3027-2009; Macek, Martin/A-3371-2016; Bert, Didier/JZE-3544-2024; Mitchell, Fraser/L-9292-2014; Malis, Frantisek/AAD-5364-2019; Lenoir, Jonathan/AAE-8441-2019; Vild, Ondřej/AAC-4043-2019; Heinken, Thilo/GRS-3133-2022; De Frenne, Pieter/N-4969-2014; Kopecký, Martin/A-1466-2009; Petřík, Petr/H-1649-2014; Baeten, Lander/G-1490-2010; Mirtl, Michael/LEM-0818-2024; Craven, Dylan/K-2717-2012</t>
  </si>
  <si>
    <t>Máliš, František/0000-0003-2760-6988; Verheyen, Kris/0000-0002-2067-9108; Dirnböck, Thomas/0000-0002-8294-0690; Naaf, Tobias/0000-0002-4809-3694; Van Calster, Hans/0000-0001-8595-8426; Vild, Ondřej/0000-0002-0728-2392; Macek, Martin/0000-0002-5609-5921; Mitchell, Fraser/0000-0002-9857-5632; Jaroszewicz, Bogdan/0000-0002-2042-8245; De Frenne, Pieter/0000-0002-8613-0943; Kopecký, Martin/0000-0002-1018-9316; Petřík, Petr/0000-0001-8518-6737; Chudomelová, Markéta/0000-0001-7845-4000; Baeten, Lander/0000-0003-4262-9221; Craven, Dylan/0000-0003-3940-833X</t>
  </si>
  <si>
    <t>European Research Council under European Union's Seventh Framework Program - ERC Grant [278065]; Ministry of Education of the Czech Republic [CZ.1.07/2.3.00/20.0267]; ERC Consolidator Grant [614839 - PASTFORWARD]; National Parks &amp; Wildlife Service of Government of Ireland; German Centre for Integrative Biodiversity Research (iDiv) Halle-Jena-Leipzig - German Science Foundation [FZT 118]; [RVO 67985939]</t>
  </si>
  <si>
    <t>European Research Council under European Union's Seventh Framework Program - ERC Grant(European Research Council (ERC)); Ministry of Education of the Czech Republic(Ministry of Education, Youth &amp; Sports - Czech Republic); ERC Consolidator Grant(European Research Council (ERC)); National Parks &amp; Wildlife Service of Government of Ireland; German Centre for Integrative Biodiversity Research (iDiv) Halle-Jena-Leipzig - German Science Foundation;</t>
  </si>
  <si>
    <t>YY The research of RH, MC, MK, FM, MM, PP, and OV has received funding from the European Research Council under the European Union's Seventh Framework Program (FP7/2007-2013) - ERC Grant agreement no. 278065, long-term research development project no. RVO 67985939, and grant no. CZ.1.07/2.3.00/20.0267 of the Ministry of Education of the Czech Republic. The research of KV is supported by the ERC Consolidator Grant 614839 - PASTFORWARD. The research of DLK, FJGM, and MN has been supported by the National Parks &amp; Wildlife Service of the Government of Ireland. DC was supported by the German Centre for Integrative Biodiversity Research (iDiv) Halle-Jena-Leipzig, funded by the German Science Foundation (FZT 118). We thank Germund Tyler and Johnny Cornelis for providing data.</t>
  </si>
  <si>
    <t>10.1111/gcb.12993</t>
  </si>
  <si>
    <t>CR0FS</t>
  </si>
  <si>
    <t>WOS:000360994500014</t>
  </si>
  <si>
    <t>Williams, R; Wright, AJ; Ashe, E; Blight, LK; Bruintjes, R; Canessa, R; Clark, CW; Cullis-Suzuki, S; Dakin, DT; Erbe, C; Hammond, PS; Merchant, ND; O'Hara, PD; Purser, J; Radford, AN; Simpson, SD; Thomas, L; Wale, MA</t>
  </si>
  <si>
    <t>Williams, R.; Wright, A. J.; Ashe, E.; Blight, L. K.; Bruintjes, R.; Canessa, R.; Clark, C. W.; Cullis-Suzuki, S.; Dakin, D. T.; Erbe, C.; Hammond, P. S.; Merchant, N. D.; O'Hara, P. D.; Purser, J.; Radford, A. N.; Simpson, S. D.; Thomas, L.; Wale, M. A.</t>
  </si>
  <si>
    <t>Impacts of anthropogenic noise on marine life: Publication patterns, new discoveries, and future directions in research and management</t>
  </si>
  <si>
    <t>OCEAN &amp; COASTAL MANAGEMENT</t>
  </si>
  <si>
    <t>International Marine Conservation Congress (IMCC3)</t>
  </si>
  <si>
    <t>AUG 14-18, 2014</t>
  </si>
  <si>
    <t>Glasgow, SCOTLAND</t>
  </si>
  <si>
    <t>Anthropogenic; Conservation; Ecology; Marine; Ocean noise; Policy; Shipping</t>
  </si>
  <si>
    <t>PREY ABUNDANCE; OCEAN NOISE; SHIP NOISE; DISTURBANCE; CETACEANS; SOUND; RESPONSES; SURVIVAL; MAMMALS; WHALES</t>
  </si>
  <si>
    <t>Anthropogenic underwater noise is now recognized as a world-wide problem, and recent studies have shown a broad range of negative effects in a variety of taxa. Underwater noise from shipping is increasingly recognized as a significant and pervasive pollutant with the potential to impact marine ecosystems on a global scale. We reviewed six regional case studies as examples of recent research and management activities relating to ocean noise in a variety of taxonomic groups, locations, and approaches. However, as no six projects could ever cover all taxa, sites and noise sources, a brief bibliometric analysis places these case studies into the broader historical and topical context of the peer-reviewed ocean noise literature as a whole. The case studies highlighted emerging knowledge of impacts, including the ways that non-injurious effects can still accumulate at the population level, and detailed approaches to guide ocean noise management. They build a compelling case that a number of anthropogenic noise types can affect a variety of marine taxa. Meanwhile, the bibliometric analyses revealed an increasing diversity of ocean noise topics covered and journal outlets since the 1940s. This could be seen in terms of both the expansion of the literature from more physical interests to ecological impacts of noise, management and policy, and consideration of a widening range of taxa. However, if our scientific knowledge base is ever to get ahead of the curve of rapid industrialization of the ocean, we are going to have to identify naive populations and relatively pristine seas, and construct mechanistic models, so that we can predict impacts before they occur, and guide effective mitigation for the most vulnerable populations. (C) 2015 Elsevier Ltd.</t>
  </si>
  <si>
    <t>[Williams, R.; Ashe, E.; Hammond, P. S.] Univ St Andrews, Scottish Oceans Inst, Sea Mammal Res Unit, St Andrews KY16 8LB, Fife, Scotland; [Williams, R.; Ashe, E.] Oceans Initiat, Pearse Isl, BC V0N 1A0, Canada; [Wright, A. J.] George Mason Univ, Dept Environm Sci &amp; Policy, Fairfax, VA 22030 USA; [Blight, L. K.] Procellaria Res &amp; Consulting, Victoria, BC V9A 5C3, Canada; [Bruintjes, R.; Simpson, S. D.] Univ Exeter, Coll Life &amp; Environm Sci, Biosci, Exeter EX4 4QD, Devon, England; [Canessa, R.] Univ Victoria, Dept Geog, Victoria, BC V8W 3R4, Canada; [Clark, C. W.] Cornell Univ, Bioacoust Res Program, Ithaca, NY 14850 USA; [Cullis-Suzuki, S.] Univ York, Dept Environm, York YO10 5DD, N Yorkshire, England; [Dakin, D. T.] Univ Victoria, Ocean Networks Canada, Victoria, BC V8W 2Y2, Canada; [Erbe, C.] Curtin Univ, Ctr Marine Sci &amp; Technol, Perth, WA 6102, Australia; [Merchant, N. D.] Ctr Environm Fisheries &amp; Aquaculture Sci Cefas, Lowestoft NR33 0HT, Suffolk, England; [O'Hara, P. D.] Environm Canada, Inst Ocean Sci, Canadian Wildlife Serv, Sidney, BC V8L 4B2, Canada; [Purser, J.; Radford, A. N.] Univ Bristol, Sch Biol Sci, Bristol BS8 1TQ, Avon, England; [Thomas, L.] Univ St Andrews, Ctr Res Ecol &amp; Environm Modelling, St Andrews KY16 9LZ, Fife, Scotland; [Thomas, L.] Univ St Andrews, Sch Math &amp; Stat, St Andrews KY16 9LZ, Fife, Scotland; [Wale, M. A.] Edinburgh Napier Univ, Sch Life Sport &amp; Social Sci, Edinburgh EH11 4BN, Midlothian, Scotland</t>
  </si>
  <si>
    <t>University of St Andrews; George Mason University; University of Exeter; University of Victoria; Cornell University; University of York - UK; University of Victoria; Curtin University; Centre for Environment Fisheries &amp; Aquaculture Science; Environment &amp; Climate Change Canada; Canadian Wildlife Service; University of Bristol; University of St Andrews; University of St Andrews; Edinburgh Napier University</t>
  </si>
  <si>
    <t>Williams, R (corresponding author), Univ St Andrews, Scottish Oceans Inst, Sea Mammal Res Unit, St Andrews KY16 8LB, Fife, Scotland.</t>
  </si>
  <si>
    <t>rmcw@st-andrews.ac.uk</t>
  </si>
  <si>
    <t>; Simpson, Stephen/KZU-8465-2024; Wale, Matthew/NXY-3976-2025; Purser, Julia/C-2538-2013; Willia, Rob/C-5882-2011; Erbe, Christine/AAA-3801-2021; Wright, Andrew/HDM-9615-2022; Clark, Chris/B-6471-2008; Thomas, Len/JQI-5425-2023; Merchant, Nathan/B-7007-2015; Williams, Rob/C-5882-2011</t>
  </si>
  <si>
    <t>Hammond, Philip/0000-0002-2381-8302; Simpson, Stephen J/0000-0003-0256-7687; Thomas, Len/0000-0002-7436-067X; Wale, Matthew/0000-0002-0293-3635; Simpson, Stephen/0000-0002-4856-6164; Willia, Rob/0000-0001-7496-453X; Radford, Anew N/0000-0001-5470-3463; Wright, Anew/0000-0002-8718-8143; Ashe, Erin/0000-0001-9918-1419; Erbe, Christine/0000-0002-7884-9907;</t>
  </si>
  <si>
    <t>UK Department for Environment Food and Rural Affairs (Defra); Ocean Networks Canada; European Community [PIIF-GA-2009-253407]; Society for Conservation Biology (SCB) Marine Section; International Whaling Commission's Climate Change steering group; SCB Marine Section; WWF Canada; Natural Environment Research Council [smru10001, NE/J500616/2] Funding Source: researchfish; NERC [NE/J500616/2] Funding Source: UKRI</t>
  </si>
  <si>
    <t>UK Department for Environment Food and Rural Affairs (Defra)(Department for Environment, Food &amp; Rural Affairs (DEFRA)); Ocean Networks Canada; European Community; Society for Conservation Biology (SCB) Marine Section; International Whaling Commission's Climate Change steering group; SCB Marine Section; WWF Canada; Natural Environment Research Council(UK Research &amp; Innovation (UKRI)Natural Environment Research Council (NERC)); NERC(UK Research &amp; Innovation (UKRI)Natural Environment Research Council (NERC))</t>
  </si>
  <si>
    <t>The authors would like to thank the organizers of the 3rd International Marine Conservation Congress for convening a symposium on anthropogenic noise. Funding for R. Bruintjes, J. Purser, A. N. Radford, S. D, Simpson and M. A. Wale was provided by the UK Department for Environment Food and Rural Affairs (Defra). N.D. Merchant received travel funding from Ocean Networks Canada. RW was supported by a Marie Curie International Incoming Fellowship within the 7th European Community Framework Programme (Project CONCEAL, FP7, PIIF-GA-2009-253407), and received travel funding to attend IMCC3 from the Society for Conservation Biology (SCB) Marine Section and the International Whaling Commission's Climate Change steering group (with thanks to Mark Simmonds). A.J. Wright also received travel funding to attend IMCC3 from the SCB Marine Section. A.J. Wright and L.K. Blight thank Linda Nowlan for her insightful contributions to case study vi and WWF Canada for funding their case study. Richard Dewey and John Dorocicz are similarly thanked for their contributions to case study iii, as are Ron Pelot and Norma Serra-Sogas for their contributions to case study iv. The authors thank Trevor A. Branch for advice on methods for the bibliometric search.</t>
  </si>
  <si>
    <t>0964-5691</t>
  </si>
  <si>
    <t>1873-524X</t>
  </si>
  <si>
    <t>OCEAN COAST MANAGE</t>
  </si>
  <si>
    <t>Ocean Coastal Manage.</t>
  </si>
  <si>
    <t>10.1016/j.ocecoaman.2015.05.021</t>
  </si>
  <si>
    <t>Oceanography; Water Resources</t>
  </si>
  <si>
    <t>CV4QT</t>
  </si>
  <si>
    <t>WOS:000364252300004</t>
  </si>
  <si>
    <t>Rochman, CM; Tahir, A; Williams, SL; Baxa, DV; Lam, R; Miller, JT; Teh, FC; Werorilangi, S; Teh, SJ</t>
  </si>
  <si>
    <t>Rochman, Chelsea M.; Tahir, Akbar; Williams, Susan L.; Baxa, Dolores V.; Lam, Rosalyn; Miller, Jeffrey T.; Teh, Foo-Ching; Werorilangi, Shinta; Teh, Swee J.</t>
  </si>
  <si>
    <t>Anthropogenic debris in seafood: Plastic debris and fibers from textiles in fish and bivalves sold for human consumption</t>
  </si>
  <si>
    <t>POLYBROMINATED DIPHENYL ETHERS; RESIN PELLETS; SEA-FLOOR; MARINE; MICROPLASTICS; ACCUMULATION; INGESTION; POLLUTION; ENVIRONMENT; POLLUTANTS</t>
  </si>
  <si>
    <t>The ubiquity of anthropogenic debris in hundreds of species of wildlife and the toxicity of chemicals associated with it has begun to raise concerns regarding the presence of anthropogenic debris in seafood. We assessed the presence of anthropogenic debris in fishes and shellfish on sale for human consumption. We sampled from markets in Makassar, Indonesia, and from California, USA. All fish and shellfish were identified to species where possible. Anthropogenic debris was extracted from the digestive tracts of fish and whole shellfish using a 10% KOH solution and quantified under a dissecting microscope. In Indonesia, anthropogenic debris was found in 28% of individual fish and in 55% of all species. Similarly, in the USA, anthropogenic debris was found in 25% of individual fish and in 67% of all species. Anthropogenic debris was also found in 33% of individual shellfish sampled. All of the anthropogenic debris recovered from fish in Indonesia was plastic, whereas anthropogenic debris recovered from fish in the USA was primarily fibers. Variations in debris types likely reflect different sources and waste management strategies between countries. We report some of the first findings of plastic debris in fishes directly sold for human consumption raising concerns regarding human health.</t>
  </si>
  <si>
    <t>[Rochman, Chelsea M.; Baxa, Dolores V.; Lam, Rosalyn; Teh, Foo-Ching; Teh, Swee J.] Univ Calif Davis, Sch Vet Med, Aquat Hlth Program, Davis, CA 95616 USA; [Tahir, Akbar; Werorilangi, Shinta] Univ Hasanuddin, Fac Marine &amp; Fisheries Sci, Dept Marine Sci, Makassar 90245, Indonesia; [Williams, Susan L.] Univ Calif Davis, Bodega Marine Lab, Bodega Bay, CA 94923 USA; [Williams, Susan L.] Univ Calif Davis, Dept Ecol &amp; Evolut, Bodega Bay, CA 94923 USA; [Miller, Jeffrey T.] Univ Calif Davis, Dept Environm Toxicol, Davis, CA 95616 USA</t>
  </si>
  <si>
    <t>University of California System; University of California Davis; Universitas Hasanuddin; University of California System; University of California Davis; University of California System; University of California Davis; University of California System; University of California Davis</t>
  </si>
  <si>
    <t>Rochman, CM (corresponding author), Univ Calif Davis, Sch Vet Med, Aquat Hlth Program, Davis, CA 95616 USA.</t>
  </si>
  <si>
    <t>chelsearochman@gmail.com</t>
  </si>
  <si>
    <t>; Rochman, Chelsea/HSH-6526-2023; Werorilangi, Shinta/HDN-9410-2022; Miller, Jeff/AGT-3772-2022</t>
  </si>
  <si>
    <t>Rochman, Chelsea/0000-0002-7624-711X; Werorilangi, shinta/0000-0002-0444-0789; Huang, Wei-Ling/0000-0001-5060-9904; Tahir, Akbar/0000-0001-5485-0033;</t>
  </si>
  <si>
    <t>David H. Smith Postdoctoral Research Fellowship; NOAA; UC Davis Outreach and International Program; National Science Foundation [DGE0801430]; IGERT [DEB0841297]; NIEHS Superfund Research Program [P42 ES04699]; National Institute of Environmental Health Sciences [P42ES004699] Funding Source: NIH RePORTER; Directorate For Geosciences; Division Of Ocean Sciences [1234345] Funding Source: National Science Foundation</t>
  </si>
  <si>
    <t>David H. Smith Postdoctoral Research Fellowship; NOAA(National Oceanic Atmospheric Admin (NOAA) - USA); UC Davis Outreach and International Program; National Science Foundation(National Science Foundation (NSF)); IGERT(National Science Foundation (NSF)); NIEHS Superfund Research Program; National Institute of Environmental Health Sciences(United States Department of Health &amp; Human ServicesNational Institutes of Health (NIH) - USANIH National Institute of Environmental Health Sciences (NIEHS)); Directorate For Geosciences; Division Of Ocean Sciences(National Science Foundation (NSF)NSF - Directorate for Geosciences (GEO))</t>
  </si>
  <si>
    <t>We thank: Nicole David, Tom Mattusch, Donald Marshall, Princeton Seafood Company and Half Moon Bay Seafood Company for donating fish and GI tracts; Robbie Santosa, Jessica Abbott, Elliot Crafton, Tomo Kurobe for helping in the field and lab; Professor A. Iqbal Burhanuddin for helping ID the fish, Hasanuddin University for its hospitality and access to facilities. Rochman was supported by the David H. Smith Postdoctoral Research Fellowship and a NOAA Marine Debris Research Grant during the preparation of this manuscript. during the preparation of this manuscript. This research was supported by a UC Davis Outreach and International Program SEED Grant (to Baxa and Teh) and the National Science Foundation's Graduate K-12 (DGE0801430 to Williams) and IGERT (DEB0841297) programs, and NIEHS Superfund Research Program P42 ES04699.</t>
  </si>
  <si>
    <t>SEP 24</t>
  </si>
  <si>
    <t>10.1038/srep14340</t>
  </si>
  <si>
    <t>CR9HE</t>
  </si>
  <si>
    <t>WOS:000361664300001</t>
  </si>
  <si>
    <t>Lelieveld, J; Evans, JS; Fnais, M; Giannadaki, D; Pozzer, A</t>
  </si>
  <si>
    <t>Lelieveld, J.; Evans, J. S.; Fnais, M.; Giannadaki, D.; Pozzer, A.</t>
  </si>
  <si>
    <t>The contribution of outdoor air pollution sources to premature mortality on a global scale</t>
  </si>
  <si>
    <t>FINE PARTICULATE MATTER; CIRCULATION MODEL ECHAM5/MESSY1; ATMOSPHERIC CHEMISTRY; TECHNICAL NOTE; CLIMATE-CHANGE; HUMAN HEALTH; BURDEN; EMISSIONS; SUBMODEL; DISEASE</t>
  </si>
  <si>
    <t>Assessment of the global burden of disease is based on epidemiological cohort studies that connect premature mortality to a wide range of causes(1-5), including the long-term health impacts of ozone and fine particulate matter with a diameter smaller than 2.5 micrometres (PM2.5)(3-9). It has proved difficult to quantify premature mortality related to air pollution, notably in regions where air quality is not monitored, and also because the toxicity of particles from various sources may vary(10). Here we use a global atmospheric chemistry model to investigate the link between prematuremortality and seven emission source categories in urban and rural environments. In accord with the global burden of disease for 2010 (ref. 5), we calculate that outdoor air pollution, mostly by PM2.5, leads to 3.3 (95 per cent confidence interval 1.61-4.81) million premature deaths per year worldwide, predominantly in Asia. We primarily assume that all particles are equally toxic(5), but also include a sensitivity study that accounts for differential toxicity. We find that emissions from residential energy use such as heating and cooking, prevalent in India and China, have the largest impact on premature mortality globally, being even more dominant if carbonaceous particles are assumed to be most toxic. Whereas in much of the USA and in a few other countries emissions from traffic and power generation are important, in eastern USA, Europe, Russia and East Asia agricultural emissions make the largest relative contribution to PM2.5, with the estimate of overall health impact depending on assumptions regarding particle toxicity. Model projections based on a business-as-usual emission scenario indicate that the contribution of outdoor air pollution to premature mortality could double by 2050.</t>
  </si>
  <si>
    <t>[Lelieveld, J.; Pozzer, A.] Max Planck Inst Chem, Atmospher Chem Dept, D-55128 Mainz, Germany; [Lelieveld, J.; Giannadaki, D.] Cyprus Inst, Energy Environm &amp; Water Res Ctr, CY-1645 Nicosia, Cyprus; [Evans, J. S.] Harvard Univ, Sch Publ Hlth, Boston, MA 02215 USA; [Evans, J. S.] Cyprus Univ Technol, Cyprus Int Inst Environm &amp; Publ Hlth, CY-3041 Limassol, Cyprus; [Fnais, M.] King Saud Univ, Coll Sci, Riyadh 11451, Saudi Arabia</t>
  </si>
  <si>
    <t>Max Planck Society; Harvard University; Harvard T.H. Chan School of Public Health; Cyprus International Institute for Environmental &amp; Public Health; Cyprus University of Technology; King Saud University</t>
  </si>
  <si>
    <t>Lelieveld, J (corresponding author), Max Planck Inst Chem, Atmospher Chem Dept, D-55128 Mainz, Germany.</t>
  </si>
  <si>
    <t>jos.lelieveld@mpic.de</t>
  </si>
  <si>
    <t>Pozzer, Andrea/L-4872-2013; Fnais, Mohammed/GYJ-2383-2022; Pozzer, Anea/L-4872-2013; Lelieveld, Johannes/A-1986-2013; Lelieveld, Jos/A-1986-2013</t>
  </si>
  <si>
    <t>Pozzer, Anea/0000-0003-2440-6104; Lelieveld, Johannes/0000-0001-6307-3846; Evans, John/0000-0001-9837-1026;</t>
  </si>
  <si>
    <t>Distinguished Scientist Fellowship Program at the King Saud University, Riyadh; European Research Council under European Union/ERC [226144]</t>
  </si>
  <si>
    <t>Distinguished Scientist Fellowship Program at the King Saud University, Riyadh; European Research Council under European Union/ERC(European Research Council (ERC))</t>
  </si>
  <si>
    <t>We are grateful to the EDGAR team of the Joint Research Centre in Ispra, Italy, for the emission data. We acknowledge support from the Distinguished Scientist Fellowship Program at the King Saud University, Riyadh. The research leading to these results has received funding from the European Research Council under the European Union's Seventh Framework Programme (FP7/2007-2013)/ERC grant agreement no. 226144.</t>
  </si>
  <si>
    <t>SEP 17</t>
  </si>
  <si>
    <t>10.1038/nature15371</t>
  </si>
  <si>
    <t>CR4JL</t>
  </si>
  <si>
    <t>WOS:000361297900041</t>
  </si>
  <si>
    <t>Melo, ERD; Gadelha, JR; da Silva, MDD; da Silva, AP; Pontes, ARM</t>
  </si>
  <si>
    <t>de Andrade Melo, Everton Renan; Gadelha, Jose Ramon; Domingos da Silva, Maria de Nazare; da Silva Junior, Antonio Paulo; Mendes Pontes, Antonio Rossano</t>
  </si>
  <si>
    <t>Diversity, abundance and the impact of hunting on large mammals in two contrasting forest sites in northern amazon</t>
  </si>
  <si>
    <t>WILDLIFE BIOLOGY</t>
  </si>
  <si>
    <t>MANU NATIONAL-PARK; ATLANTIC FOREST; TAYASSU-PECARI; GAME; PATTERNS; CONSERVATION; COMMUNITIES; SUSTAINABILITY; FRAGMENTATION; CONSEQUENCES</t>
  </si>
  <si>
    <t>A variety of Amazonian mammals serve as sources of food for its human inhabitants, but hunting can have a strong negative impact on them. Diversity, abundance, biomass, and average group size of medium-sized and large mammals are compared across two forest areas of the northern Amazon: the Virua National Park (protected) and the Novo Paraiso settlement (a human settlement where hunting is permitted). Hunting pressure was also characterized in Novo Paraiso. A total of 33 mammal species were recorded. There were no significant differences in the sighting rates, relative abundance and biomass, and mammal group sizes between the two areas, although the totals of all these variables were higher in Virua due to the higher abundance of Tayassu pecari, which was not recorded at Novo Paraiso. It is suggested that T. pecari may be on the verge of local extinction, as it was the most hunted species in the settlement area. Through interviews with 50 hunters, we estimate that 541 mammals of 20 species were hunted during the study year, resulting in an estimated biomass take of 8517 kg. While the hunting intensity in Novo Paraiso may be sustainable in the short term, the reported decline of hunting efficiency, combined with the extirpation of T. pecari, suggests that mammal abundance may decline there in the near future. In the study year, 849 hunts were carried out in a hunting effort of 4575 hours, with a maximum distance travelled of 5.4 km. There was an average of 4.82 consumers for each hunt, and a per capita harvest rate of 2.24 individuals/consumer year. Hunting was not only for subsistence, but also for retaliation, although some species may not be hunted due to cultural taboos. The need for quantification of harvesting rates to maintain hunting at sustainable levels is highlighted.</t>
  </si>
  <si>
    <t>[de Andrade Melo, Everton Renan] Water &amp; Climate Agcy State Pernambuco, BR-50040000 Recife, PE, Brazil; [Gadelha, Jose Ramon; Domingos da Silva, Maria de Nazare] Fed Univ Pernambuco UFPE, Ctr Biol Sci, Dept Zool, BR-50740620 Recife, PE, Brazil; [da Silva Junior, Antonio Paulo] Technol Inst State Pernambuco ITEP, BR-50740540 Recife, PE, Brazil; [Mendes Pontes, Antonio Rossano] Fed Univ Pernambuco UFPE, Ctr Biol Sci, BR-50740620 Recife, PE, Brazil</t>
  </si>
  <si>
    <t>Universidade Federal de Pernambuco; Instituto de Tecnologia de Pernambuco (ITEP); Universidade Federal de Pernambuco</t>
  </si>
  <si>
    <t>Melo, ERD (corresponding author), Water &amp; Climate Agcy State Pernambuco, Ave Cruz Cabug,1111 Santo Amaro, BR-50040000 Recife, PE, Brazil.</t>
  </si>
  <si>
    <t>antonio.rossano@inpa.gov.br</t>
  </si>
  <si>
    <t>Pontes, Antonio/I-1649-2012; Silva, Antonio/K-5157-2012; Gomes da Silva, Maria de/LZH-2224-2025</t>
  </si>
  <si>
    <t>Fundacao Grupo O Boticario de Protecao a Natureza; National Research Council (CNPq) [133641/2010-4, 472401/2008-4, 130986/2010-0, 552207/2008-8]</t>
  </si>
  <si>
    <t>Fundacao Grupo O Boticario de Protecao a Natureza; National Research Council (CNPq)(Conselho Nacional de Desenvolvimento Cientifico e Tecnologico (CNPQ))</t>
  </si>
  <si>
    <t>we thank the people of Novo Paraiso for having so willingly contributed to the interviews and help during field work. We are also indebted to E. Venticinque for corrections of the dissertation which led to this manuscript. Fundacao Grupo O Boticario de Protecao a Natureza kindly financed fieldwork; the National Research Council (CNPq) granted a scholarship to ERAM (no. 133641/2010-4), to JRG (no. 472401/2008-4), MNDS (no. 130986/2010-0), and APSJ (no. 552207/2008-8), and research grant to ARMP (no. 472401/2008-4). Adrian Barnett helped with the English.</t>
  </si>
  <si>
    <t>0909-6396</t>
  </si>
  <si>
    <t>1903-220X</t>
  </si>
  <si>
    <t>WILDLIFE BIOL</t>
  </si>
  <si>
    <t>Wildlife Biol.</t>
  </si>
  <si>
    <t>10.2981/wlb.00095</t>
  </si>
  <si>
    <t>CU6UB</t>
  </si>
  <si>
    <t>WOS:000363668300001</t>
  </si>
  <si>
    <t>King, AD; Donat, MG; Fischer, EM; Hawkins, E; Alexander, LV; Karoly, DJ; Dittus, AJ; Lewis, SC; Perkins, SE</t>
  </si>
  <si>
    <t>King, Andrew D.; Donat, Markus G.; Fischer, Erich M.; Hawkins, Ed; Alexander, Lisa V.; Karoly, David J.; Dittus, Andrea J.; Lewis, Sophie C.; Perkins, Sarah E.</t>
  </si>
  <si>
    <t>The timing of anthropogenic emergence in simulated climate extremes</t>
  </si>
  <si>
    <t>CMIP5; attribution; temperature; precipitation; Central England temperature</t>
  </si>
  <si>
    <t>TEMPERATURE EXTREMES; PRECIPITATION; INDEXES; CMIP5; UNCERTAINTIES; 20TH-CENTURY; TIME; 20TH</t>
  </si>
  <si>
    <t>Determining the time of emergence of climates altered from their natural state by anthropogenic influences can help inform the development of adaptation and mitigation strategies to climate change. Previous studies have examined the time of emergence of climate averages. However, at the global scale, the emergence of changes in extreme events, which have the greatest societal impacts, has not been investigated before. Based on state-of-the-art climate models, we show that temperature extremes generally emerge slightly later from their quasi-natural climate state than seasonal means, due to greater variability in extremes. Nevertheless, according to model evidence, both hot and cold extremes have already emerged across many areas. Remarkably, even precipitation extremes that have very large variability are projected to emerge in the coming decades in Northern Hemisphere winters associated with a wettening trend. Based on our findings we expect local temperature and precipitation extremes to already differ significantly from their previous quasi-natural state at many locations or to do so in the near future. Our findings have implications for climate impacts and detection and attribution studies assessing observed changes in regional climate extremes by showing whether they will likely find a fingerprint of anthropogenic climate change.</t>
  </si>
  <si>
    <t>[King, Andrew D.; Donat, Markus G.; Alexander, Lisa V.; Perkins, Sarah E.] Univ New S Wales, Climate Change Res Ctr, ARC Ctr Excellence Climate Syst Sci, Sydney, NSW 2052, Australia; [King, Andrew D.; Karoly, David J.; Dittus, Andrea J.; Lewis, Sophie C.] Univ Melbourne, Sch Earth Sci, ARC Ctr Excellence Climate Syst Sci, Melbourne, Vic 3010, Australia; [Fischer, Erich M.] ETH, Inst Atmospher &amp; Climate Sci, CH-8092 Zurich, Switzerland; [Hawkins, Ed] Univ Reading, Dept Meteorol, Natl Ctr Atmospher Sci, Reading RG6 6BB, Berks, England; [Lewis, Sophie C.] Australian Natl Univ, Sch Earth Sci, ARC Ctr Excellence Climate Syst Sci, Acton 2601, Australia</t>
  </si>
  <si>
    <t>ARC Centre of Excellence for Climate System Science; University of New South Wales Sydney; ARC Centre of Excellence for Climate System Science; University of Melbourne; Swiss Federal Institutes of Technology Domain; ETH Zurich; University of Reading; UK Research &amp; Innovation (UKRI); Natural Environment Research Council (NERC); NERC National Centre for Atmospheric Science; Australian National University</t>
  </si>
  <si>
    <t>King, AD (corresponding author), Univ New S Wales, Climate Change Res Ctr, ARC Ctr Excellence Climate Syst Sci, Sydney, NSW 2052, Australia.</t>
  </si>
  <si>
    <t>andrew.king@unimelb.edu.au</t>
  </si>
  <si>
    <t>; King, Andrew/AFK-4420-2022; Perkins-Kirkpatrick, Sarah/O-5042-2015; Dittus, Andrea/AAQ-3141-2020; Donat, Markus/J-8331-2012; Hawkins, Ed/B-7921-2011; Fischer, Erich/B-6067-2011; Alexander, Lisa/A-8477-2011; Karoly, David/C-8262-2011; Lewis, Sophie/H-4968-2011</t>
  </si>
  <si>
    <t>Perkins-Kirkpatrick, Sarah/0000-0001-9443-4915; King, Anew/0000-0001-9006-5745; Fischer, Erich/0000-0003-1931-6737; Donat, Markus/0000-0002-0608-7288; Hawkins, Ed/0000-0001-9477-3677; Alexander, Lisa/0000-0002-5635-2457; Karoly, David/0000-0002-8671-2994; Dittus, Anea/0000-0001-9598-6869; Lewis, Sophie/0000-0001-6416-0634</t>
  </si>
  <si>
    <t>Australian Research Council [RM08448, CE110001028, DE150100456, LP100200690, DE140100952]; UK National Environmental Research Council [NE/I020792/1]; National Centre for Atmospheric Science (NCAS-Climate); NCI facility in Australia; NERC [NE/N006054/1] Funding Source: UKRI; Natural Environment Research Council [ncas10009, NE/I020792/1, NE/N006054/1] Funding Source: researchfish; Australian Research Council [DE140100952] Funding Source: Australian Research Council</t>
  </si>
  <si>
    <t>Australian Research Council(Australian Research Council); UK National Environmental Research Council; National Centre for Atmospheric Science (NCAS-Climate); NCI facility in Australia; NERC(UK Research &amp; Innovation (UKRI)Natural Environment Research Council (NERC)); Natural Environment Research Council(UK Research &amp; Innovation (UKRI)Natural Environment Research Council (NERC)); Australian Research Council(Australian Research Council)</t>
  </si>
  <si>
    <t>We thank the editor for handling this paper and the reviewers for their constructive feedback. We thank Andy Pitman, Rowan Sutton, and Blair Trewin for commenting on the paper. Andrew King was supported by Australian Research Council grant RM08448. Andrew King, Markus Donat, Lisa Alexander, David Karoly, Andrea Dittus, and Sophie Lewis were supported by Australian Research Council grant CE110001028. Markus Donat was also supported by Australian Research Council grant DE150100456. Lisa Alexander and David Karoly were also supported by Australian Research Council grant LP100200690. Sarah Perkins was supported by Australian Research Council grant DE140100952. Ed Hawkins was supported by the UK National Environmental Research Council (grant NE/I020792/1) and the National Centre for Atmospheric Science (NCAS-Climate). We acknowledge the support of the NCI facility in Australia. We acknowledge the World Climate Research Programme's Working Group on Coupled Modelling, which is responsible for CMIP, and we thank the climate modelling groups for producing and making available their model output. For CMIP the US Department of Energy's Program for Climate Model Diagnosis and Intercomparison provides coordinating support and led development of software infrastructure in partnership with the Global Organization for Earth System Science Portals.</t>
  </si>
  <si>
    <t>IOP PUBLISHING LTD</t>
  </si>
  <si>
    <t>10.1088/1748-9326/10/9/094015</t>
  </si>
  <si>
    <t>CZ5KJ</t>
  </si>
  <si>
    <t>WOS:000367141000018</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</si>
  <si>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</si>
  <si>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Brummitt, Neil A.; Bachman, Steven P.; Griffiths-Lee, Janine; Lutz, Maiko; Moat, Justin F.; Farjon, Aljos; Donaldson, John S.; Hilton-Taylor, Craig; Meagher, Thomas R.; Albuquerque, Sara; Aletrari, Elina; Andrews, A. Kei; Atchison, Guy; Baloch, Elisabeth; Barlozzini, Barbara; Brunazzi, Alice; Carretero, Julia; Celesti, Marco; Chadburn, Helen; Cianfoni, Eduardo; Cockel, Chris; Coldwell, Vanessa; Concetti, Benedetta; Contu, Sara; Crook, Vicki; Dyson, Philippa; Gardiner, Lauren; Ghanim, Nadia; Greene, Hannah; Groom, Alice; Harker, Ruth; Hopkins, Della;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t>
  </si>
  <si>
    <t>Green Plants in the Red: A Baseline Global Assessment for the IUCN Sampled Red List Index for Plants</t>
  </si>
  <si>
    <t>PLOS ONE</t>
  </si>
  <si>
    <t>CONSERVATION ASSESSMENT; EXTINCTION RISK; BIODIVERSITY; PROGRESS; TRENDS; CONVENTION; DIVERSITY; THREAT</t>
  </si>
  <si>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</si>
  <si>
    <t>[Brummitt, Neil A.; Aletrari, Elina; Atchison, Guy; Contu, Sara; Greene, Hannah; Harker, Ruth; Hopkins, Della; Lindon, Heather; Lopez-Poveda, Lucia] Nat Hist Museum, London SW7 5BD, England; [Bachman, Steven P.; Griffiths-Lee, Janine; Lutz, Maiko; Moat, Justin F.; Farjon, Aljos; Albuquerque, Sara; Aletrari, Elina; Andrews, A. Kei; Baloch, Elisabeth; Barlozzini, Barbara; Brunazzi, Alice; Carretero, Julia; Celesti, Marco; Chadburn, Helen; Cianfoni, Eduardo; Cockel, Chris; Coldwell, Vanessa; Concetti, Benedetta; Contu, Sara; Crook, Vicki; Dyson, Philippa; Gardiner, Lauren; Ghanim, Nadia; Groom, Alice; Harker, Ruth;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 Royal Bot Gardens, Richmond TW9 3AB, Surrey, England; [Bachman, Steven P.; Moat, Justin F.] Univ Nottingham, Sch Geog, Nottingham NG7 2RD, England; [Donaldson, John S.] KRC, South African Natl Biodivers Inst, Claremont, South Africa; [Hilton-Taylor, Craig] IUCN Red List Unit, Cambridge, England; [Meagher, Thomas R.] Univ St Andrews, Sch Biol, St Andrews, Fife, Scotland; [Aletrari, Elina] Kings Coll London, London WC2R 2LS, England</t>
  </si>
  <si>
    <t>Natural History Museum London; Royal Botanic Gardens, Kew; University of Nottingham; South African National Biodiversity Institute; University of St Andrews; University of London; King's College London</t>
  </si>
  <si>
    <t>Brummitt, NA (corresponding author), Nat Hist Museum, Cromwell Rd, London SW7 5BD, England.</t>
  </si>
  <si>
    <t>n.brummitt@nhm.ac.uk</t>
  </si>
  <si>
    <t>; Nic Lughadha, Eimear/N-4560-2014; Albuquerque, Sara/O-9327-2014; Donaldson, John/F-6833-2011; Lughadha, Eimear/N-4560-2014; Celesti, Marco/M-6738-2019</t>
  </si>
  <si>
    <t>Gardiner, Lauren/0000-0002-8843-0317; Nic Lughadha, Eimear/0000-0002-8806-4345; Carretero, Julia/0000-0002-3697-1947; Donaldson, John/0000-0002-7930-1695; Lutz, Maiko/0000-0002-6695-8380; Bachman, Steven/0000-0003-1085-6075; Moat, Justin/0000-0002-5513-3615; McGregor, Kirsty/0000-0003-3696-7216; Celesti, Marco/0000-0001-7249-7106</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</si>
  <si>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 [NE/L013045/1] Funding Source: UKRI; Natural Environment Research Council [NE/L013045/1] Funding Source: researchfish</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</si>
  <si>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NERC(UK Research &amp; Innovation (UKRI)Natural Environment Research Council (NERC)); Natural Environment Research Council(UK Research &amp; Innovation (UKRI)Natural Environment Research Council (NERC))</t>
  </si>
  <si>
    <t>Funding and support for the first phase of the IUCN Sampled Red List Index for Plants has been provided by the Charles Wolfson Charitable Trust, the Esmee Fairbairn Foundation, Rio Tinto plc., the World Summit on Sustainable Development Implementation Fund of the Department of Environment, Food and Rural Affairs (Defra) of the United Kingdom government and the World Collections Programme, as well as The Natural History Museum and the Royal Botanic Gardens, Kew. The IUCN Red List Unit is generously supported by the Rufford Foundation, the MAVA Foundation and the Environment Agency of Abu Dhabi. Artisan Plant Nurseries did not have any additional role in the study design, data collection and analysis, decision to publish, or preparation of the manuscript. Rio Tinto plc. contributed to the funding of digitisation of specimen data and Red List assessment generation during the course of the project, but in no way did this hold any influence over the scientific outputs of this project. The funders had no role in the study design, data collection and analysis, decision to publish, or preparation of the manuscript.</t>
  </si>
  <si>
    <t>PUBLIC LIBRARY SCIENCE</t>
  </si>
  <si>
    <t>SAN FRANCISCO</t>
  </si>
  <si>
    <t>1160 BATTERY STREET, STE 100, SAN FRANCISCO, CA 94111 USA</t>
  </si>
  <si>
    <t>1932-6203</t>
  </si>
  <si>
    <t>PLoS One</t>
  </si>
  <si>
    <t>AUG 7</t>
  </si>
  <si>
    <t>e0135152</t>
  </si>
  <si>
    <t>10.1371/journal.pone.0135152</t>
  </si>
  <si>
    <t>CO4HF</t>
  </si>
  <si>
    <t>WOS:000359121100125</t>
  </si>
  <si>
    <t>Halpern, BS; Frazier, M; Potapenko, J; Casey, KS; Koenig, K; Longo, C; Lowndes, JS; Rockwood, RC; Selig, ER; Selkoe, KA; Walbridge, S</t>
  </si>
  <si>
    <t>Halpern, Benjamin S.; Frazier, Melanie; Potapenko, John; Casey, Kenneth S.; Koenig, Kellee; Longo, Catherine; Lowndes, Julia Stewart; Rockwood, R. Cotton; Selig, Elizabeth R.; Selkoe, Kimberly A.; Walbridge, Shaun</t>
  </si>
  <si>
    <t>Spatial and temporal changes in cumulative human impacts on the world's ocean</t>
  </si>
  <si>
    <t>ECOSYSTEM-BASED MANAGEMENT; MARINE; SUSTAINABILITY; BIODIVERSITY; STRESSORS; AREAS; MAP</t>
  </si>
  <si>
    <t>Human pressures on the ocean are thought to be increasing globally, yet we know little about their patterns of cumulative change, which pressures are most responsible for change, and which places are experiencing the greatest increases. Managers and policymakers require such information to make strategic decisions and monitor progress towards management objectives. Here we calculate and map recent change over 5 years in cumulative impacts to marine ecosystems globally from fishing, climate change, and ocean- and land-based stressors. Nearly 66% of the ocean and 77% of national jurisdictions show increased human impact, driven mostly by climate change pressures. Five percent of the ocean is heavily impacted with increasing pressures, requiring management attention. Ten percent has very low impact with decreasing pressures. Our results provide large-scale guidance about where to prioritize management efforts and affirm the importance of addressing climate change to maintain and improve the condition of marine ecosystems.</t>
  </si>
  <si>
    <t>[Halpern, Benjamin S.] Univ Calif Santa Barbara, Bren Sch Environm Sci &amp; Management, Santa Barbara, CA 93106 USA; [Halpern, Benjamin S.] Univ London Imperial Coll Sci Technol &amp; Med, Ascot SL5 7PY, Berks, England; [Halpern, Benjamin S.; Frazier, Melanie; Longo, Catherine; Lowndes, Julia Stewart; Selkoe, Kimberly A.] Natl Ctr Ecol Anal &amp; Synth, Santa Barbara, CA 93101 USA; [Potapenko, John] Univ Calif Santa Barbara, Dept Geog, Santa Barbara, CA 93106 USA; [Casey, Kenneth S.] NOAA, Natl Ctrs Environm Informat, Silver Spring, MD 20910 USA; [Koenig, Kellee; Selig, Elizabeth R.] Conservat Int, Betty &amp; Gordon Moore Ctr Sci &amp; Oceans, Arlington, VA 22202 USA; [Rockwood, R. Cotton] Univ Calif San Diego, Scripps Inst Oceanog, La Jolla, CA 92093 USA; [Selkoe, Kimberly A.] Univ Hawaii, Hawaii Inst Marine Biol, Kaneohe, HI 96744 USA; [Walbridge, Shaun] Boston Off, ESRI, Middleton, MA 01949 USA</t>
  </si>
  <si>
    <t>University of California System; University of California Santa Barbara; Imperial College London; University of California System; University of California Santa Barbara; University of California System; University of California Santa Barbara; National Oceanic Atmospheric Admin (NOAA) - USA; Conservation International; University of California System; University of California San Diego; Scripps Institution of Oceanography; University of Hawaii System</t>
  </si>
  <si>
    <t>Halpern, BS (corresponding author), Univ Calif Santa Barbara, Bren Sch Environm Sci &amp; Management, Santa Barbara, CA 93106 USA.</t>
  </si>
  <si>
    <t>halpern@bren.ucsb.edu</t>
  </si>
  <si>
    <t>; Halpern, Benjamin/J-6141-2014; Frazier, Melanie/A-2367-2012; Casey, Kenneth/D-4065-2013</t>
  </si>
  <si>
    <t>Lowndes, Julia/0000-0003-1682-3872; Rockwood, R Cotton/0000-0002-1231-4221; Koenig, Kellee/0000-0002-2505-860X; Casey, Kenneth/0000-0002-6052-7117; Halpern, Benjamin/0000-0001-8844-2302</t>
  </si>
  <si>
    <t>Arctic Options: Holistic Integration for Arctic Coastal Marine Sustainability; National Science Foundation, Division of Polar Programs [PLR-1263819]; Directorate For Geosciences [1263819] Funding Source: National Science Foundation; Office of Polar Programs (OPP) [1263819] Funding Source: National Science Foundation</t>
  </si>
  <si>
    <t>Arctic Options: Holistic Integration for Arctic Coastal Marine Sustainability; National Science Foundation, Division of Polar Programs(National Science Foundation (NSF)); Directorate For Geosciences(National Science Foundation (NSF)NSF - Directorate for Geosciences (GEO)); Office of Polar Programs (OPP)(National Science Foundation (NSF)NSF - Directorate for Geosciences (GEO))</t>
  </si>
  <si>
    <t>All data are described in the Supplementary Information and are freely available at doi:10.5063/F19Z92TW. This paper is a contribution to Imperial College's Grand Challenges in Ecosystems and the Environment initiative. This manuscript has been prepared with support from Arctic Options: Holistic Integration for Arctic Coastal Marine Sustainability, with funding from the National Science Foundation, Division of Polar Programs (Grant No. PLR-1263819).</t>
  </si>
  <si>
    <t>10.1038/ncomms8615</t>
  </si>
  <si>
    <t>CO0QM</t>
  </si>
  <si>
    <t>WOS:000358857000008</t>
  </si>
  <si>
    <t>Richey, AS; Thomas, BF; Lo, MH; Reager, JT; Famiglietti, JS; Voss, K; Swenson, S; Rodell, M</t>
  </si>
  <si>
    <t>Richey, Alexandra S.; Thomas, Brian F.; Lo, Min-Hui; Reager, John T.; Famiglietti, James S.; Voss, Katalyn; Swenson, Sean; Rodell, Matthew</t>
  </si>
  <si>
    <t>Quantifying renewable groundwater stress with GRACE</t>
  </si>
  <si>
    <t>WATER RESOURCES RESEARCH</t>
  </si>
  <si>
    <t>stress regimes; large aquifers; remote sensing; anthropogenic biomes; groundwater stress</t>
  </si>
  <si>
    <t>SYNTHETIC-APERTURE RADAR; GLOBAL WATER-RESOURCES; DESERT VADOSE ZONES; LAND-SURFACE SCHEME; HIGH-PLAINS AQUIFER; SAFE YIELD; TABLE DYNAMICS; CLIMATE-CHANGE; LOS-ANGELES; DEPLETION</t>
  </si>
  <si>
    <t>Groundwater is an increasingly important water supply source globally. Understanding the amount of groundwater used versus the volume available is crucial to evaluate future water availability. We present a groundwater stress assessment to quantify the relationship between groundwater use and availability in the world's 37 largest aquifer systems. We quantify stress according to a ratio of groundwater use to availability, which we call the Renewable Groundwater Stress ratio. The impact of quantifying groundwater use based on nationally reported groundwater withdrawal statistics is compared to a novel approach to quantify use based on remote sensing observations from the Gravity Recovery and Climate Experiment (GRACE) satellite mission. Four characteristic stress regimes are defined: Overstressed, Variable Stress, Human-dominated Stress, and Unstressed. The regimes are a function of the sign of use (positive or negative) and the sign of groundwater availability, defined as mean annual recharge. The ability to mitigate and adapt to stressed conditions, where use exceeds sustainable water availability, is a function of economic capacity and land use patterns. Therefore, we qualitatively explore the relationship between stress and anthropogenic biomes. We find that estimates of groundwater stress based on withdrawal statistics are unable to capture the range of characteristic stress regimes, especially in regions dominated by sparsely populated biome types with limited cropland. GRACE-based estimates of use and stress can holistically quantify the impact of groundwater use on stress, resulting in both greater magnitudes of stress and more variability of stress between regions.</t>
  </si>
  <si>
    <t>[Richey, Alexandra S.; Famiglietti, James S.] Univ Calif Irvine, Dept Civil &amp; Environm Engn, Irvine, CA 92697 USA; [Thomas, Brian F.; Reager, John T.; Famiglietti, James S.] CALTECH, NASA, Jet Prop Lab, Pasadena, CA 91125 USA; [Lo, Min-Hui] Natl Taiwan Univ, Dept Atmospher Sci, Taipei 10764, Taiwan; [Famiglietti, James S.] Univ Calif Irvine, Dept Earth Syst Sci, Irvine, CA USA; [Voss, Katalyn] Univ Calif Santa Barbara, Dept Geog, Santa Barbara, CA 93106 USA; [Swenson, Sean] Natl Ctr Atmospher Res, Climate &amp; Global Dynam Div, Boulder, CO 80307 USA; [Rodell, Matthew] NASA, Goddard Space Flight Ctr, Hydrol Sci Lab, Greenbelt, MD 20771 USA</t>
  </si>
  <si>
    <t>University of California System; University of California Irvine; California Institute of Technology; National Aeronautics &amp; Space Administration (NASA); NASA Jet Propulsion Laboratory (JPL); National Taiwan University; University of California System; University of California Irvine; University of California System; University of California Santa Barbara; National Center Atmospheric Research (NCAR) - USA; National Aeronautics &amp; Space Administration (NASA); NASA Goddard Space Flight Center</t>
  </si>
  <si>
    <t>Famiglietti, JS (corresponding author), Univ Calif Irvine, Dept Civil &amp; Environm Engn, Irvine, CA 92697 USA.</t>
  </si>
  <si>
    <t>jfamigli@uci.edu</t>
  </si>
  <si>
    <t>; Rodell, Matthew/E-4946-2012; Famiglietti, James/G-7383-2017</t>
  </si>
  <si>
    <t>Thomas, Brian/0000-0003-0080-7958; Voss, Katalyn/0000-0001-8946-8213; LO, MIN-HUI/0000-0002-8653-143X; Rodell, Matthew/0000-0003-0106-7437; Famiglietti, James/0000-0002-6053-5379</t>
  </si>
  <si>
    <t>U.S. National Aeronautics and Space Administration under the GRACE Science Team program; U.S. National Aeronautics and Space Administration under Earth and Space Science Fellowship; University of California Office of the President Multicampus Research Programs and Initiatives program; MOST [104-2923-M-002-002-MY4]; National Aeronautics and Space Administration</t>
  </si>
  <si>
    <t>U.S. National Aeronautics and Space Administration under the GRACE Science Team program; U.S. National Aeronautics and Space Administration under Earth and Space Science Fellowship; University of California Office of the President Multicampus Research Programs and Initiatives program; MOST(Ministry of Science &amp; Technology (MOST), Republic of Korea); National Aeronautics and Space Administration(National Aeronautics &amp; Space Administration (NASA))</t>
  </si>
  <si>
    <t>We gratefully acknowledge support from the U.S. National Aeronautics and Space Administration under the GRACE Science Team program and an Earth and Space Science Fellowship awarded to the first author. Critical support was also provided by the University of California Office of the President Multicampus Research Programs and Initiatives program. Min-Hui Lo is supported by the grant of MOST 104-2923-M-002-002-MY4. A portion of the research was carried out at the Jet Propulsion Laboratory, California Institute of Technology, under a contract with the National Aeronautics and Space Administration. This study was also made possible using freely available data from the Global Land Data Assimilation System (http://disc.sci.gsfc.nasa.gov/hydrology/data-holdings), the GWSP Digital Water Atlas (http://atlas.gwsp.org/), and the Anthropogenic Biomes of the World, Version 1 dataset from the NASA Socioeconomic Data and Applications Center (SEDAC, http://sedac.ciesin.columbia.edu/). Additional data used in this study is available from the authors upon request (arichey@uci.edu). Thank you to the editor who's comments and suggestions greatly improved the manuscript. Finally, we thank Caroline deLinage for her thoughtful contributions to the direction of this work.</t>
  </si>
  <si>
    <t>0043-1397</t>
  </si>
  <si>
    <t>1944-7973</t>
  </si>
  <si>
    <t>WATER RESOUR RES</t>
  </si>
  <si>
    <t>Water Resour. Res.</t>
  </si>
  <si>
    <t>10.1002/2015WR017349</t>
  </si>
  <si>
    <t>Environmental Sciences; Limnology; Water Resources</t>
  </si>
  <si>
    <t>CP7PM</t>
  </si>
  <si>
    <t>WOS:000360080200019</t>
  </si>
  <si>
    <t>Capinha, C; Essl, F; Seebens, H; Moser, D; Pereira, HM</t>
  </si>
  <si>
    <t>Capinha, Cesar; Essl, Franz; Seebens, Hanno; Moser, Dietmar; Pereira, Henrique Miguel</t>
  </si>
  <si>
    <t>The dispersal of alien species redefines biogeography in the Anthropocene</t>
  </si>
  <si>
    <t>SCIENCE</t>
  </si>
  <si>
    <t>BIOTIC HOMOGENIZATION; BIODIVERSITY CHANGE; INTRODUCTIONS; DISTRIBUTIONS; SIMILARITY; EXTINCTION; PATTERNS; REGIONS</t>
  </si>
  <si>
    <t>It has been argued that globalization in human-mediated dispersal of species breaks down biogeographic boundaries, yet empirical tests are still missing. We used data on native and alien ranges of terrestrial gastropods to analyze dissimilarities in species composition among 56 globally distributed regions. We found that native ranges confirm the traditional biogeographic realms, reflecting natural dispersal limitations. However, the distributions of gastropods after human transport are primarily explained by the prevailing climate and, to a smaller extent, by distance and trade relationships. Our findings show that human-mediated dispersal is causing a breakdown of biogeographic barriers, and that climate and to some extent socioeconomic relationships will define biogeography in an era of global change.</t>
  </si>
  <si>
    <t>[Capinha, Cesar; Pereira, Henrique Miguel] Univ Porto, CIBIO InBIO, Ctr Invest Biodiversidade &amp; Recursos Genet, Catedra REFER Biodiversidade, P-4485661 Vairao, Portugal; [Capinha, Cesar] Museumsmeile Bonn, Zool Forschungsmuseum Alexander Koenig, D-53113 Bonn, Germany; [Essl, Franz; Moser, Dietmar] Univ Vienna, Fac Ctr Biodivers, Div Conservat Biol Vegetat &amp; Landscape Ecol, A-1030 Vienna, Austria; [Seebens, Hanno] Carl von Ossietzky Univ Oldenburg, Inst Chem &amp; Biol Marine Environm ICBM, D-26111 Oldenburg, Germany; [Pereira, Henrique Miguel] German Ctr Integrat Biodivers Res iDiv, D-04103 Leipzig, Germany; [Pereira, Henrique Miguel] Univ Halle Wittenberg, Inst Biol, D-06108 Halle, Saale, Germany</t>
  </si>
  <si>
    <t>Universidade do Porto; Zoologisches Forschungsmuseum Alexander Koenig (ZFMK); University of Vienna; Carl von Ossietzky Universitat Oldenburg; German Research Foundation (DFG); German Centre for Integrative Biodiversity Research (iDiv); Martin Luther University Halle Wittenberg</t>
  </si>
  <si>
    <t>Capinha, C (corresponding author), Univ Porto, CIBIO InBIO, Ctr Invest Biodiversidade &amp; Recursos Genet, Catedra REFER Biodiversidade, Campus Agr Vairao, P-4485661 Vairao, Portugal.</t>
  </si>
  <si>
    <t>ccapinha@cibio.up.pt</t>
  </si>
  <si>
    <t>Capinha, César/K-6439-2017; Pereira, Henrique/B-3975-2009; Seebens, Hanno/I-2310-2019; Essl, Franz/ABE-7064-2020</t>
  </si>
  <si>
    <t>Capinha, César/0000-0002-0666-9755; Pereira, Henrique/0000-0003-1043-1675; Seebens, Hanno/0000-0001-8993-6419; Moser, Dietmar/0000-0002-2745-7508; Essl, Franz/0000-0001-8253-2112</t>
  </si>
  <si>
    <t>Portuguese Foundation for Science and Technology (FCT/MCTES); POPH/FSE (EC) [SFRH/BPD/84422/2012]; Austrian Climate and Energy Fund [KR11AC0K00355]; German VW-Foundation; German Centre for Integrative Biodiversity Research (iDiv) Halle-Jena-Leipzig - German Research Foundation [FZT 118]; Catedra-REFER-Biodiversidade</t>
  </si>
  <si>
    <t>Portuguese Foundation for Science and Technology (FCT/MCTES)(Fundacao para a Ciencia e a Tecnologia (FCT)); POPH/FSE (EC)(European Union (EU)European Commission Joint Research CentreEuropean Social Fund (ESF)); Austrian Climate and Energy Fund; German VW-Foundation; German Centre for Integrative Biodiversity Research (iDiv) Halle-Jena-Leipzig - German Research Foundation; Catedra-REFER-Biodiversidade</t>
  </si>
  <si>
    <t>We thank the many researchers who provided information on the native and current distribution of the species, particularly B. Roth, D. Herbert, D. Robinson, G. Stuffle, H. Kappes, J. Ablett, J. Gerlach, K. Hayes, O. Griffiths, R. Preece, R. Forsyth, S. Martin, T.-S. Liew, and T. A. Pearce. We highly appreciate the comments and suggestions of three anonymous reviewers. All sources of species distribution data used in this study are listed in the supplementary materials. Climate and trade data are freely available in the WorldClim (www.worldclim.org) and the UN Comtrade (http://comtrade.un.org) online databases, respectively. Supported by a postdoctoral grant from the Portuguese Foundation for Science and Technology (FCT/MCTES) and POPH/FSE (EC) grant SFRH/BPD/84422/2012 (C.C.), the Austrian Climate and Energy Fund (project no. KR11AC0K00355, SpecAdapt) (F.E.), the German VW-Foundation (H. S.), the German Centre for Integrative Biodiversity Research (iDiv) Halle-Jena-Leipzig funded by German Research Foundation grant FZT 118 (H.M.P.), and Catedra-REFER-Biodiversidade.</t>
  </si>
  <si>
    <t>0036-8075</t>
  </si>
  <si>
    <t>1095-9203</t>
  </si>
  <si>
    <t>Science</t>
  </si>
  <si>
    <t>JUN 12</t>
  </si>
  <si>
    <t>10.1126/science.aaa8913</t>
  </si>
  <si>
    <t>CK2AK</t>
  </si>
  <si>
    <t>WOS:000356011500053</t>
  </si>
  <si>
    <t>Busch, DS; O'Donnell, MJ; Hauri, C; Mach, KJ; Poach, M; Doney, SC; Signorini, SR</t>
  </si>
  <si>
    <t>Busch, D. Shallin; O'Donnell, Michael J.; Hauri, Claudine; Mach, Katharine J.; Poach, Matthew; Doney, Scott C.; Signorini, Sergio R.</t>
  </si>
  <si>
    <t>Understanding, Characterizing, and Communicating Responses to Ocean Acidification CHALLENGES AND UNCERTAINTIES</t>
  </si>
  <si>
    <t>CLIMATE-CHANGE; CORAL-REEFS; IMPACTS; SCIENCES; COMMUNITIES; ADAPTATION; ECOSYSTEM; OYSTER; WATERS; TOP</t>
  </si>
  <si>
    <t>Over the past decade, ocean acidification (OA) has emerged as a major concern in ocean science. The field of OA is based on certainties-update of carbon dioxide into the global ocean alters its carbon chemistry, and many marine organisms, especially calcifiers, are sensitive to this change. However, the field must accommodate uncertainties about the seriousness of these impacts as it synthesizes and draws conclusions from multiple disciplines. There is pressure from stakeholders to expeditiously inform society about the extent to which OA will impact marine ecosystems and the people who depend on them. Ultimately, decisions about actions related to OA require evaluating risks about the likelihood and magnitude of these impacts. As the scientific literature accumulates, some of the uncertainty related to single-species sensitivity to OA is diminishing. Difficulties remain in scaling laboratory results to species and ecosystem responses in nature, though modeling exercises provide useful insight. As recognition of OA grows scientists' ability to communicate the certainties and uncertainties of our knowledge on OA is crucial for interaction with decision makers. In this regard, there are a number of valuable practices that can be drawn from other fields, especially the global climate change community. A generally accepted set of best practices that scientists follow in their discussions of uncertainty would be helpful for the community engaged in ocean acidification.</t>
  </si>
  <si>
    <t>[Busch, D. Shallin] NOAA, Ocean Acidificat Program, Silver Spring, MD USA; [Busch, D. Shallin] NOAA, Natl Marine Fisheries Serv, Off Sci &amp; Technol, Silver Spring, MD USA; [O'Donnell, Michael J.] Calif Ocean Sci Trust, Oakland, CA USA; [Hauri, Claudine] Univ Hawaii, Sch Ocean &amp; Earth Sci &amp; Technol, Int Pacific Res Ctr, Honolulu, HI 96822 USA; [Hauri, Claudine] Univ Alaska Fairbanks, Int Arctic Res Ctr, Fairbanks, AK USA; [Mach, Katharine J.] Carnegie Inst Sci, IPCC Working Grp Tech Support Unit 2, Dept Global Ecol, Sci, Stanford, CA USA; [Poach, Matthew] NOAA, James J Howard Marine Sci Lab, Northeast Fisheries Sci Ctr, NMFS, Highlands, NJ USA; [Doney, Scott C.] Woods Hole Oceanog Inst, Dept Marine Chem &amp; Geochem, Woods Hole, MA 02543 USA; [Signorini, Sergio R.] Sci Applicat Int Corp, Mclean, VA 22102 USA; [Signorini, Sergio R.] NASA, Goddard Space Flight Ctr, Greenbelt, MD 20771 USA</t>
  </si>
  <si>
    <t>National Oceanic Atmospheric Admin (NOAA) - USA; National Oceanic Atmospheric Admin (NOAA) - USA; University of Hawaii System; University of Alaska System; University of Alaska Fairbanks; Carnegie Institution for Science; National Oceanic Atmospheric Admin (NOAA) - USA; Woods Hole Oceanographic Institution; Science Applications International Corporation (SAIC); National Aeronautics &amp; Space Administration (NASA); NASA Goddard Space Flight Center</t>
  </si>
  <si>
    <t>Busch, DS (corresponding author), NOAA, Ocean Acidificat Program, Seattle, WA 98115 USA.</t>
  </si>
  <si>
    <t>shallin.busch@noaa.gov</t>
  </si>
  <si>
    <t>; Doney, Scott/F-9247-2010; O'Donnell, Michael/AAK-2314-2021</t>
  </si>
  <si>
    <t>O'Donnell, Michael/0000-0001-7016-0614; Doney, Scott/0000-0002-3683-2437;</t>
  </si>
  <si>
    <t>NOAA Ocean Acidification Program; National Marine Fisheries Service; NSF-supported Center for Climate and Energy Decision Making; NASA Ocean Biology and Biogeochemistry Program; Divn Of Social and Economic Sciences; Direct For Social, Behav &amp; Economic Scie [0949710] Funding Source: National Science Foundation; Divn Of Social and Economic Sciences; Direct For Social, Behav &amp; Economic Scie [1463492] Funding Source: National Science Foundation</t>
  </si>
  <si>
    <t>NOAA Ocean Acidification Program(National Oceanic Atmospheric Admin (NOAA) - USA); National Marine Fisheries Service; NSF-supported Center for Climate and Energy Decision Making; NASA Ocean Biology and Biogeochemistry Program(National Aeronautics &amp; Space Administration (NASA)); Divn Of Social and Economic Sciences; Direct For Social, Behav &amp; Economic Scie(National Science Foundation (NSF)NSF - Directorate for Social, Behavioral &amp; Economic Sciences (SBE)); Divn Of Social and Economic Sciences; Direct For Social, Behav &amp; Economic Scie(National Science Foundation (NSF)NSF - Directorate for Social, Behavioral &amp; Economic Sciences (SBE))</t>
  </si>
  <si>
    <t>We thank the organizers of the 2013 OA Principal Investigators Meeting for their efforts to build a community of OA researchers and for their foresight in providing us the venue to develop the themes discussed in this paper. W. Balch, F. Dobbs, H. Galindo, J. Grear, F. Morel, S. Palumbi, M. Saito, and C. Zakroff contributed to the initial discussions around uncertainty. R. Brainard and an anonymous reviewer provided comments that improved the manuscript The following funding sources supported our work on this manuscript: NOAA Ocean Acidification Program and National Marine Fisheries Service (DSB, MP), NSF-supported Center for Climate and Energy Decision Making (SCD), and NASA Ocean Biology and Biogeochemistry Program (SS). The content of this manuscript does not reflect any position of the US Government or of NOAA.</t>
  </si>
  <si>
    <t>10.5670/oceanog.2015.29</t>
  </si>
  <si>
    <t>CL8NP</t>
  </si>
  <si>
    <t>WOS:000357231700007</t>
  </si>
  <si>
    <t>Österblom, H; Jouffray, JB; Folke, C; Crona, B; Troell, M; Merrie, A; Rockström, J</t>
  </si>
  <si>
    <t>Osterblom, Henrik; Jouffray, Jean-Baptiste; Folke, Carl; Crona, Beatrice; Troell, Max; Merrie, Andrew; Rockstrom, Johan</t>
  </si>
  <si>
    <t>Transnational Corporations as 'Keystone Actors' in Marine Ecosystems</t>
  </si>
  <si>
    <t>FORAGE FISH; AQUACULTURE; ANTHROPOCENE; EMERGENCE; IMPACTS; RESILIENCE; SYSTEMS; COMMONS; FOOD</t>
  </si>
  <si>
    <t>Keystone species have a disproportionate influence on the structure and function of ecosystems. Here we analyze whether a keystone-like pattern can be observed in the relationship between transnational corporations and marine ecosystems globally. We show how thirteen corporations control 11-16% of the global marine catch (9-13 million tons) and 19-40% of the largest and most valuable stocks, including species that play important roles in their respective ecosystem. They dominate all segments of seafood production, operate through an extensive global network of subsidiaries and are profoundly involved in fisheries and aquaculture decision-making. Based on our findings, we define these companies as keystone actors of the Anthropocene. The phenomenon of keystone actors represents an increasingly important feature of the human-dominated world. Sustainable leadership by keystone actors could result in cascading effects throughout the entire seafood industry and enable a critical transition towards improved management of marine living resources and ecosystems.</t>
  </si>
  <si>
    <t>[Osterblom, Henrik; Jouffray, Jean-Baptiste; Folke, Carl; Crona, Beatrice; Merrie, Andrew; Rockstrom, Johan] Stockholm Univ, Stockholm Resilience Ctr, S-10691 Stockholm, Sweden; [Jouffray, Jean-Baptiste; Folke, Carl; Crona, Beatrice; Troell, Max] Royal Swedish Acad Sci, Global Econ Dynam &amp; Biosphere Acad Programme, S-10405 Stockholm, Sweden; [Folke, Carl; Troell, Max] Royal Swedish Acad Sci, Beijer Inst Ecol Econ, S-10405 Stockholm, Sweden</t>
  </si>
  <si>
    <t>Stockholm University; Royal Swedish Academy of Sciences; Global Economic Dynamics &amp; Biosphere - The Erling-Persson Family Academy Program; Royal Swedish Academy of Sciences; Beijer Institute of Ecological Economics</t>
  </si>
  <si>
    <t>Österblom, H (corresponding author), Stockholm Univ, Stockholm Resilience Ctr, S-10691 Stockholm, Sweden.</t>
  </si>
  <si>
    <t>henrik.osterblom@su.se</t>
  </si>
  <si>
    <t>Jouffray, Jean-Baptiste/AAN-1329-2020; Folke, Carl/Z-1545-2019; Rockström, Johan/G-1168-2010; Osterblom, Henrik/D-4249-2012; Troell, Max/I-1724-2019; Crona, Beatrice/HHZ-3183-2022</t>
  </si>
  <si>
    <t>Crona, Beatrice/0000-0003-1617-4067; Osterblom, Henrik/0000-0002-1913-5197; Folke, Carl/0000-0002-4050-3281; Rockström, Johan/0000-0001-8988-2983; Jouffray, Jean-Baptiste/0000-0002-4105-6372; Troell, Max/0000-0002-7509-8140</t>
  </si>
  <si>
    <t>Swedish Government; Nippon Foundation; Family Erling Persson Foundation; Kjell and Marta Beijer Foundation; Ivar Bendixsons fond</t>
  </si>
  <si>
    <t>Swedish Government; Nippon Foundation(Nippon Foundation); Family Erling Persson Foundation; Kjell and Marta Beijer Foundation; Ivar Bendixsons fond</t>
  </si>
  <si>
    <t>Baltic Ecosystem Adaptive Management (BEAM) is a strategic research initiative funded by the Swedish Government: http://www.regeringen.se/ (HO), the Nippon Foundation: http://www.nippon-foundation.or.jp/en/(HO, CF, AM), the Family Erling Persson Foundation: http://familjenerlingperssonsstiftelse.se/en/ (CF, BC, JBJ), the Kjell and Marta Beijer Foundation: http://www.beijerstiftelsen.se/(CF, MT, BC), Mistra (CF, JR, HO), Ivar Bendixsons fond (HO). The funders had no role in study design, data collection and analysis, decision to publish, or preparation of the manuscript.</t>
  </si>
  <si>
    <t>MAY 27</t>
  </si>
  <si>
    <t>e0127533</t>
  </si>
  <si>
    <t>10.1371/journal.pone.0127533</t>
  </si>
  <si>
    <t>CJ0RO</t>
  </si>
  <si>
    <t>WOS:000355185600087</t>
  </si>
  <si>
    <t>Stehle, S; Schulz, R</t>
  </si>
  <si>
    <t>Stehle, Sebastian; Schulz, Ralf</t>
  </si>
  <si>
    <t>Agricultural insecticides threaten surface waters at the global scale</t>
  </si>
  <si>
    <t>global surface waters; insecticide contamination; agriculture; regulatory risk assessment; biodiversity</t>
  </si>
  <si>
    <t>PYRETHROID INSECTICIDES; RISK MITIGATION; PESTICIDES; FIELD; INVERTEBRATES; BIODIVERSITY; COMMUNITIES; ECOSYSTEMS; POLLUTION; TOXICITY</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</si>
  <si>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similar to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similar to 90% of global cropland. Most importantly, of the 11,300 MICs, 52.4% (5,915 cases; 68.5% of the sites) exceeded the RTL for either surface water (RTLSW) or sediments. Thus, the biological integrity of global water resources is at a substantial risk. RTLSW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t>
  </si>
  <si>
    <t>[Stehle, Sebastian; Schulz, Ralf] Univ Koblenz Landau, Inst Environm Sci, D-76829 Landau, Germany</t>
  </si>
  <si>
    <t>RPTU University Kaiserslautern</t>
  </si>
  <si>
    <t>Schulz, R (corresponding author), Univ Koblenz Landau, Inst Environm Sci, D-76829 Landau, Germany.</t>
  </si>
  <si>
    <t>schulz@uni-landau.de</t>
  </si>
  <si>
    <t>Schulz, Ralf/G-3674-2011</t>
  </si>
  <si>
    <t>German Society for the Advancement of Sciences [DFG SCHU 2271/6-1]</t>
  </si>
  <si>
    <t>German Society for the Advancement of Sciences</t>
  </si>
  <si>
    <t>We thank Walter H. Schreiber and Ralf B. Schafer for statistical advice; Jorg Rapp and Caroline Nagele for support with Fig. 1; Ralf B. Schafer and Mikhail A. Beketov for support with Fig. 2A; Sascha Bub for support with database generation; Navin Ramankutty, Chris Metcalfe, Martin Scheringer, Ralf B. Schafer, Carsten A. Bruhl, James M. Dabrowski, Erin R. Bennett, and two anonymous reviewers for their valuable comments on earlier drafts of the manuscript; and David Imo, Niklas Keck, Bonny Krell, Koffi Tassou, and Sie Yung for translating the foreign-language studies. This study was funded by the German Society for the Advancement of Sciences (DFG SCHU 2271/6-1).</t>
  </si>
  <si>
    <t>MAY 5</t>
  </si>
  <si>
    <t>10.1073/pnas.1500232112</t>
  </si>
  <si>
    <t>CH3TS</t>
  </si>
  <si>
    <t>WOS:000353953800062</t>
  </si>
  <si>
    <t>Ginter, K; Kangur, A; Kangur, P; Kangur, K</t>
  </si>
  <si>
    <t>Ginter, Kai; Kangur, Andu; Kangur, Peeter; Kangur, Kuelil</t>
  </si>
  <si>
    <t>Consequences of size-selective harvesting and changing climate on the pikeperch Sander lucioperca in two large shallow north temperate lakes</t>
  </si>
  <si>
    <t>Pikeperch; Truncation of size-structure; Fisheries; Large lakes; Size-selective fishing</t>
  </si>
  <si>
    <t>FISHERIES MANAGEMENT; SPATIAL-DISTRIBUTION; POPULATION-DYNAMICS; PARNU BAY; PEIPSI; L.; PHOSPHORUS; VORTSJARV; GROWTH; BIODIVERSITY</t>
  </si>
  <si>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</si>
  <si>
    <t>[Ginter, Kai; Kangur, Andu; Kangur, Peeter; Kangur, Kuelil] Estonian Univ Life Sci, Ctr Limnol, Inst Agr &amp; Environm Sci, EE-61117 Rannu, Estonia</t>
  </si>
  <si>
    <t>Estonian University of Life Sciences</t>
  </si>
  <si>
    <t>Ginter, K (corresponding author), Estonian Univ Life Sci, Ctr Limnol, Inst Agr &amp; Environm Sci, EE-61117 Rannu, Estonia.</t>
  </si>
  <si>
    <t>kai.ginter@emu.ee</t>
  </si>
  <si>
    <t>Ginter, Kai/G-9358-2017; Kangur, Külli/H-3631-2016</t>
  </si>
  <si>
    <t>Ginter, Kai/0000-0001-8222-1517; Kangur, Külli/0000-0003-2484-4075</t>
  </si>
  <si>
    <t>Estonian Science Foundation [6820]; Estonian Target Financed Project [SF0170006s08]</t>
  </si>
  <si>
    <t>Estonian Science Foundation(Estonian Research Council); Estonian Target Financed Project</t>
  </si>
  <si>
    <t>The research was supported by the Estonian Science Foundation (Grant number 6820) and the Estonian Target Financed Project SF0170006s08. We gratefully acknowledge Elsevier Language Service for language editing and Marina Haldna for guidance in statistical modelling. We are also grateful to the Estonian-Swiss Cooperation Programme Project Increasing the capability of environmental monitoring on Estonian lakes and rivers for basic infrastructure modernisation.</t>
  </si>
  <si>
    <t>10.1016/j.fishres.2014.12.016</t>
  </si>
  <si>
    <t>CF7PM</t>
  </si>
  <si>
    <t>WOS:000352748800007</t>
  </si>
  <si>
    <t>Dalin, C; Qiu, H; Hanasaki, N; Mauzerall, DL; Rodriguez-Iturbe, I</t>
  </si>
  <si>
    <t>Dalin, Carole; Qiu, Huanguang; Hanasaki, Naota; Mauzerall, Denise L.; Rodriguez-Iturbe, Ignacio</t>
  </si>
  <si>
    <t>Balancing water resource conservation and food security in China</t>
  </si>
  <si>
    <t>virtual water; food trade; trade policy; sustainable agriculture; water saving</t>
  </si>
  <si>
    <t>CLIMATE-CHANGE; INTEGRATED MODEL; NORTHERN CHINA; TRADE; SUSTAINABILITY; TRANSFERS; STRESS</t>
  </si>
  <si>
    <t>China's economic growth is expected to continue into the next decades, accompanied by sustained urbanization and industrialization. The associated increase in demand for land, water resources, and rich foods will deepen the challenge of sustainably feeding the population and balancing agricultural and environmental policies. We combine a hydrologic model with an economic model to project China's future food trade patterns and embedded water resources by 2030 and to analyze the effects of targeted irrigation reductions on this system, notably on national agricultural water consumption and food self-sufficiency. We simulate interprovincial and international food trade with a general equilibrium welfare model and a linear programming optimization, and we obtain province-level estimates of commodities' virtual water content with a hydrologic model. We find that reducing irrigated land in regions highly dependent on scarce river flow and nonrenewable groundwater resources, such as Inner Mongolia and the greater Beijing area, can improve the efficiency of agriculture and trade regarding water resources. It can also avoid significant consumption of irrigation water across China (up to 14.8 km(3)/y, reduction by 14%), while incurring relatively small decreases in national food self-sufficiency (e.g., by 3% for wheat). Other researchers found that a national, rather than local, water policywould have similar effects on food production but would only reduce irrigation water consumption by 5%.</t>
  </si>
  <si>
    <t>[Dalin, Carole] London Sch Econ, Grantham Res Inst Climate Change &amp; Environm, London WC2A 2AE, England; [Mauzerall, Denise L.; Rodriguez-Iturbe, Ignacio] Princeton Univ, Dept Civil &amp; Environm Engn, Princeton, NJ 08544 USA; [Qiu, Huanguang] Renmin Univ China, Sch Agr Econ &amp; Rural Dev, Beijing 100872, Peoples R China; [Hanasaki, Naota] Natl Inst Environm Studies, Tsukuba, Ibaraki 3058506, Japan; [Mauzerall, Denise L.] Princeton Univ, Woodrow Wilson Sch Publ &amp; Int Affairs, Princeton, NJ 08544 USA</t>
  </si>
  <si>
    <t>University of London; London School Economics &amp; Political Science; Princeton University; Renmin University of China; National Institute for Environmental Studies - Japan; Princeton University</t>
  </si>
  <si>
    <t>Rodriguez-Iturbe, I (corresponding author), Princeton Univ, Dept Civil &amp; Environm Engn, Princeton, NJ 08544 USA.</t>
  </si>
  <si>
    <t>c.a.dalin@lse.ac.uk; irodrigu@princeton.edu</t>
  </si>
  <si>
    <t>; Hanasaki, Naota/C-2932-2009; Mauzerall, Denise/I-5977-2013; Dalin, Carole/AAF-1151-2021</t>
  </si>
  <si>
    <t>Dalin, Carole/0000-0002-2123-9622; Mauzerall, Denise/0000-0003-3479-1798;</t>
  </si>
  <si>
    <t>School of Engineering and Applied Sciences; Princeton Environmental Institute (Science, Technology, and Environmental Policy Fellowship); National Natural Science Foundation of China [71222302, 91325302]; Newton International Fellowship; Economic and Social Research Council [ES/K006576/1] Funding Source: researchfish; ESRC [ES/K006576/1] Funding Source: UKRI</t>
  </si>
  <si>
    <t>School of Engineering and Applied Sciences; Princeton Environmental Institute (Science, Technology, and Environmental Policy Fellowship); National Natural Science Foundation of China(National Natural Science Foundation of China (NSFC)); Newton International Fellowship; Economic and Social Research Council(UK Research &amp; Innovation (UKRI)Economic &amp; Social Research Council (ESRC)); ESRC(UK Research &amp; Innovation (UKRI)Economic &amp; Social Research Council (ESRC))</t>
  </si>
  <si>
    <t>H.Q. thanks M. Keyzer, J. Huang, W. van Veen, G. Fisher, and L. Sun for their valuable input on the CHINAGRO model. The authors also thank three reviewers for their constructive comments. Most of C.D.'s work was carried out at Princeton University, where the funding support from the School of Engineering and Applied Sciences and the Princeton Environmental Institute (Science, Technology, and Environmental Policy Fellowship) is gratefully acknowledged. H.Q. acknowledges the support of the National Natural Science Foundation of China (71222302, 91325302) and the Newton International Fellowship.</t>
  </si>
  <si>
    <t>APR 14</t>
  </si>
  <si>
    <t>10.1073/pnas.1504345112</t>
  </si>
  <si>
    <t>CF9BO</t>
  </si>
  <si>
    <t>WOS:000352856800038</t>
  </si>
  <si>
    <t>Piao, SL; Yin, GD; Tan, JG; Cheng, L; Huang, MT; Li, Y; Liu, RG; Mao, JF; Myneni, RB; Peng, SS; Poulter, B; Shi, XY; Xiao, ZQ; Zeng, N; Zeng, ZZ; Wang, YP</t>
  </si>
  <si>
    <t>Piao, Shilong; Yin, Guodong; Tan, Jianguang; Cheng, Lei; Huang, Mengtian; Li, Yue; Liu, Ronggao; Mao, Jiafu; Myneni, Ranga B.; Peng, Shushi; Poulter, Ben; Shi, Xiaoying; Xiao, Zhiqiang; Zeng, Ning; Zeng, ZhenZhong; Wang, Yingping</t>
  </si>
  <si>
    <t>Detection and attribution of vegetation greening trend in China over the last 30 years</t>
  </si>
  <si>
    <t>afforestation; attribution; China; CO2 fertilization effect; detection; greening trend; nitrogen deposition</t>
  </si>
  <si>
    <t>LEAF-AREA INDEX; TERRESTRIAL CARBON-CYCLE; NET PRIMARY PRODUCTION; PLANT GEOGRAPHY; CLIMATE-CHANGE; CO2; TEMPERATURE; NITROGEN; ECOSYSTEMS; SEASONALITY</t>
  </si>
  <si>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</si>
  <si>
    <t>[Piao, Shilong; Yin, Guodong; Tan, Jianguang; Huang, Mengtian; Li, Yue; Peng, Shushi; Zeng, ZhenZhong] Peking Univ, Coll Urban &amp; Environm Sci, Sino French Inst Earth Syst Sci, Beijing 100871, Peoples R China; [Piao, Shilong] Chinese Acad Sci, Inst Tibetan Plateau Res, Ctr Excellence Tibetan Earth Scicence, Beijing 100085, Peoples R China; [Cheng, Lei; Wang, Yingping] Ctr Australian Weather &amp; Climate Res, CSIRO Marine &amp; Atmospher Res, Aspendale, Vic 3195, Australia; [Liu, Ronggao; Shi, Xiaoying] Chinese Acad Sci, Inst Geog Sci &amp; Nat Resources Res, Beijing 100101, Peoples R China; [Mao, Jiafu] Oak Ridge Natl Lab, Climate Change Sci Inst, Oak Ridge, TN USA; [Mao, Jiafu] Oak Ridge Natl Lab, Div Environm Sci, Oak Ridge, TN 37831 USA; [Myneni, Ranga B.] Boston Univ, Dept Earth &amp; Environm, Boston, MA 02215 USA; [Poulter, Ben] Montana State Univ, Inst Ecosyst, Bozeman, MT 59717 USA; [Poulter, Ben] Montana State Univ, Dept Ecol, Bozeman, MT 59717 USA; [Xiao, Zhiqiang] Beijing Normal Univ, Sch Geog, Beijing 100875, Peoples R China; [Zeng, Ning] Univ Maryland, Dept Atmospher &amp; Ocean Sci, College Pk, MD 20740 USA</t>
  </si>
  <si>
    <t>Peking University; Chinese Academy of Sciences; Institute of Tibetan Plateau Research, CAS; Commonwealth Scientific &amp; Industrial Research Organisation (CSIRO); Chinese Academy of Sciences; Institute of Geographic Sciences &amp; Natural Resources Research, CAS; United States Department of Energy (DOE); Oak Ridge National Laboratory; United States Department of Energy (DOE); Oak Ridge National Laboratory; Boston University; Montana State University System; Montana State University Bozeman; Montana State University System; Montana State University Bozeman; Beijing Normal University; University System of Maryland; University of Maryland College Park</t>
  </si>
  <si>
    <t>Piao, SL (corresponding author), Peking Univ, Coll Urban &amp; Environm Sci, Sino French Inst Earth Syst Sci, Beijing 100871, Peoples R China.</t>
  </si>
  <si>
    <t>slpiao@pku.edu.cn</t>
  </si>
  <si>
    <t>Myneni, Ranga/F-5129-2012; Poulter, Ben/ABB-5886-2021; PENG, Shushi/AAS-2603-2020; Li, Yue/M-8824-2019; wang, yingping/A-9765-2011; Mao, Jiafu/B-9689-2012; Liu, Ronggao/L-8531-2019; Shi, Xiaoying/C-4447-2012; Li, Yue/O-9938-2018; Cheng, Lei/J-5552-2013; Zeng, Ning/A-3130-2008; Huang, Mengtian/JFK-8084-2023; Zeng, Zhenzhong/GQR-0044-2022; Tan, Jianguang/AAY-5463-2020; Huang, Mengtian/JFK-8084-2023; wang, ying-ping/A-9765-2011</t>
  </si>
  <si>
    <t>Myneni, Ranga/0000-0002-0234-6393; wang, yingping/0000-0002-4614-6203; Mao, Jiafu/0000-0002-2050-7373; Shi, Xiaoying/0000-0001-8994-5032; Li, Yue/0000-0003-2997-6368; Poulter, Benjamin/0000-0002-9493-8600; Zeng, Zhenzhong/0000-0001-6851-2756; Huang, Mengtian/0000-0002-1092-1562; Huang, Mengtian/0000-0002-1092-1562; Cheng, Lei/0000-0002-5298-9573</t>
  </si>
  <si>
    <t>National Basic Research Program of China [2013CB956303]; Chinese Ministry of Environmental Protection Grant [201209031]; National Natural Science Foundation of China [41125004, 31321061]; National Youth Top-notch Talent Support Program in China; 111 Project [B14001]; US Department of Energy (DOE), Office of Science, Biological and Environmental Research; DOE [DE-AC05-00OR22725]; Office of Integrative Activities; Office Of The Director [1443108] Funding Source: National Science Foundation</t>
  </si>
  <si>
    <t>National Basic Research Program of China(National Basic Research Program of China); Chinese Ministry of Environmental Protection Grant; National Natural Science Foundation of China(National Natural Science Foundation of China (NSFC)); National Youth Top-notch Talent Support Program in China; 111 Project(Ministry of Education, China - 111 Project); US Department of Energy (DOE), Office of Science, Biological and Environmental Research(United States Department of Energy (DOE)); DOE(United States Department of Energy (DOE)); Office of Integrative Activities; Office Of The Director(National Science Foundation (NSF)NSF - Office of the Director (OD)NSF - Office of Integrative Activities (OIA))</t>
  </si>
  <si>
    <t>This study was supported by the National Basic Research Program of China (Grant No. 2013CB956303), Chinese Ministry of Environmental Protection Grant (201209031), National Natural Science Foundation of China (41125004 and 31321061), National Youth Top-notch Talent Support Program in China and the 111 Project (B14001). Jiafu Mao and Xiaoying Shi are supported by the US Department of Energy (DOE), Office of Science, Biological and Environmental Research. Oak Ridge National Laboratory is managed by UT-BATTELLE for DOE under contract DE-AC05-00OR22725. The simulation of CLM is supported by the US Department of Energy (DOE), Office of Science, Biological and Environmental Research. Oak Ridge National Laboratory is managed by UT-BATTELLE for DOE under contract DE-AC05-00OR22725.</t>
  </si>
  <si>
    <t>10.1111/gcb.12795</t>
  </si>
  <si>
    <t>CD6QM</t>
  </si>
  <si>
    <t>WOS:000351214100022</t>
  </si>
  <si>
    <t>De Grave, S; Smith, KG; Adeler, NA; Allen, DJ; Alvarez, F; Anker, A; Cai, YX; Carrizo, SF; Klotz, W; Mantelatto, FL; Page, TJ; Shy, JY; Villalobos, JL; Wowor, D</t>
  </si>
  <si>
    <t>De Grave, Sammy; Smith, Kevin G.; Adeler, Nils A.; Allen, Dave J.; Alvarez, Fernando; Anker, Arthur; Cai, Yixiong; Carrizo, Savrina F.; Klotz, Werner; Mantelatto, Fernando L.; Page, Timothy J.; Shy, Jhy-Yun; Luis Villalobos, Jose; Wowor, Daisy</t>
  </si>
  <si>
    <t>Dead Shrimp Blues: A Global Assessment of Extinction Risk in Freshwater Shrimps (Crustacea: Decapoda: Caridea)</t>
  </si>
  <si>
    <t>CONSERVATION; BIODIVERSITY; DIVERSITY; GENUS; RADIATION; THREATS; TRENDS; LAKES</t>
  </si>
  <si>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</si>
  <si>
    <t>[De Grave, Sammy] Univ Oxford, Museum Nat Hist, Oxford, England; [Smith, Kevin G.; Adeler, Nils A.; Allen, Dave J.; Carrizo, Savrina F.] Int Union Conservat Nat, Global Species Programme, Cambridge, England; [Alvarez, Fernando; Luis Villalobos, Jose] Univ Nacl Autonoma Mexico, Inst Biol, Colecc Nacl Crustaceos, Mexico City 04510, DF, Mexico; [Anker, Arthur] Natl Univ Singapore, Trop Marine Sci Inst, Singapore 117548, Singapore; [Cai, Yixiong] Natl Pk Board, Singapore, Singapore; [Mantelatto, Fernando L.] Univ Sao Paulo, Dept Biol, Lab Bioecol &amp; Crustacean Systemat, BR-14049 Ribeirao Preto, Brazil; [Page, Timothy J.] Griffith Univ, Australian Rivers Inst, Nathan, Qld 4111, Australia; [Shy, Jhy-Yun] Natl Penghu Univ Sci &amp; Technol, Penghu, Taiwan; [Wowor, Daisy] Indonesian Inst Sci LIPI, Biol Res Ctr, Div Zool, Cibinong, Indonesia</t>
  </si>
  <si>
    <t>University of Oxford; Universidad Nacional Autonoma de Mexico; National University of Singapore; Universidade de Sao Paulo; Griffith University; National Penghu University of Science &amp; Technology; National Research &amp; Innovation Agency of Indonesia (BRIN)</t>
  </si>
  <si>
    <t>De Grave, S (corresponding author), Univ Oxford, Museum Nat Hist, Oxford, England.</t>
  </si>
  <si>
    <t>sammy.degrave@oum.ox.ac.uk</t>
  </si>
  <si>
    <t>Álvarez, Fernando/G-6503-2018; Page, Timothy/B-9000-2008; Mantelatto, Fernando L/H-2695-2012; Anker, Arthur/AAL-5555-2021; Cai, Yixiong/JYO-3969-2024; Mantelatto, Fernando/H-2695-2012; Fapesp, Biota/F-8655-2017</t>
  </si>
  <si>
    <t>Page, Timothy/0000-0002-3521-3503; Villalobos Hiriart, José Luis/0000-0001-6810-2300; Mantelatto, Fernando L/0000-0002-8497-187X; Klotz, Werner/0000-0002-1104-5613; Fapesp, Biota/0000-0002-9887-8449; Cai, Yixiong/0009-0008-6499-5795; smith, kevin/0000-0002-0785-3028</t>
  </si>
  <si>
    <t>'Biodiversity of Freshwater Ecosystems: Trends, Pressures and Conservation Priorities (BioFresh)' FP7 project - European Union</t>
  </si>
  <si>
    <t>This work was supported through the 'Biodiversity of Freshwater Ecosystems: Trends, Pressures and Conservation Priorities (BioFresh)' FP7 project funded by the European Union.</t>
  </si>
  <si>
    <t>MAR 25</t>
  </si>
  <si>
    <t>e0120198</t>
  </si>
  <si>
    <t>10.1371/journal.pone.0120198</t>
  </si>
  <si>
    <t>CE5MO</t>
  </si>
  <si>
    <t>WOS:000351880000071</t>
  </si>
  <si>
    <t>Aichele, R; Felbermayr, G</t>
  </si>
  <si>
    <t>Aichele, Rahel; Felbermayr, Gabriel</t>
  </si>
  <si>
    <t>KYOTO AND CARBON LEAKAGE: AN EMPIRICAL ANALYSIS OF THE CARBON CONTENT OF BILATERAL TRADE</t>
  </si>
  <si>
    <t>REVIEW OF ECONOMICS AND STATISTICS</t>
  </si>
  <si>
    <t>INTERNATIONAL-TRADE; POLLUTION; AGREEMENTS; POLICY</t>
  </si>
  <si>
    <t>Has the Kyoto Protocol induced carbon leakage? We conduct the first empirical ex post evaluation of the protocol. We derive a theoretical gravity equation for the carbon dioxide content of trade, which accounts for intermediate inputs, both domestic and imported. The structure of our new panel database of the carbon content of sectoral bilateral trade flows allows controlling for the endogenous selection of countries into the Kyoto Protocol. Binding commitments under Kyoto have increased committed countries' embodied carbon imports from noncommitted countries by around 8% and the emission intensity of their imports by about 3%. Hence, Kyoto has indeed led to leakage.</t>
  </si>
  <si>
    <t>[Aichele, Rahel] Ifo Inst Munich, Munich, Germany; [Aichele, Rahel; Felbermayr, Gabriel] CESifo, Munich, Germany; [Felbermayr, Gabriel] Ifo Inst, Munich, Germany; [Felbermayr, Gabriel] Ludwig Maximilians Univ Munchen, Munich, Germany; [Felbermayr, Gabriel] GEP Nottingham, Nottingham, England</t>
  </si>
  <si>
    <t>Leibniz Association; Ifo Institut; Leibniz Association; Ifo Institut; Leibniz Association; Ifo Institut; University of Munich; University of Nottingham</t>
  </si>
  <si>
    <t>Aichele, R (corresponding author), Ifo Inst Munich, Munich, Germany.</t>
  </si>
  <si>
    <t>Felbermayr, Gabriel/0000-0003-4984-9745</t>
  </si>
  <si>
    <t>DFG grant [583467]</t>
  </si>
  <si>
    <t>DFG grant(German Research Foundation (DFG))</t>
  </si>
  <si>
    <t>We thank the editor, Gordon Hanson, and two anonymous referees for insightful comments and suggestions. We are grateful to seminar participants at the Universities of Arhus, Calgary, Gottingen, Kiel, Munich, Nottingham-Ningbo, Syracuse, and Tubingen and the meetings of AFSE, CEA, EAERE, EEA, EGIT, ETSG, VfS, and WCERE for comments. Special thanks to Robert J. R. Elliott, Meredith Fowlie, Benjamin Jung, Wilhelm Kohler, Mary E. Lovely, Devashish Mitra, Volker Nitsch, Sonja Peterson, David Popp, Marcel Smolka, and M. Scott Taylor for helpful suggestions. We acknowledge financial support from DFG grant 583467.</t>
  </si>
  <si>
    <t>MIT PRESS</t>
  </si>
  <si>
    <t>CAMBRIDGE</t>
  </si>
  <si>
    <t>ONE ROGERS ST, CAMBRIDGE, MA 02142-1209 USA</t>
  </si>
  <si>
    <t>0034-6535</t>
  </si>
  <si>
    <t>1530-9142</t>
  </si>
  <si>
    <t>REV ECON STAT</t>
  </si>
  <si>
    <t>Rev. Econ. Stat.</t>
  </si>
  <si>
    <t>10.1162/REST_a_00438</t>
  </si>
  <si>
    <t>Economics; Social Sciences, Mathematical Methods</t>
  </si>
  <si>
    <t>Business &amp; Economics; Mathematical Methods In Social Sciences</t>
  </si>
  <si>
    <t>CC7OD</t>
  </si>
  <si>
    <t>WOS:000350556700008</t>
  </si>
  <si>
    <t>Haddad, NM; Brudvig, LA; Clobert, J; Davies, KF; Gonzalez, A; Holt, RD; Lovejoy, TE; Sexton, JO; Austin, MP; Collins, CD; Cook, WM; Damschen, EI; Ewers, RM; Foster, BL; Jenkins, CN; King, AJ; Laurance, WF; Levey, DJ; Margules, CR; Melbourne, BA; Nicholls, AO; Orrock, JL; Song, DX; Townshend, JR</t>
  </si>
  <si>
    <t>Haddad, Nick M.; Brudvig, Lars A.; Clobert, Jean; Davies, Kendi F.; Gonzalez, Andrew; Holt, Robert D.; Lovejoy, Thomas E.; Sexton, Joseph O.; Austin, Mike P.; Collins, Cathy D.; Cook, William M.; Damschen, Ellen I.; Ewers, Robert M.; Foster, Bryan L.; Jenkins, Clinton N.; King, Andrew J.; Laurance, William F.; Levey, Douglas J.; Margules, Chris R.; Melbourne, Brett A.; Nicholls, A. O.; Orrock, John L.; Song, Dan-Xia; Townshend, John R.</t>
  </si>
  <si>
    <t>Habitat fragmentation and its lasting impact on Earth's ecosystems</t>
  </si>
  <si>
    <t>FOREST FRAGMENTATION; BIODIVERSITY CONSERVATION; GENETIC CONSEQUENCES; PLANT-COMMUNITIES; SPECIES RICHNESS; EXTINCTION DEBT; LANDSCAPE; DYNAMICS; DISPERSAL; CONNECTIVITY</t>
  </si>
  <si>
    <t>We conducted an analysis of global forest cover to reveal that 70% of remaining forest is within 1 km of the forest's edge, subject to the degrading effects of fragmentation. A synthesis of fragmentation experiments spanning multiple biomes and scales, five continents, and 35 years demonstrates that habitat fragmentation reduces biodiversity by 13 to 75% and impairs key ecosystem functions by decreasing biomass and altering nutrient cycles. Effects are greatest in the smallest and most isolated fragments, and they magnify with the passage of time. These findings indicate an urgent need for conservation and restoration measures to improve landscape connectivity, which will reduce extinction rates and help maintain ecosystem services.</t>
  </si>
  <si>
    <t>[Haddad, Nick M.] North Carolina State Univ, Dept Biol Sci, Raleigh, NC 27695 USA; [Brudvig, Lars A.] Michigan State Univ, Dept Plant Biol, E Lansing, MI 48824 USA; [Clobert, Jean] CNRS, Moulis USR 2936, Stn Ecol Expt, F-09200 Moulis, St Girons, France; [Davies, Kendi F.; Melbourne, Brett A.] Univ Colorado, Dept Ecol &amp; Evolutionary Biol, Boulder, CO 80309 USA; [Gonzalez, Andrew] McGill Univ, Dept Biol, Montreal, PQ H3A 1B1, Canada; [Holt, Robert D.] Univ Florida, Dept Biol, Gainesville, FL 32611 USA; [Lovejoy, Thomas E.] George Mason Univ, Dept Environm Sci &amp; Policy, Fairfax, VA 22030 USA; [Sexton, Joseph O.; Song, Dan-Xia; Townshend, John R.] Univ Maryland, Dept Geog Sci, Global Land Cover Facil, College Pk, MD 20702 USA; [Austin, Mike P.; King, Andrew J.; Nicholls, A. O.] CSIRO Land &amp; Water Flagship, Canberra, ACT 2601, Australia; [Collins, Cathy D.] Colby Coll, Dept Biol, Waterville, ME 04901 USA; [Cook, William M.] St Cloud State Univ, Dept Biol Sci, St Cloud, MN 56301 USA; [Damschen, Ellen I.; Orrock, John L.] Univ Wisconsin, Dept Zool, Madison, WI 53706 USA; [Ewers, Robert M.] Imperial Coll London, Dept Life Sci, Ascot SL5 7PY, Berks, England; [Foster, Bryan L.] Univ Kansas, Dept Ecol &amp; Evolutionary Biol, Lawrence, KS 66047 USA; [Foster, Bryan L.] Univ Kansas, Kansas Biol Survey, Lawrence, KS 66047 USA; [Jenkins, Clinton N.] Inst Pesquisas Ecol, BR-12960000 Sao Paulo, Brazil; [Laurance, William F.] James Cook Univ, Ctr Trop Environm &amp; Sustainabil Sci, Cairns, Qld 4878, Australia; [Laurance, William F.] James Cook Univ, Coll Marine &amp; Environm Sci, Cairns, Qld 4878, Australia; [Levey, Douglas J.] Natl Sci Fdn, Arlington, VA 22230 USA; [Margules, Chris R.] James Cook Univ, Sch Earth &amp; Environm Sci, Ctr Trop Environm &amp; Sustainabil Sci, Cairns 4878, Australia; [Margules, Chris R.] Univ Indonesia, Res Ctr Climate Change, Kota Depok 16424, Java Barat, Indonesia; [Nicholls, A. O.] Charles Sturt Univ, Inst Land Water &amp; Soc, Albury, NSW 2640, Australia</t>
  </si>
  <si>
    <t>North Carolina State University; Michigan State University; Centre National de la Recherche Scientifique (CNRS); University of Colorado System; University of Colorado Boulder; McGill University; State University System of Florida; University of Florida; George Mason University; University System of Maryland; University of Maryland College Park; Commonwealth Scientific &amp; Industrial Research Organisation (CSIRO); CSIRO Land &amp; Water; Colby College; Minnesota State Colleges &amp; Universities; Saint Cloud State University; University of Wisconsin System; University of Wisconsin Madison; Imperial College London; University of Kansas; University of Kansas; Instituto de Pesquisas Ecologicas; James Cook University; James Cook University; National Science Foundation (NSF); James Cook University; University of Indonesia; Charles Sturt University</t>
  </si>
  <si>
    <t>Haddad, NM (corresponding author), North Carolina State Univ, Dept Biol Sci, Raleigh, NC 27695 USA.</t>
  </si>
  <si>
    <t>nick_haddad@ncsu.edu</t>
  </si>
  <si>
    <t>Jenkins, Clinton/D-6134-2011; King, Andrew/C-3810-2012; Damschen, Ellen/E-4919-2011; Gonzalez, Andrew/F-2247-2010; Laurance, William/B-2709-2012; Melbourne, Brett/KBQ-9784-2024; Margules, Chris/F-4605-2012; King, Anew/C-3810-2012; Townshend, John/G-2607-2011</t>
  </si>
  <si>
    <t>Jenkins, Clinton/0000-0003-2198-0637; Melbourne, Brett/0000-0002-8843-4131; King, Anew/0000-0002-1348-7984;</t>
  </si>
  <si>
    <t>ERC (European Research Council) [281986]; Natural Sciences and Engineering Research Council; Canada Research Chair program; Quebec Centre for Biodiversity Science; Brazilian agency CAPES through the Ciencia Sem Fronteiras program; labex TULIP; ANR Infrastructure grant AnaEE-France; NASA Making Earth System Data Records for Use in Research Environments (MEaSUREs) [NNH06ZDA001N]; Land Cover and Land Use Change [NNH07ZDA001N-LCLUC]; Andrew W. Mellon Foundation (BDFFP); Kansas Biological Survey and National Science Foundation (NSF) [DEB 01-08302, DEB-0950100]; U. S. Department of Agriculture Forest ServiceSavannah River (SRS Corridor Experiment); NSF and Environment and Heritage NSW [DEB 0841892]; Forestry Corporation NSW; CSIRO Ecosystem Sciences (Wog Wog); Sime Darby Foundation (SAFE); Environment and Heritage NSW; European Research Council (ERC) [281986] Funding Source: European Research Council (ERC); Direct For Biological Sciences; Division Of Environmental Biology [1354101, 1350872, 1354218, 0950100] Funding Source: National Science Foundation; Direct For Biological Sciences; Division Of Integrative Organismal Systems [1050591] Funding Source: National Science Foundation; Division Of Environmental Biology; Direct For Biological Sciences [1354085] Funding Source: National Science Foundation</t>
  </si>
  <si>
    <t>ERC (European Research Council)(European Research Council (ERC)); Natural Sciences and Engineering Research Council(Natural Sciences and Engineering Research Council of Canada (NSERC)); Canada Research Chair program(Canada Research Chairs); Quebec Centre for Biodiversity Science; Brazilian agency CAPES through the Ciencia Sem Fronteiras program; labex TULIP; ANR Infrastructure grant AnaEE-France(Agence Nationale de la Recherche (ANR)); NASA Making Earth System Data Records for Use in Research Environments (MEaSUREs); Land Cover and Land Use Change; Andrew W. Mellon Foundation (BDFFP); Kansas Biological Survey and National Science Foundation (NSF)(National Science Foundation (NSF)); U. S. Department of Agriculture Forest ServiceSavannah River (SRS Corridor Experiment); NSF and Environment and Heritage NSW(National Science Foundation (NSF)); Forestry Corporation NSW; CSIRO Ecosystem Sciences (Wog Wog); Sime Darby Foundation (SAFE); Environment and Heritage NSW; European Research Council (ERC)(European Research Council (ERC)); Direct For Biological Sciences; Division Of Environmental Biology(National Science Foundation (NSF)NSF - Directorate for Biological Sciences (BIO)); Direct For Biological Sciences; Division Of Integrative Organismal Systems(National Science Foundation (NSF)NSF - Directorate for Biological Sciences (BIO)NSF - Division of Integrative Organismal Systems (IOS)); Division Of Environmental Biology; Direct For Biological Sciences(National Science Foundation (NSF)NSF - Directorate for Biological Sciences (BIO))</t>
  </si>
  <si>
    <t>R.M.E. is supported by ERC (European Research Council) Project number 281986. A. G. is supported by the Natural Sciences and Engineering Research Council, the Canada Research Chair program, and the Quebec Centre for Biodiversity Science. C. N. J. was supported by the Brazilian agency CAPES through the Ciencia Sem Fronteiras program. R. D. H. thanks the University of Florida Foundation. J. C. is supported by the labex TULIP and the ANR Infrastructure grant AnaEE-France. Global forest cover data and analysis were provided under support from the NASA Making Earth System Data Records for Use in Research Environments (MEaSUREs; NNH06ZDA001N) and Land Cover and Land Use Change (NNH07ZDA001N-LCLUC) programs. For long-term support of experiments, we thank the Andrew W. Mellon Foundation (BDFFP); the Kansas Biological Survey and National Science Foundation (NSF) (DEB 01-08302 and DEB-0950100; Kansas Experiment); NSF and U. S. Department of Agriculture Forest ServiceSavannah River (SRS Corridor Experiment); NSF DEB 0841892 and Environment and Heritage NSW, Forestry Corporation NSW, and CSIRO Ecosystem Sciences (Wog Wog); and the Sime Darby Foundation (SAFE).</t>
  </si>
  <si>
    <t>e1500052</t>
  </si>
  <si>
    <t>10.1126/sciadv.1500052</t>
  </si>
  <si>
    <t>V0V2X</t>
  </si>
  <si>
    <t>WOS:000216591000009</t>
  </si>
  <si>
    <t>Vuorinen, I; Hänninen, J; Rajasilta, M; Laine, P; Eklund, J; Montesino-Pouzols, F; Corona, F; Junker, K; Meier, HEM; Dippner, JW</t>
  </si>
  <si>
    <t>Vuorinen, Ilppo; Hanninen, Jari; Rajasilta, Marjut; Laine, Paivi; Eklund, Jan; Montesino-Pouzols, Federico; Corona, Francesco; Junker, Karin; Meier, H. E. Markus; Dippner, Joachim W.</t>
  </si>
  <si>
    <t>Scenario simulations of future salinity and ecological consequences in the Baltic Sea and adjacent North Sea areas-implications for environmental monitoring</t>
  </si>
  <si>
    <t>Environmental monitoring and conservation; Species richness; Foundation species; Zoogeographic distribution; Global environmental change</t>
  </si>
  <si>
    <t>REPRODUCTIVE SUCCESS; CLUPEA-HARENGUS; MODEL; CLIMATE; GROWTH; BIODIVERSITY; DIVERSITY; GRADIENT; BIOMASS; SPRAT</t>
  </si>
  <si>
    <t>Substantial ecological changes occurred in the 1970s in the Northern Baltic during a temporary period of low salinity (S). This period was preceded by an episodic increase in the rainfall over the Baltic Sea Watershed area. Several climate models, both global and regional, project an increase in the runoff of the Northern latitudes due to proceeding climate change. The aim of this study is to model, firstly, the effects on Baltic Sea salinity of increased runoff due to projected global change and, secondly, the effects of salinity change on the distribution of marine species. The results suggest a critical shift in the S range 5-7, which is a threshold for both freshwater and marine species distributions and diversity. We discuss several topics emphasizing future monitoring, modelling, and fisheries research. Environmental monitoring and modelling are investigated because the developing alternative ecosystems do not necessarily show the same relations to environment quality factors as the retiring ones. An important corollary is that the observed and modelled S changes considered together with species' ranges indicate what may appear under a future climate. Consequences could include a shift in distribution areas of marine benthic foundation species and some 40-50 other species, affiliated to these. This change would extend over hundreds of kilometres, in the Baltic Sea and the adjacent North Sea areas. Potential cascading effects, in coastal ecology, fish ecology and fisheries would be extensive, and point out the necessity to develop further the ecosystem approach in the environmental monitoring. (C) 2014 The Authors. Published by Elsevier Ltd.</t>
  </si>
  <si>
    <t>[Vuorinen, Ilppo; Hanninen, Jari; Rajasilta, Marjut; Laine, Paivi; Eklund, Jan] Univ Turku, Archipelago Res Inst, Turku, Finland; [Montesino-Pouzols, Federico] Univ Helsinki, Dept Biosci, Ctr Excellence Metapopulat Biol, Helsinki, Finland; [Corona, Francesco] Aalto Univ, Fac Informat &amp; Comp Sci, Sch Sci, Helsinki, Finland; [Junker, Karin; Dippner, Joachim W.] Leibniz Inst Balt Sea Res, Rostock, Germany; [Meier, H. E. Markus] Swedish Meteorol &amp; Hydrol Inst, S-60176 Norrkoping, Sweden; [Meier, H. E. Markus] Stockholm Univ, Dept Meteorol, S-10691 Stockholm, Sweden</t>
  </si>
  <si>
    <t>University of Turku; University of Helsinki; Aalto University; Leibniz Institut fur Ostseeforschung Warnemunde; Swedish Meteorological &amp; Hydrological Institute; Stockholm University</t>
  </si>
  <si>
    <t>Vuorinen, I (corresponding author), Univ Turku, Archipelago Res Inst, Turku, Finland.</t>
  </si>
  <si>
    <t>Ilppo.Vuorinen@utu.fi</t>
  </si>
  <si>
    <t>Hänninen, Jari/B-5033-2016; Corona, Francesco/G-3412-2013; Montesino Pouzols, Federico/D-7995-2014; Pouzols, Federico/D-7995-2014</t>
  </si>
  <si>
    <t>Hänninen, Jari/0000-0001-8746-9570; Corona, Francesco/0000-0002-3615-1359; Montesino Pouzols, Federico/0000-0002-2981-5612; Meier, H E Markus/0000-0001-5855-4645;</t>
  </si>
  <si>
    <t>European Community [217246]; joint Baltic Sea research and development programme; Swedish Environmental Protection Agency (SEPA) [08/390]</t>
  </si>
  <si>
    <t>European Community; joint Baltic Sea research and development programme; Swedish Environmental Protection Agency (SEPA)</t>
  </si>
  <si>
    <t>We thank Olavi Sahlsten for fish samples, Leena Laurila, Juha Madrid and Jukka Nurminen for maps and photographs and Christoffer Bostrom for references to Zostera. The research presented is part of the project AMBER (Assessment and Modelling Baltic Ecosystem Response) and has received funding from the European Community's Seventh Framework Programme (FP/2007-2013) under grant agreement no. 217246 made with BONUS, the joint Baltic Sea research and development programme, and from the Swedish Environmental Protection Agency (SEPA, ref. no. 08/390). Robert M. Badeau, Ph.D., of Aura Professional English Consulting, Ltd. is acknowledged for the language content editing of this manuscript.</t>
  </si>
  <si>
    <t>10.1016/j.ecolind.2014.10.019</t>
  </si>
  <si>
    <t>AZ5MO</t>
  </si>
  <si>
    <t>WOS:000348265200019</t>
  </si>
  <si>
    <t>Jambeck, JR; Geyer, R; Wilcox, C; Siegler, TR; Perryman, M; Andrady, A; Narayan, R; Law, KL</t>
  </si>
  <si>
    <t>Jambeck, Jenna R.; Geyer, Roland; Wilcox, Chris; Siegler, Theodore R.; Perryman, Miriam; Andrady, Anthony; Narayan, Ramani; Law, Kara Lavender</t>
  </si>
  <si>
    <t>Plastic waste inputs from land into the ocean</t>
  </si>
  <si>
    <t>SUBTROPICAL GYRE; DEBRIS; ACCUMULATION</t>
  </si>
  <si>
    <t>Plastic debris in the marine environment is widely documented, but the quantity of plastic entering the ocean from waste generated on land is unknown. By linking worldwide data on solid waste, population density, and economic status, we estimated the mass of land-based plastic waste entering the ocean. We calculate that 275 million metric tons (MT) of plastic waste was generated in 192 coastal countries in 2010, with 4.8 to 12.7 million MT entering the ocean. Population size and the quality of waste management systems largely determine which countries contribute the greatest mass of uncaptured waste available to become plastic marine debris. Without waste management infrastructure improvements, the cumulative quantity of plastic waste available to enter the ocean from land is predicted to increase by an order of magnitude by 2025.</t>
  </si>
  <si>
    <t>[Jambeck, Jenna R.; Perryman, Miriam] Univ Georgia, Coll Engn, Athens, GA 30602 USA; [Geyer, Roland] Univ Calif, Bren Sch Environm Sci &amp; Management, Santa Barbara, CA 93106 USA; [Wilcox, Chris] Commonwealth Sci &amp; Ind Res Org, Oceans &amp; Atmosphere Flagship, Hobart, Tas 7000, Australia; [Siegler, Theodore R.] DSM Environm Serv, Windsor, VT 05089 USA; [Andrady, Anthony] N Carolina State Univ, Dept Chem &amp; Biomol Engn, Raleigh, NC 27695 USA; [Narayan, Ramani] Michigan State Univ, Dept Chem Engn &amp; Mat Sci, E Lansing, MI 48824 USA; [Law, Kara Lavender] Sea Educ Assoc, Woods Hole, MA 02543 USA</t>
  </si>
  <si>
    <t>University System of Georgia; University of Georgia; Commonwealth Scientific &amp; Industrial Research Organisation (CSIRO); North Carolina State University; Michigan State University</t>
  </si>
  <si>
    <t>Jambeck, JR (corresponding author), Univ Georgia, Coll Engn, 412 Driftmier Engn Ctr, Athens, GA 30602 USA.</t>
  </si>
  <si>
    <t>jjambeck@uga.edu</t>
  </si>
  <si>
    <t>Wilcox, Chris/A-3585-2010; Law, Kara/OJU-3096-2025; Jambeck, Jenna/C-3357-2018</t>
  </si>
  <si>
    <t>Jambeck, Jenna/0000-0003-1248-7218; Law, Kara/0000-0002-5298-6751; Anady, Anthony/0000-0001-8683-9998</t>
  </si>
  <si>
    <t>Ocean Conservancy</t>
  </si>
  <si>
    <t>We thank M. A. Barlaz and N. Starr for critical discussions and L. Amaral-Zettler, M. G. Chapman, G. Leonard, and R. Williams for helpful reading of the manuscript. We also thank the anonymous reviewers for their constructive comments. This work was conducted within the Marine Debris Working Group at the National Center for Ecological Analysis and Synthesis, University of California, Santa Barbara, with support from the Ocean Conservancy. Our data and model can be found at http://jambeck.engr.uga.edu/landplasticinput and in the supplementary materials.</t>
  </si>
  <si>
    <t>FEB 13</t>
  </si>
  <si>
    <t>10.1126/science.1260352</t>
  </si>
  <si>
    <t>CA9DT</t>
  </si>
  <si>
    <t>WOS:000349221300047</t>
  </si>
  <si>
    <t>Cai, WJ; Wang, GJ; Santoso, A; McPhaden, MJ; Wu, LX; Jin, FF; Timmermann, A; Collins, M; Vecchi, G; Lengaigne, M; England, MH; Dommenget, D; Takahashi, K; Guilyardi, E</t>
  </si>
  <si>
    <t>Cai, Wenju; Wang, Guojian; Santoso, Agus; McPhaden, Michael J.; Wu, Lixin; Jin, Fei-Fei; Timmermann, Axel; Collins, Mat; Vecchi, Gabriel; Lengaigne, Matthieu; England, Matthew H.; Dommenget, Dietmar; Takahashi, Ken; Guilyardi, Eric</t>
  </si>
  <si>
    <t>Increased frequency of extreme La Nina events under greenhouse warming</t>
  </si>
  <si>
    <t>NATURE CLIMATE CHANGE</t>
  </si>
  <si>
    <t>EL-NINO; BANGLADESH; PACIFIC; IMPACTS; WEATHER; OCEAN; ENSO</t>
  </si>
  <si>
    <t>The El Nino/Southern Oscillation is Earth's most prominent source of interannual climate variability, alternating irregularly between El Nino and La Nina, and resulting in global disruption of weather patterns, ecosystems, fisheries and agriculture(1-5). The 1998-1999 extreme La Nina event that followed the 1997-1998 extreme El Nino event(6) switched extreme El Nino-induced severe droughts to devastating floods in western Pacific countries, and vice versa in the southwestern United States(4,7). During extreme La Nina events, cold sea surface conditions develop in the central Pacific(8,9), creating an enhanced temperature gradient from the Maritime continent to the central Pacific. Recent studies have revealed robust changes in El Nino characteristics in response to simulated future greenhouse warming(10-12), but how La Nina will change remains unclear. Here we present climate modelling evidence, from simulations conducted for the Coupled Model Intercomparison Project phase 5 (ref. 13), for a near doubling in the frequency of future extreme La Nina events, from one in every 23 years to one in every 13 years. This occurs because projected faster mean warming of the Maritime continent than the central Pacific, enhanced upper ocean vertical temperature gradients, and increased frequency of extreme El Nino events are conducive to development of the extreme La Nina events. Approximately 75% of the increase occurs in years following extreme El Nino events, thus projecting more frequent swings between opposite extremes from one year to the next.</t>
  </si>
  <si>
    <t>[Cai, Wenju; Wang, Guojian] CSIRO, Oceans &amp; Atmosphere Flagship, Aspendale, Vic 3195, Australia; [Cai, Wenju; Wang, Guojian; Wu, Lixin] Ocean Univ China, Qingdao Collaborat Innovat Ctr Marine Sci &amp; Techn, Phys Oceanog Lab, Qingdao 266003, Peoples R China; [Santoso, Agus; England, Matthew H.] Univ New S Wales, ARC, Ctr Excellence Climate Syst Sci, Sydney, NSW 2052, Australia; [McPhaden, Michael J.] NOAA, Pacific Marine Environm Lab, Seattle, WA 98115 USA; [Jin, Fei-Fei] Univ Hawaii, SOEST, Dept Meteorol, Honolulu, HI 96822 USA; [Timmermann, Axel] Univ Hawaii, SOEST, Dept Oceanog, IPRC, Honolulu, HI 96822 USA; [Collins, Mat] Univ Exeter, Coll Engn Math &amp; Phys Sci, Exeter EX1 3PB, Devon, England; [Vecchi, Gabriel] NOAA, Geophys Fluid Dynam Lab, Princeton, NJ 08540 USA; [Lengaigne, Matthieu; Guilyardi, Eric] UPMC, IRD, CNRS, MNHN,LOCEAN, Paris 05, France; [Dommenget, Dietmar] Monash Univ, Sch Math Sci, Clayton, Vic 3800, Australia; [Takahashi, Ken] Inst Geofis Peru, Lima 169, Peru; [Guilyardi, Eric] Univ Reading, NCAS Climate, Reading RG6 6BB, Berks, England</t>
  </si>
  <si>
    <t>Commonwealth Scientific &amp; Industrial Research Organisation (CSIRO); Ocean University of China; University of New South Wales Sydney; National Oceanic Atmospheric Admin (NOAA) - USA; University of Hawaii System; University of Hawaii System; University of Exeter; National Oceanic Atmospheric Admin (NOAA) - USA; Sorbonne Universite; Centre National de la Recherche Scientifique (CNRS); Museum National d'Histoire Naturelle (MNHN); Institut de Recherche pour le Developpement (IRD); Monash University; University of Reading; UK Research &amp; Innovation (UKRI); Natural Environment Research Council (NERC); NERC National Centre for Atmospheric Science</t>
  </si>
  <si>
    <t>Cai, WJ (corresponding author), CSIRO, Oceans &amp; Atmosphere Flagship, Aspendale, Vic 3195, Australia.</t>
  </si>
  <si>
    <t>wenju.cai@csiro.au</t>
  </si>
  <si>
    <t>Wang, Guojian/AAF-9297-2020; Santoso, Agus/J-7350-2012; Collins, Matthew/F-8473-2011; Takahashi, Ken/G-5321-2010; Lengaigne, Matthieu/M-8321-2014; Guilyardi, Eric/D-4868-2011; Dommenget, Dietmar/B-9828-2011; cai, wenju/C-2864-2012; Cai, Wenju/C-2864-2012; England, Matthew/A-7539-2011; Timmermann, Axel/F-4977-2011; Jin, Fei-Fei/B-5639-2016; McPhaden, Michael/D-9799-2016; Wu, Lixin/E-3653-2013; Lengaigne, Matthieu/K-4345-2013; Vecchi, Gabriel/A-2413-2008</t>
  </si>
  <si>
    <t>Collins, Matthew/0000-0003-3785-6008; Takahashi, Ken/0000-0003-3670-2939; Lengaigne, Matthieu/0000-0002-0044-036X; Santoso, Agus/0000-0001-7749-8124; Guilyardi, Eric/0000-0002-2255-8625; Dommenget, Dietmar/0000-0002-5129-7719; cai, wenju/0000-0001-6520-0829; England, Matthew/0000-0001-9696-2930; Timmermann, Axel/0000-0003-0657-2969; Wang, Guojian/0000-0002-8881-7394; Vecchi, Gabriel/0000-0002-5085-224X</t>
  </si>
  <si>
    <t>Australian Climate Change Science Program; CSIRO Office of Chief Executive Science Leader award; Australian Research Council; ARC [DP120101442]; ARC Centre of Excellence for Climate System Science [CE110001028]; NERC/MoES SAPRISE [NE/I022841/1]; NOAA; Natural Environment Research Council [NE/I022841/1, ncas10009] Funding Source: researchfish; NERC [NE/I022841/1] Funding Source: UKRI; Directorate For Geosciences [1406601] Funding Source: National Science Foundation; Div Atmospheric &amp; Geospace Sciences [1406601] Funding Source: National Science Foundation</t>
  </si>
  <si>
    <t>Australian Climate Change Science Program; CSIRO Office of Chief Executive Science Leader award; Australian Research Council(Australian Research Council); ARC(Australian Research Council); ARC Centre of Excellence for Climate System Science(Australian Research Council); NERC/MoES SAPRISE; NOAA(National Oceanic Atmospheric Admin (NOAA) - USA); Natural Environment Research Council(UK Research &amp; Innovation (UKRI)Natural Environment Research Council (NERC)); NERC(UK Research &amp; Innovation (UKRI)Natural Environment Research Council (NERC)); Directorate For Geosciences(National Science Foundation (NSF)NSF - Directorate for Geosciences (GEO)); Div Atmospheric &amp; Geospace Sciences(National Science Foundation (NSF)NSF - Directorate for Geosciences (GEO))</t>
  </si>
  <si>
    <t>W.C. and G.W. are supported by the Australian Climate Change Science Program and a CSIRO Office of Chief Executive Science Leader award. A.S. and M.H.E. are supported by the Australian Research Council. D.D. is supported by ARC project 'Beyond the linear dynamics of the El Nino-Southern Oscillation' (DP120101442) and ARC Centre of Excellence for Climate System Science (CE110001028). M.C. was supported by NERC/MoES SAPRISE project (NE/I022841/1). M.J.M. was supported by NOAA, and this is PMEL contribution number 4259.</t>
  </si>
  <si>
    <t>1758-678X</t>
  </si>
  <si>
    <t>1758-6798</t>
  </si>
  <si>
    <t>NAT CLIM CHANGE</t>
  </si>
  <si>
    <t>Nat. Clim. Chang.</t>
  </si>
  <si>
    <t>10.1038/NCLIMATE2492</t>
  </si>
  <si>
    <t>Environmental Sciences; Environmental Studies; Meteorology &amp; Atmospheric Sciences</t>
  </si>
  <si>
    <t>CC4MO</t>
  </si>
  <si>
    <t>WOS:000350327700022</t>
  </si>
  <si>
    <t>Mekonnen, MM; Pahlow, M; Aldaya, MM; Zarate, E; Hoekstra, AY</t>
  </si>
  <si>
    <t>Mekonnen, Mesfin M.; Pahlow, Markus; Aldaya, Maite M.; Zarate, Erika; Hoekstra, Arjen Y.</t>
  </si>
  <si>
    <t>Sustainability, Efficiency and Equitability of Water Consumption and Pollution in Latin America and the Caribbean</t>
  </si>
  <si>
    <t>SUSTAINABILITY</t>
  </si>
  <si>
    <t>Sustainable Asia Conference 2014</t>
  </si>
  <si>
    <t>APR 23-25, 2014</t>
  </si>
  <si>
    <t>Nanchang, PEOPLES R CHINA</t>
  </si>
  <si>
    <t>FOOTPRINT; NITROGEN</t>
  </si>
  <si>
    <t>This paper assesses the sustainability, efficiency and equity of water use in Latin America and the Caribbean (LAC) by means of a geographic Water Footprint Assessment (WFA). It aims to provide understanding of water use from both a production and consumption point of view. The study identifies priority basins and areas from the perspectives of blue water scarcity, water pollution and deforestation. Wheat, fodder crops and sugarcane are identified as priority products related to blue water scarcity. The domestic sector is the priority sector regarding water pollution from nitrogen. Soybean and pasture are priority products related to deforestation. We estimate that consumptive water use in crop production could be reduced by 37% and nitrogen-related water pollution by 44% if water footprints were reduced to certain specified benchmark levels. The average WF per consumer in the region is 28% larger than the global average and varies greatly, from 912 m(3)/year per capita in Nicaragua to 3468 m(3)/year in Bolivia. Ironically, the LAC region shows significant levels of undernourishment, although there is abundant water and food production in the region and substantial use of land and water for producing export crops like soybean.</t>
  </si>
  <si>
    <t>[Mekonnen, Mesfin M.; Pahlow, Markus; Hoekstra, Arjen Y.] Univ Twente, Twente Water Ctr, Water Management Grp, NL-7500 AE Enschede, Netherlands; [Aldaya, Maite M.] Univ Complutense Madrid, Dept Geodynam, E-28040 Madrid, Spain; [Zarate, Erika] Good Stuff Int, CH-3533 Bowil, Switzerland</t>
  </si>
  <si>
    <t>University of Twente; Complutense University of Madrid</t>
  </si>
  <si>
    <t>Mekonnen, MM (corresponding author), Univ Twente, Twente Water Ctr, Water Management Grp, POB 217, NL-7500 AE Enschede, Netherlands.</t>
  </si>
  <si>
    <t>m.m.mekonnen@utwente.nl; m.pahlow@utwente.nl; maite.aldaya@geo.ucm.es; erika@goodstuffinternational.com; a.y.hoekstra@utwente.nl</t>
  </si>
  <si>
    <t>Aldaya, Maite/Y-4509-2019; Hoekstra, Arjen/B-4980-2008; Mekonnen, Mesfin/H-7585-2019; Pahlow, Markus/AAB-2714-2020</t>
  </si>
  <si>
    <t>Mekonnen, Mesfin/0000-0002-3573-9759; Hoekstra, Arjen/0000-0002-4769-5239; M Aldaya, Maite/0000-0002-5226-0715; Pahlow, Markus/0000-0001-8673-2509</t>
  </si>
  <si>
    <t>joint research program Biobased Economy - Netherlands Organisation for Scientific Research (NWO) [729.004.014]; Water Observatory of the Botin Foundation; United Nations Environment Programme</t>
  </si>
  <si>
    <t>joint research program Biobased Economy - Netherlands Organisation for Scientific Research (NWO)(Netherlands Organization for Scientific Research (NWO)); Water Observatory of the Botin Foundation; United Nations Environment Programme</t>
  </si>
  <si>
    <t>Markus Pahlow was supported by the joint research program Biobased Economy (project number: 729.004.014), financed by the Netherlands Organisation for Scientific Research (NWO). We also would like to acknowledge the support of the Water Observatory of the Botin Foundation and United Nations Environment Programme. The work was partially developed within the framework of the Panta Rhei Research Initiative of the International Association of Hydrological Sciences (IAHS).</t>
  </si>
  <si>
    <t>2071-1050</t>
  </si>
  <si>
    <t>SUSTAINABILITY-BASEL</t>
  </si>
  <si>
    <t>Sustainability</t>
  </si>
  <si>
    <t>10.3390/su7022086</t>
  </si>
  <si>
    <t>Green &amp; Sustainable Science &amp; Technology; Environmental Sciences; Environmental Studies</t>
  </si>
  <si>
    <t>Science Citation Index Expanded (SCI-EXPANDED); Social Science Citation Index (SSCI); Conference Proceedings Citation Index - Social Science &amp; Humanities (CPCI-SSH); Conference Proceedings Citation Index - Science (CPCI-S)</t>
  </si>
  <si>
    <t>Science &amp; Technology - Other Topics; Environmental Sciences &amp; Ecology</t>
  </si>
  <si>
    <t>CC3AY</t>
  </si>
  <si>
    <t>WOS:000350217700053</t>
  </si>
  <si>
    <t>Giri, C; Long, J; Abbas, S; Murali, RM; Qamer, FM; Pengra, B; Thau, D</t>
  </si>
  <si>
    <t>Giri, Chandra; Long, Jordan; Abbas, Sawaid; Murali, R. Mani; Qamer, Faisal M.; Pengra, Bruce; Thau, David</t>
  </si>
  <si>
    <t>Distribution and dynamics of mangrove forests of South Asia</t>
  </si>
  <si>
    <t>JOURNAL OF ENVIRONMENTAL MANAGEMENT</t>
  </si>
  <si>
    <t>Mangrove forests; Mangrove forest cover change; South Asia; Landsat; Remote sensing; Image processing</t>
  </si>
  <si>
    <t>NICOBAR ISLANDS; TSUNAMI; CONSERVATION; CLASSIFICATION; BANGLADESH; SUNDARBANS; IMPACT; WORLD</t>
  </si>
  <si>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</si>
  <si>
    <t>[Giri, Chandra] US Geol Survey, Earth Resources Observat &amp; Sci EROS Ctr, Sioux Falls, SD 57198 USA; [Long, Jordan] ASRC InuTeq, Contractor US Geol Survey, Earth Resources Observat &amp; Sci EROS Ctr, Sioux Falls, SD 57198 USA; [Abbas, Sawaid] Hong Kong Polytech Univ, Hong Kong, Hong Kong, Peoples R China; [Murali, R. Mani] CSIR, Natl Inst Oceanog, Panaji 403004, Goa, India; [Qamer, Faisal M.] Int Ctr Integrated Mt Dev ICIMOD, Kathmandu, Nepal; [Pengra, Bruce] SGT, Contractor US Geol Survey, Earth Resources Observat &amp; Sci EROS Ctr, Sioux Falls, SD 57198 USA; [Thau, David] Google Earth Engine, Mountain View, CA USA</t>
  </si>
  <si>
    <t>United States Department of the Interior; United States Geological Survey; United States Department of the Interior; United States Geological Survey; Hong Kong Polytechnic University; Council of Scientific &amp; Industrial Research (CSIR) - India; CSIR - National Institute of Oceanography (NIO); United States Department of the Interior; United States Geological Survey; Stinger Ghaffarian Technologies, Inc. (SGT); Alphabet Inc.; Google Incorporated</t>
  </si>
  <si>
    <t>Giri, C (corresponding author), US Geol Survey, Earth Resources Observat &amp; Sci EROS Ctr, Sioux Falls, SD 57198 USA.</t>
  </si>
  <si>
    <t>cgiri@usgs.gov</t>
  </si>
  <si>
    <t>; Abbas, Sawaid/Y-4432-2019; Qamer, Faisal/L-9892-2018; .R, MANI/A-9291-2010</t>
  </si>
  <si>
    <t>ABBAS, Sawaid/0000-0003-3417-217X; Pengra, Bruce/0000-0003-2497-8284; Thau, David/0000-0001-8598-9820;</t>
  </si>
  <si>
    <t>0301-4797</t>
  </si>
  <si>
    <t>1095-8630</t>
  </si>
  <si>
    <t>J ENVIRON MANAGE</t>
  </si>
  <si>
    <t>J. Environ. Manage.</t>
  </si>
  <si>
    <t>JAN 15</t>
  </si>
  <si>
    <t>10.1016/j.jenvman.2014.01.020</t>
  </si>
  <si>
    <t>AZ1RU</t>
  </si>
  <si>
    <t>WOS:000348016400011</t>
  </si>
  <si>
    <t>Navarro-Ortega, A; Acuña, V; Bellin, A; Burek, P; Cassiani, G; Choukr-Allah, R; Dolédec, S; Elosegi, A; Ferrari, F; Ginebreda, A; Grathwohl, P; Jones, C; Rault, PK; Kok, K; Koundouri, P; Ludwig, RP; Merz, R; Milacic, R; Muñoz, I; Nikulin, G; Paniconi, C; Paunovic, M; Petrovic, M; Sabater, L; Sabater, S; Skoulikidis, NT; Slob, A; Teutsch, G; Voulvoulis, N; Barceló, D</t>
  </si>
  <si>
    <t>Navarro-Ortega, Alicia; Acuna, Vicenc; Bellin, Alberto; Burek, Peter; Cassiani, Giorgio; Choukr-Allah, Redouane; Doledec, Sylvain; Elosegi, Arturo; Ferrari, Federico; Ginebreda, Antoni; Grathwohl, Peter; Jones, Colin; Rault, Philippe Ker; Kok, Kasper; Koundouri, Phoebe; Ludwig, Ralf Peter; Merz, Ralf; Milacic, Radmila; Munoz, Isabel; Nikulin, Grigory; Paniconi, Claudio; Paunovic, Momir; Petrovic, Mira; Sabater, Laia; Sabater, Sergi; Skoulikidis, Nikolaos Th.; Slob, Adriaan; Teutsch, Georg; Voulvoulis, Nikolaos; Barcelo, Damia</t>
  </si>
  <si>
    <t>Managing the effects of multiple stressors on aquatic ecosystems under water scarcity. The GLOBAQUA project</t>
  </si>
  <si>
    <t>Water quality; Ecosystem functioning; Ecosystem services; Modelling; Climate scenarios; Improved management</t>
  </si>
  <si>
    <t>CLIMATE-CHANGE; RIVER; MANAGEMENT; SCENARIOS; QUALITY; EUROPE</t>
  </si>
  <si>
    <t>Water scarcity is a serious environmental problem in many European regions, and will likely increase in the near future as a consequence of increased abstraction and climate change. Water scarcity exacerbates the effects of multiple stressors, and thus results in decreased water quality. It impacts river ecosystems, threatens the services they provide, and it will force managers and policy-makers to change their current practices. The EU-FP7 project GLOBAQUA aims at identifying the prevalence, interaction and linkages between stressors, and to assess their effects on the chemical and ecological status of freshwater ecosystems in order to improve water management practice and policies. GLOBAQUA assembles a multidisciplinary team of 21 European plus 2 non-European scientific institutions, as well as water authorities and river basin managers. The project includes experts in hydrology, chemistry, biology, geomorphology, modelling, socio-economics, governance science, knowledge brokerage, and policy advocacy. GLOBAQUA studies six river basins (Ebro, Adige, Sava, Evrotas, Anglian and Souss Massa) affected by water scarcity, and aims to answer the following questions: how does water scarcity interact with other existing stressors in the study river basins? How will these interactions change according to the different scenarios of future global change? Which will be the foreseeable consequences for river ecosystems? How will these in turn affect the services the ecosystems provide? How should management and policies be adapted to minimise the ecological, economic and societal consequences? These questions will be approached by combining data-mining, field- and laboratory-based research, and modelling. Here, we outline the general structure of the project and the activities to be conducted within the fourteen work-packages of GLOBAQUA. (C) 2014 The Authors. Published by Elsevier B.V.</t>
  </si>
  <si>
    <t>[Navarro-Ortega, Alicia; Ginebreda, Antoni; Sabater, Laia; Barcelo, Damia] IDAEA CSIC, Inst Environm Assessment &amp; Water Res, Barcelona 08034, Spain; [Acuna, Vicenc; Petrovic, Mira; Sabater, Sergi; Barcelo, Damia] Catalan Inst Water Res ICRA, Girona, Spain; [Bellin, Alberto] Univ Trento UNITN, Dept Civil Environm &amp; Mech Engn, Trento, Italy; [Burek, Peter] Inst Environm &amp; Sustainabil IFS JRC, Ispra, Italy; [Cassiani, Giorgio] Univ Padova UNIPD, Dept Geosci, Padua, Italy; [Choukr-Allah, Redouane] Inst Agron &amp; Vet Hassan II IAV, Agadir, Morocco; [Doledec, Sylvain] Univ Lyon 1, CNRS, LEHNA, F-69365 Lyon, France; [Elosegi, Arturo] Univ Basque Country UPV EHU, Fac Sci &amp; Technol, Bilbao, Spain; [Ferrari, Federico] AEIFORIA Srl, Fidenza, Italy; [Grathwohl, Peter] Tuebingen Univ EKUT, Ctr Appl Geosci, Tubingen, Germany; [Jones, Colin; Nikulin, Grigory] Swedish Meteorol &amp; Hydrol Inst, Rossby Ctr SMHI, S-60176 Norrkoping, Sweden; [Rault, Philippe Ker] Wageningen Univ &amp; Res Ctr ALTERRA, Climate Change &amp; Adapt Land &amp; Water Management Te, Wageningen, Netherlands; [Kok, Kasper] Wageningen Univ, NL-6700 AP Wageningen, Netherlands; [Koundouri, Phoebe] Res &amp; Innovat Ctr Informat Commun &amp; Knowledge Tec, Athens, Greece; [Koundouri, Phoebe] Athens Univ Econ &amp; Business, Athens, Greece; [Koundouri, Phoebe] Univ London London Sch Econ &amp; Polit Sci, London WC2A 2AE, England; [Ludwig, Ralf Peter] Univ Munich, Fac Geosci, Dept Geog, Munich, Germany; [Merz, Ralf; Teutsch, Georg] UFZ Helmholtz Ctr Environm Res, Leipzig, Germany; [Milacic, Radmila] Jozef Stefan Inst, Dept Environm Sci, Ljubljana, Slovenia; [Munoz, Isabel] Univ Barcelona, Dept Ecol, E-08028 Barcelona, Spain; [Paniconi, Claudio] Inst Natl Rech Sci, Quebec City, PQ, Canada; [Paunovic, Momir] Univ Belgrade, Inst Biol Res Sinisa Stankovic IBISS, Belgrade, Serbia; [Petrovic, Mira] Catalan Inst Res &amp; Adv Studies ICREA, Barcelona, Spain; [Sabater, Sergi] Univ Girona, Inst Aquat Ecol, Girona, Spain; [Skoulikidis, Nikolaos Th.] Inst Marine Biol Resources &amp; Inland Waters HCMR, Hellen Ctr Marine Res, Athens, Greece; [Slob, Adriaan] Netherlands Org Appl Sci Res TNO, Delft, Netherlands; [Voulvoulis, Nikolaos] Imperial Coll Sci Technol &amp; Med IMPERIAL, London, England</t>
  </si>
  <si>
    <t>Consejo Superior de Investigaciones Cientificas (CSIC); CSIC - Centro de Investigacion y Desarrollo Pascual Vila (CID-CSIC); CSIC - Instituto de Diagnostico Ambiental y Estudios del Agua (IDAEA); Institut Catala de Recerca de l'Aigua (ICRA); European Commission Joint Research Centre; EC JRC ISPRA Site; University of Padua; Centre National de la Recherche Scientifique (CNRS); Universite Claude Bernard Lyon 1; University of Basque Country; Eberhard Karls University of Tubingen; Swedish Meteorological &amp; Hydrological Institute; Wageningen University &amp; Research; Wageningen University &amp; Research; Athens University of Economics &amp; Business; University of London; London School Economics &amp; Political Science; University of Munich; Helmholtz Association; Helmholtz Center for Environmental Research (UFZ); Slovenian Academy of Sciences &amp; Arts (SASA); Jozef Stefan Institute; University of Barcelona; University of Quebec; Institut national de la recherche scientifique (INRS); University of Belgrade; ICREA; Universitat de Girona; Hellenic Centre for Marine Research; Netherlands Organization Applied Science Research; Imperial College London</t>
  </si>
  <si>
    <t>Navarro-Ortega, A (corresponding author), IDAEA CSIC, Dept Environm Chem, Water &amp; Soil Qual Res Grp, Jordi Girona 18-26, Barcelona 08034, Spain.</t>
  </si>
  <si>
    <t>alicia.navarro@idaea.csic.es</t>
  </si>
  <si>
    <t>Paunović, Momir/H-9177-2019; Teutsch, Georg/AAW-9437-2021; Muñoz, Isabel/L-9414-2014; Sabater, Sergi/A-7549-2008; Cassiani, Giorgio/M-2269-2019; Voulvoulis, Nikolaos/C-9246-2012; SABATER, LAIA/P-8042-2016; Acuña, Vicenç/L-6608-2014; Dolédec, Sylvain/AFA-3460-2022; Skoulikidis, Nikolaos/G-9209-2011; Burek, Peter/LZI-1563-2025; Merz, Ralf/N-7614-2014; Petrovic, Mira/L-1789-2014; Elosegi, Arturo/B-7796-2009; BARCELO, DAMIA/O-4558-2016; Koundouri, Phoebe/AAI-2160-2021; Bellin, Alberto/F-8955-2013</t>
  </si>
  <si>
    <t>Dolédec, Sylvain/0000-0002-0280-7866; Navarro-Ortega, Alícia/0000-0002-5202-1503; Kok, Kasper/0000-0002-6319-9227; Grathwohl, Peter/0000-0002-9712-8339; Muñoz, Isabel/0000-0001-8110-9435; CASSIANI, GIORGIO/0000-0002-9060-5606; Paunović, Momir/0000-0002-6432-1191; Voulvoulis, Nikolaos/0000-0001-9703-3703; Paniconi, Claudio/0000-0003-2063-2841; SABATER, LAIA/0000-0001-8138-1009; Acuña, Vicenç/0000-0002-4485-6703; Ginebreda, Antonio/0000-0003-4714-2850; Skoulikidis, Nikolaos/0000-0002-3527-4883; Petrovic, Mira/0000-0001-9734-1933; Elosegi, Arturo/0000-0001-8809-8484; Koundouri, Phoebe/0000-0001-5979-6128; Bellin, Alberto/0000-0002-7348-8313; Burek, Peter/0000-0001-6390-8487</t>
  </si>
  <si>
    <t>European Communities 7th Framework Programme [603629-ENV-2013-6.2.1-Globaqua]; Generalitat de Catalunya [SGR 418, SGR 291]; King Saud University; ICREA Funding Source: Custom</t>
  </si>
  <si>
    <t>European Communities 7th Framework Programme; Generalitat de Catalunya(Generalitat de Catalunya); King Saud University(King Saud University); ICREA(ICREA)</t>
  </si>
  <si>
    <t>This work has been supported by the European Communities 7th Framework Programme Funding under Grant agreement no. 603629-ENV-2013-6.2.1-Globaqua and by the Generalitat de Catalunya (Consolidated Research Groups 2014 SGR 418 - Water and Soil Quality Unit and 2014 SGR 291 - ICRA). Damia Barcelo acknowledges support from the Visiting Professor Program of King Saud University. Special thanks are due to all partners of the GLOBAQUA consortium and the peer review panel for ensuring quality results and fruitful collaboration within the project</t>
  </si>
  <si>
    <t>10.1016/j.scitotenv.2014.06.081</t>
  </si>
  <si>
    <t>AU6RG</t>
  </si>
  <si>
    <t>Green Published, Green Submitted, hybrid</t>
  </si>
  <si>
    <t>WOS:000345729000002</t>
  </si>
  <si>
    <t>Emeis, KC; van Beusekom, J; Callies, U; Ebinghaus, R; Kannen, A; Kraus, G; Kröncke, I; Lenhart, H; Lorkowski, I; Matthias, V; Möllmann, C; Pätsch, J; Scharfe, M; Thomas, H; Weisse, R; Zorita, E</t>
  </si>
  <si>
    <t>Emeis, Kay-Christian; van Beusekom, Justus; Callies, Ulrich; Ebinghaus, Ralf; Kannen, Andreas; Kraus, Gerd; Kroencke, Ingrid; Lenhart, Hermann; Lorkowski, Ina; Matthias, Volker; Moellmann, Christian; Paetsch, Johannes; Scharfe, Mirco; Thomas, Helmuth; Weisse, Ralf; Zorita, Eduardo</t>
  </si>
  <si>
    <t>The North Sea - A shelf sea in the Anthropocene</t>
  </si>
  <si>
    <t>JOURNAL OF MARINE SYSTEMS</t>
  </si>
  <si>
    <t>Workshop 1 of IMBIZO III</t>
  </si>
  <si>
    <t>JAN, 2013</t>
  </si>
  <si>
    <t>Goa, INDIA</t>
  </si>
  <si>
    <t>North Sea; Long-term development; Natural variability; Eutrophication; Pollution; Fisheries; Economic uses; Policies</t>
  </si>
  <si>
    <t>LONG-TERM CHANGES; HARMFUL ALGAL BLOOMS; CLIMATE-CHANGE; REGIME SHIFTS; GERMAN BIGHT; MACROFAUNA COMMUNITIES; PHYTOPLANKTON BIOMASS; SURFACE SEDIMENTS; SHIP EMISSIONS; EUROPEAN SHELF</t>
  </si>
  <si>
    <t>Global and regional change clearly affects the structure and functioning of ecosystems in shelf seas. However, complex interactions within the shelf seas hinder the identification and unambiguous attribution of observed changes to drivers. These include variability in the climate system, in ocean dynamics, in biogeochemistry, and in shelf sea resource exploitation in the widest sense by societies. Observational time series are commonly too short, and resolution, integration time, and complexity of models are often insufficient to unravel natural variability from anthropogenic perturbation. The North Sea is a shelf sea of the North Atlantic and is impacted by virtually all global and regional developments. Natural variability (from interannual to multidecadal time scales) as response to forcing in the North Atlantic is overlain by global trends (sea level, temperature, acidification) and alternating phases of direct human impacts and attempts to remedy those. Human intervention started some 1000 years ago (diking and associated loss of wetlands), expanded to near-coastal parts in the industrial revolution of the mid-19th century (river management, waste disposal in rivers), and greatly accelerated in the mid-1950s (eutrophication, pollution, fisheries). The North Sea is now a heavily regulated shelf sea, yet societal goals (good environmental status versus increased uses), demands for benefits and policies diverge increasingly. Likely, the southern North Sea will be re-zoned as riparian countries dedicate increasing sea space for offshore wind energy generation with uncertain consequences for the system's environmental status. We review available observational and model data (predominantly from the southeastern North Sea region) to identify and describe effects of natural variability, of secular changes, and of human impacts on the North Sea ecosystem, and outline developments in the next decades in response to environmental legislation, and in response to increased use of shelf sea space. (C) 2014 Elsevier B.V. All rights reserved.</t>
  </si>
  <si>
    <t>[Emeis, Kay-Christian; van Beusekom, Justus; Callies, Ulrich; Ebinghaus, Ralf; Kannen, Andreas; Matthias, Volker; Scharfe, Mirco; Weisse, Ralf; Zorita, Eduardo] Helmholtz Zentrum Geesthacht, Inst Coastal Res, D-21502 Geesthacht, Germany; [Emeis, Kay-Christian; van Beusekom, Justus; Lorkowski, Ina; Moellmann, Christian; Paetsch, Johannes] Univ Hamburg, CEN, Hamburg, Germany; [Kraus, Gerd] Thuenen Inst Sea Fisheries, Hamburg, Germany; [Kroencke, Ingrid] Senckenberg Gesell Naturforsch, Wilhelmshaven, Germany; [Lenhart, Hermann] Univ Hamburg, Res Grp Sci Comp, Hamburg, Germany; [Thomas, Helmuth] Dalhousie Univ, Dept Oceanog, Halifax, NS, Canada</t>
  </si>
  <si>
    <t>Helmholtz Association; Helmholtz-Zentrum Hereon; University of Hamburg; Johann Heinrich von Thunen Institute; Leibniz Association; Senckenberg Gesellschaft fur Naturforschung (SGN); University of Hamburg; Dalhousie University</t>
  </si>
  <si>
    <t>Emeis, KC (corresponding author), Helmholtz Zentrum Geesthacht, Inst Coastal Res, Max Planck Str 1, D-21502 Geesthacht, Germany.</t>
  </si>
  <si>
    <t>kay.emeis@hzg.de</t>
  </si>
  <si>
    <t>; Möllmann, Christian/C-4788-2011; Weisse, Ralf/E-7550-2013; van Beusekom, Justus/F-7674-2012</t>
  </si>
  <si>
    <t>Emeis, Kay-Christian/0000-0003-0459-913X; Möllmann, Christian/0000-0001-9161-6342; Weisse, Ralf/0000-0001-7449-6166; Scharfe, Mirco/0000-0002-0731-1632; Matthias, Volker/0000-0003-0519-8805</t>
  </si>
  <si>
    <t>0924-7963</t>
  </si>
  <si>
    <t>1879-1573</t>
  </si>
  <si>
    <t>J MARINE SYST</t>
  </si>
  <si>
    <t>J. Mar. Syst.</t>
  </si>
  <si>
    <t>10.1016/j.jmarsys.2014.03.012</t>
  </si>
  <si>
    <t>Geosciences, Multidisciplinary; Marine &amp; Freshwater Biology; Oceanography</t>
  </si>
  <si>
    <t>Geology; Marine &amp; Freshwater Biology; Oceanography</t>
  </si>
  <si>
    <t>AY9KM</t>
  </si>
  <si>
    <t>WOS:000347868800003</t>
  </si>
  <si>
    <t>Wörz, A; Thiv, M</t>
  </si>
  <si>
    <t>Woerz, A.; Thiv, M.</t>
  </si>
  <si>
    <t>The temporal dynamics of a regional flora-The effects of global and local impacts</t>
  </si>
  <si>
    <t>FLORA</t>
  </si>
  <si>
    <t>Floristic mapping; Vascular plants; Invasive species; Red lists; Urbanisation; Climatic change; Nitrogen input</t>
  </si>
  <si>
    <t>LAND-USE CHANGE; PLANT BIODIVERSITY; DIVERSITY; CLIMATE; INTENSIFICATION; EXTINCTION; SCALE</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</si>
  <si>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</si>
  <si>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[Woerz, A.; Thiv, M.] Staatliches Museum Nat Kunde, D-70191 Stuttgart, Germany</t>
  </si>
  <si>
    <t>Wörz, A (corresponding author), Staatliches Museum Nat Kunde, Rosenstein 1, D-70191 Stuttgart, Germany.</t>
  </si>
  <si>
    <t>arno.woerz@smns-bw.de; mike.thiv@smns-bw.de</t>
  </si>
  <si>
    <t>Ministerium fur den Landlichen Raum und Verbraucherschutz (Stuttgart); Landesanstalt fur Umwelt und Messungen Baden-Wurttemberg (LUBW, Karlsruhe)</t>
  </si>
  <si>
    <t>We want to express our warm gratitude to all our volunteers for their busy mapping activities, which are the precondition to implementation of the project and the present paper. Furthermore, we thank Anita Roth-Nebelsick and Helmut Dalitz for their help with the statistic methods, and the Ministerium fur den Landlichen Raum und Verbraucherschutz (Stuttgart) and the Landesanstalt fur Umwelt und Messungen Baden-Wurttemberg (LUBW, Karlsruhe) for their funding and support of the project. We also express our gratitude to the anonymous reviewers and the editor Karsten Wesche for their valuable help and comments.</t>
  </si>
  <si>
    <t>ELSEVIER GMBH</t>
  </si>
  <si>
    <t>MUNICH</t>
  </si>
  <si>
    <t>HACKERBRUCKE 6, 80335 MUNICH, GERMANY</t>
  </si>
  <si>
    <t>0367-2530</t>
  </si>
  <si>
    <t>1618-0585</t>
  </si>
  <si>
    <t>Flora</t>
  </si>
  <si>
    <t>10.1016/j.flora.2015.09.013</t>
  </si>
  <si>
    <t>Plant Sciences; Ecology</t>
  </si>
  <si>
    <t>Plant Sciences; Environmental Sciences &amp; Ecology</t>
  </si>
  <si>
    <t>CZ4YY</t>
  </si>
  <si>
    <t>WOS:000367110300012</t>
  </si>
  <si>
    <t>Eriksen, M; Lebreton, LCM; Carson, HS; Thiel, M; Moore, CJ; Borerro, JC; Galgani, F; Ryan, PG; Reisser, J</t>
  </si>
  <si>
    <t>Eriksen, Marcus; Lebreton, Laurent C. M.; Carson, Henry S.; Thiel, Martin; Moore, Charles J.; Borerro, Jose C.; Galgani, Francois; Ryan, Peter G.; Reisser, Julia</t>
  </si>
  <si>
    <t>Plastic Pollution in the World's Oceans: More than 5 Trillion Plastic Pieces Weighing over 250,000 Tons Afloat at Sea</t>
  </si>
  <si>
    <t>DENSITY POLYETHYLENE; MARINE DEBRIS; MICROPLASTICS; INGESTION; ACCUMULATION; TRANSPORT; CHEMICALS; ENVIRONMENT; BACTERIA; LIFE</t>
  </si>
  <si>
    <t>Plastic pollution is ubiquitous throughout the marine environment, yet estimates of the global abundance and weight of floating plastics have lacked data, particularly from the Southern Hemisphere and remote regions. Here we report an estimate of the total number of plastic particles and their weight floating in the world's oceans from 24 expeditions (2007-2013) across all five sub-tropical gyres, costal Australia, Bay of Bengal and the Mediterranean Sea conducting surface net tows (N=680) and visual survey transects of large plastic debris (N=891). Using an oceanographic model of floating debris dispersal calibrated by our data, and correcting for wind-driven vertical mixing, we estimate a minimum of 5.25 trillion particles weighing 268,940 tons. When comparing between four size classes, two microplastic &lt;4.75 mm and meso- and macroplastic &gt;4.75 mm, a tremendous loss of microplastics is observed from the sea surface compared to expected rates of fragmentation, suggesting there are mechanisms at play that remove &lt;4.75 mm plastic particles from the ocean surface.</t>
  </si>
  <si>
    <t>[Eriksen, Marcus] Five Gyres Inst, Los Angeles, CA 90016 USA; [Lebreton, Laurent C. M.] Dumpk Data Sci, Wellington, New Zealand; [Carson, Henry S.] Univ Hawaii, Dept Marine Sci, Hilo, HI 96720 USA; [Carson, Henry S.] Washington Dept Fish &amp; Wildlife, Olympia, WA USA; [Thiel, Martin] Univ Catolica Norte, Fac Ciencias Mar, Coquimbo, Chile; [Thiel, Martin] Millennium Nucleus Ecol &amp; Sustainable Management, Coquimbo, Chile; [Thiel, Martin] Ctr Estudios Avanzados &amp; Zonas Aridas, Coquimbo, Chile; [Moore, Charles J.] Algalita Marine Res &amp; Educ, Long Beach, CA USA; [Borerro, Jose C.] eCoast Ltd, Raglan, New Zealand; [Galgani, Francois] IFREMER, Inst Francais Rech Exploitat Mer, Dept Oceanog &amp; Dynam Ecosyst, Bastia, Corsica, France; [Ryan, Peter G.] Univ Cape Town, Percy Fitzpatrick Inst African Ornithol, ZA-7700 Rondebosch, South Africa; [Reisser, Julia] Univ Western Australia, Sch Environm Syst Engn, Perth, WA 6009, Australia; [Reisser, Julia] Univ Western Australia, Oceans Inst, Perth, WA 6009, Australia</t>
  </si>
  <si>
    <t>University of Hawaii System; University Hawaii Hilo; Washington Department of Fish &amp; Wildlife (WDFW); Universidad Catolica del Norte; Ifremer; University of Cape Town; University of Western Australia; University of Western Australia</t>
  </si>
  <si>
    <t>Eriksen, M (corresponding author), Five Gyres Inst, Los Angeles, CA 90016 USA.</t>
  </si>
  <si>
    <t>marcus@5gyres.org</t>
  </si>
  <si>
    <t>Moore, Charles/KIJ-3350-2024; Reisser, Julia/K-2065-2013; galgani, francois/A-1973-2011; Lebreton, Laurent/LFV-1720-2024</t>
  </si>
  <si>
    <t>Reisser, Julia/0000-0002-1785-1042; galgani, francois/0000-0001-8770-6054; thiel, martin/0000-0001-7535-3888;</t>
  </si>
  <si>
    <t>Will J. Reid Foundation; Seaver Institute; IPRS; CSIRO's Flagship Postgraduate scholarship; Chilean Millennium Initiative [NC120030]</t>
  </si>
  <si>
    <t>Will J. Reid Foundation; Seaver Institute; IPRS; CSIRO's Flagship Postgraduate scholarship; Chilean Millennium Initiative</t>
  </si>
  <si>
    <t>Financial support from the Will J. Reid Foundation (HSC) and Seaver Institute (ME) made much of this work possible. J. Reisser is sponsored by an IPRS and a CSIRO's Flagship Postgraduate scholarship and M. Thiel was supported by the Chilean Millennium Initiative (grant NC120030). The funders had no role in study design, data collection and analysis, decision to publish, or preparation of the manuscript.</t>
  </si>
  <si>
    <t>DEC 10</t>
  </si>
  <si>
    <t>e111913</t>
  </si>
  <si>
    <t>10.1371/journal.pone.0111913</t>
  </si>
  <si>
    <t>AW9YP</t>
  </si>
  <si>
    <t>WOS:000346611400007</t>
  </si>
  <si>
    <t>Zhou, W; Li, JL; Mu, SJ; Gang, CC; Sun, ZG</t>
  </si>
  <si>
    <t>Zhou, W.; Li, J. L.; Mu, S. J.; Gang, C. C.; Sun, Z. G.</t>
  </si>
  <si>
    <t>Effects of ecological restoration-induced land-use change and improved management on grassland net primary productivity in the Shiyanghe River Basin, north-west China</t>
  </si>
  <si>
    <t>GRASS AND FORAGE SCIENCE</t>
  </si>
  <si>
    <t>grassland net primary productivity; ecological restoration programmes; land use and cover change; climate change; Shiyanghe River</t>
  </si>
  <si>
    <t>INNER-MONGOLIA; VEGETATION DYNAMICS; COVER PRODUCTS; CLIMATE-CHANGE; CARBON; DESERTIFICATION; URBANIZATION; CONSEQUENCES; ECOSYSTEMS; SATELLITE</t>
  </si>
  <si>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</si>
  <si>
    <t>[Zhou, W.; Li, J. L.; Mu, S. J.; Gang, C. C.; Sun, Z. G.] Nanjing Univ, Sch Life Sci, Nanjing 210093, Jiangsu, Peoples R China</t>
  </si>
  <si>
    <t>Nanjing University</t>
  </si>
  <si>
    <t>Li, JL (corresponding author), Nanjing Univ, Sch Life Sci, Hankou Rd 22, Nanjing 210093, Jiangsu, Peoples R China.</t>
  </si>
  <si>
    <t>jianlongli@gmail.com</t>
  </si>
  <si>
    <t>Gang, Chengcheng/Z-4286-2019</t>
  </si>
  <si>
    <t>Gang, Chengcheng/0000-0002-2804-5636</t>
  </si>
  <si>
    <t>National Basic Research Program of China [2010CB950702]; National High Technology Research and Development Program of China [2007AA10Z231]; National Natural Science Foundation of China [40871012]; Asia-Pacific Network [ARCP-2013-16NMY]; Public Sector Linkages Program by Australian Agency for International Development [64828]</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</si>
  <si>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Public Sector Linkages Program by Australian Agency for International Development</t>
  </si>
  <si>
    <t>We are grateful to the chief editor and anonymous reviewers for illuminating comments. This work was supported by National Basic Research Program of China (2010CB950702) and the National High Technology Research and Development Program of China (2007AA10Z231), the National Natural Science Foundation of China (40871012), the Asia-Pacific Network (ARCP-2013-16NMY-Li) and the Public Sector Linkages Program supported by Australian Agency for International Development (64828). We are grateful to Dr. Victor Squires from University of Adelaide, Australia, for his help in modifying the language. We also thank the China Meteorological Data-Sharing Service System for granting us access to climate data sets.</t>
  </si>
  <si>
    <t>0142-5242</t>
  </si>
  <si>
    <t>1365-2494</t>
  </si>
  <si>
    <t>GRASS FORAGE SCI</t>
  </si>
  <si>
    <t>Grass Forage Sci.</t>
  </si>
  <si>
    <t>10.1111/gfs.12073</t>
  </si>
  <si>
    <t>Agronomy</t>
  </si>
  <si>
    <t>Agriculture</t>
  </si>
  <si>
    <t>AR7JA</t>
  </si>
  <si>
    <t>WOS:000343754300004</t>
  </si>
  <si>
    <t>Rodrigues, ASL; Brooks, TM; Butchart, SHM; Chanson, J; Cox, N; Hoffmann, M; Stuart, SN</t>
  </si>
  <si>
    <t>Rodrigues, Ana S. L.; Brooks, Thomas M.; Butchart, Stuart H. M.; Chanson, Janice; Cox, Neil; Hoffmann, Michael; Stuart, Simon N.</t>
  </si>
  <si>
    <t>Spatially Explicit Trends in the Global Conservation Status of Vertebrates</t>
  </si>
  <si>
    <t>RED-LIST INDEX; BREEDING BIRDS; BIODIVERSITY; WORLDS; EXTINCTIONS; ECOREGIONS; ALLOCATION; IMPACT; LAND; MAP</t>
  </si>
  <si>
    <t>The world's governments have committed to preventing the extinction of threatened species and improving their conservation status by 2020. However, biodiversity is not evenly distributed across space, and neither are the drivers of its decline, and so different regions face very different challenges. Here, we quantify the contribution of regions and countries towards recent global trends in vertebrate conservation status (as measured by the Red List Index), to guide action towards the 2020 target. We found that. 50% of the global deterioration in the conservation status of birds, mammals and amphibians is concentrated in,1% of the surface area, 39/1098 ecoregions (4%) and eight/195 countries (4%) - Australia, China, Colombia, Ecuador, Indonesia, Malaysia, Mexico, and the United States. These countries hold a third of global diversity in these vertebrate groups, partially explaining why they concentrate most of the losses. Yet, other megadiverse countries - most notably Brazil (responsible for 10% of species but just 1% of deterioration), plus India and Madagascar - performed better in conserving their share of global vertebrate diversity. Very few countries, mostly island nations (e.g. Cook Islands, Fiji, Mauritius, Seychelles, and Tonga), have achieved net improvements. Per capita wealth does not explain these patterns, with two of the richest countries - United States and Australia - fairing conspicuously poorly. Different countries were affected by different combinations of threats. Reducing global rates of biodiversity loss will require investment in the regions and countries with the highest responsibility for the world's biodiversity, focusing on conserving those species and areas most in peril and on reducing the drivers with the highest impacts.</t>
  </si>
  <si>
    <t>[Rodrigues, Ana S. L.] CNRS, Ctr Ecol Fonct &amp; Evolut, UMR5175, F-34293 Montpellier, France; [Brooks, Thomas M.; Chanson, Janice; Cox, Neil; Hoffmann, Michael; Stuart, Simon N.] IUCN, CH-1196 Gland, Switzerland; [Brooks, Thomas M.] Univ Philippines Los Banos, World Agroforestry Ctr ICRAF, Laguna 4031, Philippines; [Brooks, Thomas M.] Univ Tasmania, Sch Geog &amp; Environm Studies, Hobart, Tas 7001, Australia; [Butchart, Stuart H. M.] BirdLife Int, Cambridge, England; [Cox, Neil; Stuart, Simon N.] Conservat Int, Arlington, VA 22202 USA; [Hoffmann, Michael; Stuart, Simon N.] United Nations, Environm Programme, World Conservat Monitoring Ctr, Cambridge CB3 0DL, England; Univ Bath, Dept Biol &amp; Biochem, Bath BA2 7AY, Avon, England; Al Ain Zoo, Abu Dhabi, U Arab Emirates</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</si>
  <si>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University of the Philippines System; University of the Philippines Los Banos; CGIAR; World Agroforestry (ICRAF); University of Tasmania; BirdLife International; Conservation International; University of Bath</t>
  </si>
  <si>
    <t>Rodrigues, ASL (corresponding author), CNRS, Ctr Ecol Fonct &amp; Evolut, UMR5175, 1919 Route Mende, F-34293 Montpellier, France.</t>
  </si>
  <si>
    <t>ana.rodrigues@cefe.cnrs.fr</t>
  </si>
  <si>
    <t>Butchart, Stuart/Y-2711-2018; Roigues, Ana/A-5914-2009; Hoffmann, Michael/E-6419-2010; Rodrigues, Ana/A-5914-2009</t>
  </si>
  <si>
    <t>Roigues, Ana/0000-0003-4775-0127; Butchart, Stuart/0000-0002-1140-4049; Hoffmann, Michael/0000-0003-4785-2254; Brooks, Thomas/0000-0001-8159-3116</t>
  </si>
  <si>
    <t>Gordon and Betty Moore Foundation; Critical Ecosystem Partnership Fund; Conservation International; BirdLife's Founder Patrons; Aage V. Jensen Charity Foundation; French National Research Agency [MORSE: ANR 11 CEPL 006 01]; NatureServe; Direct For Biological Sciences; Division Of Environmental Biology [1136586] Funding Source: National Science Foundation</t>
  </si>
  <si>
    <t>Gordon and Betty Moore Foundation(Gordon &amp; Betty Moore Foundation); Critical Ecosystem Partnership Fund; Conservation International; BirdLife's Founder Patrons; Aage V. Jensen Charity Foundation; French National Research Agency(Agence Nationale de la Recherche (ANR)); NatureServe; Direct For Biological Sciences; Division Of Environmental Biology(National Science Foundation (NSF)NSF - Directorate for Biological Sciences (BIO))</t>
  </si>
  <si>
    <t>This analysis is based on data compiled under the IUCN Red List of Threatened Species for bird, mammals and amphibians, an effort involving thousands of individuals over decades. This compilation was funded by a diversity of donors (full list in reference 7), and in particular by: Gordon and Betty Moore Foundation (http://www.moore.org/); Critical Ecosystem Partnership Fund (http://www.cepf.net); Conservation International (http://www.conservation.org); NatureServe (www.natureserve.org); BirdLife's Founder Patrons (http://www.birdlife.org/worldwide/partnership/major-donors-and-supporters); Aage V. Jensen Charity Foundation (www.avjf.dk). A.S.L.R. was funded by the French National Research Agency (project MORSE: ANR 11 CEPL 006 01). The funders had no role in study design, data collection and analysis, decision to publish, or preparation of the manuscript.</t>
  </si>
  <si>
    <t>NOV 26</t>
  </si>
  <si>
    <t>e113934</t>
  </si>
  <si>
    <t>10.1371/journal.pone.0113934</t>
  </si>
  <si>
    <t>CA8CZ</t>
  </si>
  <si>
    <t>WOS:000349145400104</t>
  </si>
  <si>
    <t>De Longueville, F; Hountondji, Y; Ozer, P; Henry, S</t>
  </si>
  <si>
    <t>De Longueville, Florence; Hountondji, Yvon; Ozer, Pierre; Henry, Sabine</t>
  </si>
  <si>
    <t>The Air Quality in African Rural Environments. Preliminary Implications for Health: The Case of Respiratory Disease in the Northern Benin</t>
  </si>
  <si>
    <t>WATER AIR AND SOIL POLLUTION</t>
  </si>
  <si>
    <t>Acute lower respiratory infections; Dust; Benin; Children; Sahara</t>
  </si>
  <si>
    <t>SAHARAN DUST; DESERT DUST; PARTICULATE MATTER; MINERAL DUST; WEST-AFRICA; IMPACTS; INFECTIONS; MORTALITY; POLLUTION; EVENTS</t>
  </si>
  <si>
    <t>Recently, the World Health Organization's International Association for Research on Cancer classified outdoor air pollution as carcinogenic to humans and puts air pollution in the same category as tobacco smoke, UVradiation, and plutonium. The ambient air is polluted by emissions from motor vehicles, industrial processes, power generation, household combustion of solid fuel, and other sources. Dust storms lead to particulate levels that exceed internationally recommended levels, especially near the Sahara. However, this source of air pollution appears to be under-studied, particularly in the literature devoted to human health impacts in West Africa. More than 50 % of the total dust emitted into the atmosphere comes from the Sahara. These aerosols contribute to increase the concentrations of particles smaller than 10 mu m (PM10), which are breathable particles. This study is the first designed to assess the real impact of Saharan dust on air quality and respiratory health of children in a region ofWest Africa. Dust events having affected the Northern Benin during the dry seasons between 2003 and 2007 were determined. The analyzed health data are the monthly rates of acute lower respiratory infections (ALRI). Over the entire study period, 61 days of dust events were observed in the region. They recorded on average a daily PM10 concentration of 1017 mu g m(-3), more than 18 times higher than that calculated on all days without dust events. The study also highlighted a mean increase of 12.5 % of ALRI rates during the months recording dust events. The use of daily health data should help to refine these initial results in the future.</t>
  </si>
  <si>
    <t>[De Longueville, Florence; Henry, Sabine] Univ Namur, Dept Geog, B-5000 Namur, Belgium; [De Longueville, Florence; Ozer, Pierre] Univ Liege, Dept Environm Sci &amp; Management, B-6700 Arlon, Belgium; [Hountondji, Yvon] Univ Parakou, Fac Agron, Dept Nat Resources Management, Parakou, Benin; [De Longueville, Florence] Univ Liege, CEDEM, B-4000 Liege, Belgium</t>
  </si>
  <si>
    <t>University of Namur; University of Liege; University of Parakou; University of Liege</t>
  </si>
  <si>
    <t>De Longueville, F (corresponding author), Univ Namur, Dept Geog, 61 Rue Bruxelles, B-5000 Namur, Belgium.</t>
  </si>
  <si>
    <t>fdelongueville@ulg.ac.be</t>
  </si>
  <si>
    <t>de Longueville, Florence/0000-0003-3732-8694; HOUNTONDJI, Yvon Carmen/0009-0008-4881-1992; Henry, Sabine/0000-0002-7496-6313</t>
  </si>
  <si>
    <t>SPRINGER INTERNATIONAL PUBLISHING AG</t>
  </si>
  <si>
    <t>CHAM</t>
  </si>
  <si>
    <t>GEWERBESTRASSE 11, CHAM, CH-6330, SWITZERLAND</t>
  </si>
  <si>
    <t>0049-6979</t>
  </si>
  <si>
    <t>1573-2932</t>
  </si>
  <si>
    <t>WATER AIR SOIL POLL</t>
  </si>
  <si>
    <t>Water Air Soil Pollut.</t>
  </si>
  <si>
    <t>10.1007/s11270-014-2186-4</t>
  </si>
  <si>
    <t>Environmental Sciences; Meteorology &amp; Atmospheric Sciences; Water Resources</t>
  </si>
  <si>
    <t>Environmental Sciences &amp; Ecology; Meteorology &amp; Atmospheric Sciences; Water Resources</t>
  </si>
  <si>
    <t>AR9RO</t>
  </si>
  <si>
    <t>WOS:000343913200027</t>
  </si>
  <si>
    <t>Vu, QM; Le, QB; Vlek, PLG</t>
  </si>
  <si>
    <t>Vu, Quyet Manh; Le, Quang Bao; Vlek, Paul L. G.</t>
  </si>
  <si>
    <t>Hotspots of human-induced biomass productivity decline and their social-ecological types toward supporting national policy and local studies on combating land degradation</t>
  </si>
  <si>
    <t>GLOBAL AND PLANETARY CHANGE</t>
  </si>
  <si>
    <t>land degradation; NDVI; net primary productivity; spatio-temporal analysis; socio-ecological hotspot; national scale; Vietnam</t>
  </si>
  <si>
    <t>DROUGHT-INDUCED REDUCTION; LESS-DEVELOPED-COUNTRIES; PROXY GLOBAL ASSESSMENT; NET PRIMARY PRODUCTION; SPECTRAL REFLECTANCE; TRENDS; NDVI; DEFORESTATION; DYNAMICS; VIETNAM</t>
  </si>
  <si>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</si>
  <si>
    <t>[Vu, Quyet Manh; Le, Quang Bao] Swiss Fed Inst Technol, IED, CH-8092 Zurich, Switzerland; [Vu, Quyet Manh; Vlek, Paul L. G.] Univ Bonn, Ctr Dev Res ZEF, D-53113 Bonn, Germany; [Vu, Quyet Manh] SFRI, Hanoi, Vietnam</t>
  </si>
  <si>
    <t>Swiss Federal Institutes of Technology Domain; ETH Zurich; University of Bonn</t>
  </si>
  <si>
    <t>Vu, QM (corresponding author), Swiss Fed Inst Technol, IED, Nat &amp; Social Interface NSSI, Zurich, Switzerland.</t>
  </si>
  <si>
    <t>vum@student.eth.ch; quang.le@env.ethz.ch; p.vlek@uni-bonn.de</t>
  </si>
  <si>
    <t>; Le, Quang/AAG-5174-2019</t>
  </si>
  <si>
    <t>Le, Quang Bao/0000-0001-8514-1088; Vu, Quyet/0000-0003-4778-0991;</t>
  </si>
  <si>
    <t>Agricultural Science and Technology Project (AST), under the Ministry of Agriculture and Rural Development (MARD) of Vietnam</t>
  </si>
  <si>
    <t>This research was funded by the Agricultural Science and Technology Project (AST), under the Ministry of Agriculture and Rural Development (MARD) of Vietnam. This support is gratefully acknowledged. The authors wish to thanks two anonymous reviewers for their constructive comments on earlier version of the present paper; the Department of Geography at the University of Maryland, Climate Research Unit at the University of East Anglia, the General Statistical Office of Vietnam, Michael Epprecht for providing data used in this study; constructive comments of two reviewers on a shortened version of this paper presented at the IEEE International Geoscience and Remote Sensing Symposium 2012, Munich, Germany (Vu et al., 2012); Roland W. Scholz for his overall comments on the study; Michael Stauffacher, Laura S. de Baan, Gregoire Meylan and Andrea E. Ulrich for their valuable comments on the earlier drafts of this paper.</t>
  </si>
  <si>
    <t>0921-8181</t>
  </si>
  <si>
    <t>1872-6364</t>
  </si>
  <si>
    <t>GLOBAL PLANET CHANGE</t>
  </si>
  <si>
    <t>Glob. Planet. Change</t>
  </si>
  <si>
    <t>10.1016/j.gloplacha.2014.07.007</t>
  </si>
  <si>
    <t>Geography, Physical; Geosciences, Multidisciplinary</t>
  </si>
  <si>
    <t>Physical Geography; Geology</t>
  </si>
  <si>
    <t>AO7US</t>
  </si>
  <si>
    <t>WOS:000341558700007</t>
  </si>
  <si>
    <t>Anderson, R; Morrall, C; Jossart, J; Nimrod, S; Bolda, E; Musser, K; Berg, C; Balza, R</t>
  </si>
  <si>
    <t>Anderson, Robert; Morrall, Clare; Jossart, Jonathan; Nimrod, Steve; Bolda, Emily; Musser, Katie; Berg, Craig; Balza, Robert</t>
  </si>
  <si>
    <t>Marine Protected Area monitoring in the nearshore waters of Grenada, Eastern Caribbean: benthic cover and fish populations</t>
  </si>
  <si>
    <t>REVISTA DE BIOLOGIA TROPICAL</t>
  </si>
  <si>
    <t>benthic cover; reef fish; monitoring; Grenada; Eastern Caribbean; marine protected area</t>
  </si>
  <si>
    <t>CORAL</t>
  </si>
  <si>
    <t>Grenada is highly dependent on coral reefs as a source of food and to support tourism. Local and global environmental stressors threaten these reefs. Legislation was created for this MPA in 2001, permanent mooring buoys were deployed in 2009 and enforcement of fishing restrictions began in 2010. Initiatives to address point and nonpoint source pollution from the land have recently begun, aimed at reducing stress on reef area. This study documents benthic cover and fish populations associated with reefs in a Marine Protected Area (MPA) along Grenada's southwest coast from 2008 through 2012. Both Point Line Intercept and Photo Quadrat methods were used to assess benthic cover along permanent 30m transects (8 in and 12 outside the area) annually. Fish and Diadema antillarum urchin relative abundance were determined based on 2m wide belt surveys along the same transects. The predominant substrate cover was algae, ranging from 41% in 2009 to 74.2% in 2011. A general trend of increasing algal cover was noted. Combined annual survey results prior (2008-2010) and after controls were implemented (2011-2012) showed a significant increase in algal cover. The predominant algal form was macroalgae comprising 65.4% - 90.8% of total algae. Live hard coral percent cover ranged from 8.7% to 21.1%. Little annual variation was observed in percent live coral cover. Branching corals (34.1% - 52.3% of total living hard coral) were the most common. Of the 19 living hard coral species identified, Porites porites (21%-23%) and Porites astreoides (20%) dominated percentage composition. Madracis mirabilis contributed 21% of total live hard coral outside the MPA but only 8.7% in the MPA. Of the 63 species of fish identified in the study areas Chromis spp. (71.5% - 46%) was the dominant group. Wrasse had a significant increase from 6.9% in 2008 to 21.5% in 2010 inside the MPA with a similar increase peaking in 2011 outside the MPA. There was a noticeable (though not statistically significant) increase in piscivorous fishes in the MPA in 2012. This is a promising indication that fishing restrictions in the MPA may be having an effect. Diadema antillarum density was low, ranging from 4.58 to 0.21 urchins/100m(2) outside and 0.28 to 0.10 urchins/100m(2) inside despite a stocking attempt in the area in 2011.</t>
  </si>
  <si>
    <t>[Anderson, Robert; Bolda, Emily; Musser, Katie; Balza, Robert] Wisconsin Lutheran Coll, 8800 W Bluemound Rd, Milwaukee, WI 53226 USA; [Morrall, Clare; Nimrod, Steve] St Georges Univ, St Georges, Grenada; [Jossart, Jonathan] Univ Virgin Isl, St Louis, MO USA; [Berg, Craig] Milwaukee Cty Zoo, Milwaukee, WI 53226 USA</t>
  </si>
  <si>
    <t>University of the Virgin Islands</t>
  </si>
  <si>
    <t>Anderson, R (corresponding author), Wisconsin Lutheran Coll, 8800 W Bluemound Rd, Milwaukee, WI 53226 USA.</t>
  </si>
  <si>
    <t>banderson@wlc.edu; cmorrall@sgu.edu; jossart1@gmail.com; snimrod@sgu.edu; ebolda@hotmail.com; katie.musser@mail.wlc.edu; craig.berg@milwcnty.com; rob.balza@wlc.edu</t>
  </si>
  <si>
    <t>Jossart, Jonathan/0000-0003-4352-2178</t>
  </si>
  <si>
    <t>Fischer Family Foundation</t>
  </si>
  <si>
    <t>Funding for this project was provided by the Fischer Family Foundation and Gary Stimac and is greatly appreciated. Thanks are also offered to Jacob Krause, Jillian Groeschel, Kyle Foster, Svetlana Bornschlegl, Victoria Krueger, Thomas Dietrich, Ben Hermanson, Laurelyn Dexter, Angela Majeskie, Allison Page, and Angela Blasezyk, Andrew Dunlop, Nate Sorum, Joe DuFore, Courtney Moll, Arielle Schildback, Heather McLain and Henry Tews for data collection. Billie Harrison of the Milwaukee County Zoo is thanked for expert field work.</t>
  </si>
  <si>
    <t>SAN JOSE</t>
  </si>
  <si>
    <t>UNIVERSIDAD DE COSTA RICA CIUDAD UNIVERSITARIA, SAN JOSE, 00000, COSTA RICA</t>
  </si>
  <si>
    <t>0034-7744</t>
  </si>
  <si>
    <t>2215-2075</t>
  </si>
  <si>
    <t>REV BIOL TROP</t>
  </si>
  <si>
    <t>Rev. Biol. Trop.</t>
  </si>
  <si>
    <t>10.15517/rbt.v62i0.15922</t>
  </si>
  <si>
    <t>V41YF</t>
  </si>
  <si>
    <t>WOS:000209580800026</t>
  </si>
  <si>
    <t>Barausse, A; Correale, V; Curkovic, A; Finotto, L; Riginella, E; Visentin, E; Mazzoldi, C</t>
  </si>
  <si>
    <t>Barausse, Alberto; Correale, Vittoria; Curkovic, Aleksia; Finotto, Licia; Riginella, Emilio; Visentin, Eleonora; Mazzoldi, Carlotta</t>
  </si>
  <si>
    <t>The role of fisheries and the environment in driving the decline of elasmobranchs in the northern Adriatic Sea</t>
  </si>
  <si>
    <t>ICES JOURNAL OF MARINE SCIENCE</t>
  </si>
  <si>
    <t>Climate; fishery; landings; management; seawater temperature; shark; skate</t>
  </si>
  <si>
    <t>SHARKS; EXTINCTION; COMMUNITY; RAJIDAE; SURVIVAL; CHIMERAS; CATCHES; RAYS</t>
  </si>
  <si>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</si>
  <si>
    <t>[Barausse, Alberto] Univ Padua, Dept Ind Engn, Environm Syst Anal Lab LASA, Padua, Italy; [Correale, Vittoria; Curkovic, Aleksia; Finotto, Licia; Riginella, Emilio; Visentin, Eleonora; Mazzoldi, Carlotta] Univ Padua, Dept Biol, Padua, Italy</t>
  </si>
  <si>
    <t>University of Padua; University of Padua</t>
  </si>
  <si>
    <t>Mazzoldi, C (corresponding author), Univ Padua, Dept Biol, Padua, Italy.</t>
  </si>
  <si>
    <t>carlotta.mazzoldi@unipd.it</t>
  </si>
  <si>
    <t>; Mazzoldi, Carlotta/AAU-8628-2020; Finotto, Licia/HJO-9195-2023; Riginella, Emilio/Q-2987-2019</t>
  </si>
  <si>
    <t>Riginella, Emilio/0000-0002-1442-8310; Barausse, Alberto/0000-0002-2849-7624; MAZZOLDI, CARLOTTA/0000-0002-2798-3030</t>
  </si>
  <si>
    <t>CLODIA project - Veneto Region (Italy) (DGR) [4069]; Athenaeum Project - University of Padova [CPDA110183]; European Community's Seventh Framework Programme (KnowSeas project) [226675]</t>
  </si>
  <si>
    <t>CLODIA project - Veneto Region (Italy) (DGR); Athenaeum Project - University of Padova; European Community's Seventh Framework Programme (KnowSeas project)</t>
  </si>
  <si>
    <t>The study was supported by the CLODIA project, funded by the Veneto Region (Italy) Law 15/2007 (DGR n. 4069), and the Athenaeum Project CPDA110183, funded by the University of Padova (to CM), and the European Community's Seventh Framework Programme (grant agreement 226675, KnowSeas project) to AB.</t>
  </si>
  <si>
    <t>OXFORD UNIV PRESS</t>
  </si>
  <si>
    <t>GREAT CLARENDON ST, OXFORD OX2 6DP, ENGLAND</t>
  </si>
  <si>
    <t>1054-3139</t>
  </si>
  <si>
    <t>1095-9289</t>
  </si>
  <si>
    <t>ICES J MAR SCI</t>
  </si>
  <si>
    <t>ICES J. Mar. Sci.</t>
  </si>
  <si>
    <t>SEP-OCT</t>
  </si>
  <si>
    <t>10.1093/icesjms/fst222</t>
  </si>
  <si>
    <t>Fisheries; Marine &amp; Freshwater Biology; Oceanography</t>
  </si>
  <si>
    <t>AR1BT</t>
  </si>
  <si>
    <t>WOS:000343315900008</t>
  </si>
  <si>
    <t>Lal, R</t>
  </si>
  <si>
    <t>Lal, Rattan</t>
  </si>
  <si>
    <t>Soil conservation and ecosystem services</t>
  </si>
  <si>
    <t>INTERNATIONAL SOIL AND WATER CONSERVATION RESEARCH</t>
  </si>
  <si>
    <t>Gaseous emission; Climate change mitigation; Sustainable development; Accelerated soilerosion; Geologic erosion; Food security; Eutrophication; Sedimentation; Water quality; Biodiversity</t>
  </si>
  <si>
    <t>HORQIN SANDY LAND; ORGANIC-CARBON; SPATIAL VARIABILITY; WATER EROSION; DEGRADED LAND; RESTORATION; LOSSES; HILLSLOPE; DYNAMICS; FOREST</t>
  </si>
  <si>
    <t>Accelerated soil erosion, driven by anthropogenic activities such as conversion of natural ecosystems to agroecosystems and mechanical tillage, has numerous adverse impacts on ecosystem services. In addition to degrading soil quality and reducing agronomic/ biomass productivity on-site through a decrease in use-efficiency of inputs, off-site impacts of accelerated erosion include eutrophication and contamination, sedimentation of reservoirs and waterways, and emissions of greenhouse gases (e. g., CO2, CH4 and N2O). While advancing food and nutritional security, adoption of restorative land use and recommended management practices are important to strengthening numerous ecosystem services such as improving water quality and renewability, increasing below and above-ground biodiversity, enhancing soil resilience to climate change and extreme events, and mitigating climate change by sequestering C in soil and reducing the emission of CO2, CH4 and N2O. An effective control of accelerated erosion is essential to sustainable development and improving the environment.</t>
  </si>
  <si>
    <t>[Lal, Rattan] Ohio State Univ, Soil Sci, 210 Kottman Hall,2021 Coffey Rd, Columbus, OH 43210 USA; [Lal, Rattan] Ohio State Univ, Carbon Management &amp; Sequestrat Ctr, Columbus, OH 43210 USA</t>
  </si>
  <si>
    <t>University System of Ohio; Ohio State University; University System of Ohio; Ohio State University</t>
  </si>
  <si>
    <t>Lal, R (corresponding author), Ohio State Univ, Soil Sci, 210 Kottman Hall,2021 Coffey Rd, Columbus, OH 43210 USA.</t>
  </si>
  <si>
    <t>LAL.1@osu.edu</t>
  </si>
  <si>
    <t>Lal, Rattan/D-2505-2013</t>
  </si>
  <si>
    <t>KEAI PUBLISHING LTD</t>
  </si>
  <si>
    <t>BEIJING</t>
  </si>
  <si>
    <t>16 DONGHUANGCHENGGEN NORTH ST, BEIJING, DONGCHENG DISTRICT 100717, PEOPLES R CHINA</t>
  </si>
  <si>
    <t>2095-6339</t>
  </si>
  <si>
    <t>2589-059X</t>
  </si>
  <si>
    <t>INT SOIL WATER CONSE</t>
  </si>
  <si>
    <t>Int. Soil Water Conserv. Res.</t>
  </si>
  <si>
    <t>10.1016/S2095-6339(15)30021-6</t>
  </si>
  <si>
    <t>Environmental Sciences; Soil Science; Water Resources</t>
  </si>
  <si>
    <t>Environmental Sciences &amp; Ecology; Agriculture; Water Resources</t>
  </si>
  <si>
    <t>VD0VI</t>
  </si>
  <si>
    <t>WOS:000435740500003</t>
  </si>
  <si>
    <t>Berthon, V; Alric, B; Rimet, F; Perga, ME</t>
  </si>
  <si>
    <t>Berthon, Vincent; Alric, Benjamin; Rimet, Frederic; Perga, Marie-Elodie</t>
  </si>
  <si>
    <t>Sensitivity and responses of diatoms to climate warming in lakes heavily influenced by humans</t>
  </si>
  <si>
    <t>additive model; climate change; diatoms; fisheries; nutrients</t>
  </si>
  <si>
    <t>LONG-TERM; CLADOCERAN COMMUNITIES; MULTIPLE STRESSORS; PEG-MODEL; BOTTOM-UP; PRODUCTIVITY; RESTORATION; VARIABILITY; PATTERNS; DAPHNIA</t>
  </si>
  <si>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</si>
  <si>
    <t>[Berthon, Vincent; Alric, Benjamin; Rimet, Frederic; Perga, Marie-Elodie] INRA, CARRTEL, F-74200 Thonon Les Bains, France; [Berthon, Vincent; Rimet, Frederic; Perga, Marie-Elodie] Univ Savoie, CARRTEL, Chambery, France; [Alric, Benjamin] IMBE, IRD 237, UMR CNRS 7263, Marseille, France</t>
  </si>
  <si>
    <t>Universite Savoie Mont Blanc; INRAE; Universite Savoie Mont Blanc; Centre National de la Recherche Scientifique (CNRS); CNRS - Institute of Ecology &amp; Environment (INEE); Aix-Marseille Universite; Institut de Recherche pour le Developpement (IRD)</t>
  </si>
  <si>
    <t>Perga, ME (corresponding author), INRA, CARRTEL, F-74200 Thonon Les Bains, France.</t>
  </si>
  <si>
    <t>marie-elodie.perga@thonon.inra.fr</t>
  </si>
  <si>
    <t>alric, benjamin/F-5068-2019; Rimet, Frédéric/S-2702-2018; RIMET, Frédéric/S-2702-2018</t>
  </si>
  <si>
    <t>Rimet, Frédéric/0000-0002-5514-869X; Perga, Marie-Elodie/0000-0002-9003-0769</t>
  </si>
  <si>
    <t>French National Research Agency [ANR-VUL 005]; University of Savoie</t>
  </si>
  <si>
    <t>French National Research Agency(Agence Nationale de la Recherche (ANR)); University of Savoie</t>
  </si>
  <si>
    <t>We thank RK Johnson, JP Smol and G Simpson for their thoughtful reviews that clearly contributed to improve previous versions of this manuscript. This study was supported by the French National Research Agency (ANR-VUL 005: 'IPER-RETRO' project). VB was supported by a PhD fellowship from the University of Savoie. Emmanuel Malet, Bernard Fanget and Emmanuelle Dormia have to be thanked for their help in the field or in the laboratory.</t>
  </si>
  <si>
    <t>10.1111/fwb.12380</t>
  </si>
  <si>
    <t>AL8JR</t>
  </si>
  <si>
    <t>WOS:000339385100016</t>
  </si>
  <si>
    <t>Engelhard, GH; Righton, DA; Pinnegar, JK</t>
  </si>
  <si>
    <t>Engelhard, Georg H.; Righton, David A.; Pinnegar, John K.</t>
  </si>
  <si>
    <t>Climate change and fishing: a century of shifting distribution in North Sea cod</t>
  </si>
  <si>
    <t>Atlantic cod; distribution shift; fisheries; fishing pressure; Gadus morhua; marine climate change; North Sea</t>
  </si>
  <si>
    <t>GADUS-MORHUA; ATLANTIC COD; CONTINENTAL-SHELF; FISHERIES; VARIABILITY; ABUNDANCE; PRODUCTIVITY; NEWFOUNDLAND; OSCILLATION; ASSEMBLAGE</t>
  </si>
  <si>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</si>
  <si>
    <t>[Engelhard, Georg H.; Righton, David A.; Pinnegar, John K.] Cefas, Lowestoft NR33 0HT, Suffolk, England</t>
  </si>
  <si>
    <t>Engelhard, GH (corresponding author), Cefas, Pakefield Rd, Lowestoft NR33 0HT, Suffolk, England.</t>
  </si>
  <si>
    <t>Pinnegar, John/C-4400-2012; Righton, David/D-6140-2013</t>
  </si>
  <si>
    <t>Engelhard, Georg H/0000-0002-7821-7029; Righton, David/0000-0001-8643-3672; Pinnegar, John/0000-0001-5061-9520;</t>
  </si>
  <si>
    <t>Department for Food, Environment and Rural Affairs of the UK (Defra projects) [MF1108, MF1228]; Cefas (Seedcorn project 'Trawling Through Time'); ICES Working Group on the History of Fish and Fisheries</t>
  </si>
  <si>
    <t>Department for Food, Environment and Rural Affairs of the UK (Defra projects); Cefas (Seedcorn project 'Trawling Through Time'); ICES Working Group on the History of Fish and Fisheries</t>
  </si>
  <si>
    <t>This study was supported by the Department for Food, Environment and Rural Affairs of the UK (Defra projects MF1108 '100 Years of Change in Fish and Fisheries' and MF1228 'Physics to Fisheries'), Cefas (Seedcorn project 'Trawling Through Time') and the ICES Working Group on the History of Fish and Fisheries. Joyce Petrie, Bill Turrell, and Phil Kunzlik (Marine Scotland) provided Scottish fisheries data after 1968. Peter Robinson extracted post-1982 data from Defra's Fisheries Activity Database. The study benefited from discussions with Stephen Dye, Bernardo Garcia-Carreras, Laurence Kell, Christopher Lynam, Marta Soffker and Andy South, and from feedback by three anonymous referees.</t>
  </si>
  <si>
    <t>10.1111/gcb.12513</t>
  </si>
  <si>
    <t>AL4JW</t>
  </si>
  <si>
    <t>WOS:000339100200011</t>
  </si>
  <si>
    <t>Zhang, YZ; Liang, SL</t>
  </si>
  <si>
    <t>Zhang, Yuzhen; Liang, Shunlin</t>
  </si>
  <si>
    <t>Changes in forest biomass and linkage to climate and forest disturbances over Northeastern China</t>
  </si>
  <si>
    <t>forest biomass dynamics; forest disturbances; northeastern China</t>
  </si>
  <si>
    <t>NET PRIMARY PRODUCTION; BIOTIC DISTURBANCES; CONIFEROUS FORESTS; CARBON STOCKS; UNITED-STATES; FIRE; PRODUCTIVITY; ECOSYSTEMS; MANAGEMENT; REGRESSION</t>
  </si>
  <si>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</si>
  <si>
    <t>[Zhang, Yuzhen; Liang, Shunlin] Beijing Normal Univ, State Key Lab Remote Sensing Sci, Coll Global Change &amp; Earth Syst Sci, Beijing 100875, Peoples R China; [Liang, Shunlin] Univ Maryland, Dept Geog Sci, College Pk, MD 20742 USA</t>
  </si>
  <si>
    <t>Beijing Normal University; University System of Maryland; University of Maryland College Park</t>
  </si>
  <si>
    <t>Zhang, YZ (corresponding author), Beijing Normal Univ, State Key Lab Remote Sensing Sci, Coll Global Change &amp; Earth Syst Sci, Beijing 100875, Peoples R China.</t>
  </si>
  <si>
    <t>yuzhenzhang86@gmail.com</t>
  </si>
  <si>
    <t>Zhang, Yuzhen/GZK-3740-2022; Liang, Shunlin/C-2809-2015</t>
  </si>
  <si>
    <t>[2013AA122800]</t>
  </si>
  <si>
    <t>We are very grateful for anonymous reviewers for their constructive comments and suggestions. This study is funded by grant 2013AA122800.</t>
  </si>
  <si>
    <t>10.1111/gcb.12588</t>
  </si>
  <si>
    <t>WOS:000339100200021</t>
  </si>
  <si>
    <t>Hagerthey, SE; Cook, MI; Mac Kobza, R; Newman, S; Bellinger, BJ</t>
  </si>
  <si>
    <t>Hagerthey, Scot E.; Cook, Mark I.; Mac Kobza, R.; Newman, Susan; Bellinger, Brent J.</t>
  </si>
  <si>
    <t>Aquatic faunal responses to an induced regime shift in the phosphorus-impacted Everglades</t>
  </si>
  <si>
    <t>community; crayfish; ecosystem restoration; fish; stoichiometry</t>
  </si>
  <si>
    <t>SAMPLING CHARACTERISTICS; NORTHERN EVERGLADES; CATTAIL MANAGEMENT; PROCAMBARUS-ALLENI; CHEYENNE-BOTTOMS; STOICHIOMETRY; VEGETATION; FLORIDA; FISHES; CRAYFISH</t>
  </si>
  <si>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</si>
  <si>
    <t>[Hagerthey, Scot E.; Cook, Mark I.; Mac Kobza, R.; Newman, Susan] South Florida Water Management Dist, Everglades Syst Assessment Sect, W Palm Beach, FL 33411 USA; [Bellinger, Brent J.] Univ Florida, Soil &amp; Water Sci Dept, Gainesville, FL USA</t>
  </si>
  <si>
    <t>South Florida Water Management District; State University System of Florida; University of Florida</t>
  </si>
  <si>
    <t>Cook, MI (corresponding author), South Florida Water Management Dist, Everglades Syst Assessment Sect, 8894 Belvedere Rd,Bldg 374, W Palm Beach, FL 33411 USA.</t>
  </si>
  <si>
    <t>mcook@sfwmd.gov</t>
  </si>
  <si>
    <t>; Kobza, Robert/C-6400-2015</t>
  </si>
  <si>
    <t>Hagerthey, Scot/0000-0002-1361-359X; Newman, Susan/0000-0001-8340-2600;</t>
  </si>
  <si>
    <t>10.1111/fwb.12353</t>
  </si>
  <si>
    <t>AJ2XP</t>
  </si>
  <si>
    <t>WOS:000337528600004</t>
  </si>
  <si>
    <t>Malaj, E; von der Ohe, PC; Grote, M; Kühne, R; Mondy, CP; Usseglio-Polatera, P; Brack, W; Schäfer, RB</t>
  </si>
  <si>
    <t>Malaj, Egina; von der Ohe, Peter C.; Grote, Matthias; Kuehne, Ralph; Mondy, Cedric P.; Usseglio-Polatera, Philippe; Brack, Werner; Schaefer, Ralf B.</t>
  </si>
  <si>
    <t>Organic chemicals jeopardize the health of freshwater ecosystems on the continental scale</t>
  </si>
  <si>
    <t>toxicity; effect thresholds; streams; river basins; ecological data</t>
  </si>
  <si>
    <t>INVERTEBRATE COMMUNITIES; RISK-ASSESSMENT; SURFACE-WATER; FISH; BIODIVERSITY; PESTICIDES; POLLUTANTS; TOXICITY; DEGRADATION; ENVIRONMENT</t>
  </si>
  <si>
    <t>Organic chemicals can contribute to local and regional losses of freshwater biodiversity and ecosystem services. However, their overall relevance regarding larger spatial scales remains unknown. Here, we present, to our knowledge, the first risk assessment of organic chemicals on the continental scale comprising 4,000 European monitoring sites. Organic chemicals were likely to exert acute lethal and chronic long-term effects on sensitive fish, invertebrate, or algae species in 14% and 42% of the sites, respectively. Of the 223 chemicals monitored, pesticides, tributyltin, polycyclic aromatic hydrocarbons, and brominated flame retardants were the major contributors to the chemical risk. Their presence was related to agricultural and urban areas in the upstream catchment. The risk of potential acute lethal and chronic long-term effects increased with the number of ecotoxicologically relevant chemicals analyzed at each site. As most monitoring programs considered in this study only included a subset of these chemicals, our assessment likely underestimates the actual risk. Increasing chemical risk was associated with deterioration in the quality status of fish and invertebrate communities. Our results clearly indicate that chemical pollution is a large-scale environmental problem and requires far-reaching, holistic mitigation measures to preserve and restore ecosystem health.</t>
  </si>
  <si>
    <t>[Malaj, Egina; von der Ohe, Peter C.; Brack, Werner] UFZ Helmholtz Ctr Environm Res, Dept Effect Directed Anal, D-04318 Leipzig, Germany; [Malaj, Egina; Schaefer, Ralf B.] Univ Koblenz Landau, Inst Environm Sci, D-76829 Landau, Germany; [von der Ohe, Peter C.] Amalex Environm Solut, D-04103 Leipzig, Germany; [Grote, Matthias] Elect France, Div Res &amp; Dev, Natl Hydraul &amp; Environm Lab, F-78401 Chatou, France; [Kuehne, Ralph] UFZ Helmholtz Ctr Environm Res, Dept Ecol Chem, D-04318 Leipzig, Germany; [Mondy, Cedric P.] Eawag Swiss Fed Inst Aquat Sci &amp; Technol, Dept Syst Anal Integrated Assessment &amp; Modelling, CH-8600 Dubendorf, Switzerland; [Usseglio-Polatera, Philippe] Univ Lorraine, CNRS, Interdisciplinary Lab Continental Environm, Unite Mixte Rech 7360, F-57070 Metz, France</t>
  </si>
  <si>
    <t>Helmholtz Association; Helmholtz Center for Environmental Research (UFZ); RPTU University Kaiserslautern; Electricite de France (EDF); Helmholtz Association; Helmholtz Center for Environmental Research (UFZ); Swiss Federal Institutes of Technology Domain; Swiss Federal Institute of Aquatic Science &amp; Technology (EAWAG); Universite de Lorraine; Centre National de la Recherche Scientifique (CNRS)</t>
  </si>
  <si>
    <t>Malaj, E (corresponding author), UFZ Helmholtz Ctr Environm Res, Dept Effect Directed Anal, D-04318 Leipzig, Germany.</t>
  </si>
  <si>
    <t>egina.malaj@ufz.de</t>
  </si>
  <si>
    <t>Schaefer, Ralf/E-1926-2011; von der Ohe, Peter/C-4464-2010; Grote, Matthias/D-2294-2009; Mondy, Cédric/H-9605-2019; Kühne, Ralph/D-4889-2015</t>
  </si>
  <si>
    <t>Mondy, Céic/0000-0003-2788-0936; Schäfer, Ralf B/0000-0003-3510-1701; Malaj, Egina/0000-0003-1549-4069; Kühne, Ralph/0000-0002-0916-4904; von der Ohe, Peter Carsten/0000-0001-7350-8962; Brack, Werner/0000-0001-9269-6524; Grote, Matthias/0000-0002-3323-540X</t>
  </si>
  <si>
    <t>Electricite de France; French National Research Agency [ANR-07-ECOT-013]; Deutsche Forschungsgemeinschaft [PAK 406/1]</t>
  </si>
  <si>
    <t>Electricite de France; French National Research Agency(Agence Nationale de la Recherche (ANR)); Deutsche Forschungsgemeinschaft(German Research Foundation (DFG))</t>
  </si>
  <si>
    <t>We thank R. Schulz, M. Bundschuh, A. Lorke, V. Dietrich-Bischoff, C. Hug, C. Vogs, S. Steiner, and two anonymous reviewers for comments that improved this manuscript and E. Szocs for checking the computer code. This work was funded by Electricite de France with financial support from the French National Research Agency (Grant ANR-07-ECOT-013). P.C.v.d.O. was supported through a Deutsche Forschungsgemeinschaft postdoctoral fellowship (Grant PAK 406/1).</t>
  </si>
  <si>
    <t>10.1073/pnas.1321082111</t>
  </si>
  <si>
    <t>AK0QG</t>
  </si>
  <si>
    <t>WOS:000338118900055</t>
  </si>
  <si>
    <t>Saupe, EE; Hendricks, JR; Peterson, AT; Lieberman, BS</t>
  </si>
  <si>
    <t>Saupe, Erin E.; Hendricks, Jonathan R.; Peterson, A. Townsend; Lieberman, Bruce S.</t>
  </si>
  <si>
    <t>Climate change and marine molluscs of the western North Atlantic: future prospects and perils</t>
  </si>
  <si>
    <t>Climate change; Crassostrea virginica; ecological niche modelling; extinction; marine; migration; Mollusca; potential distribution; range boundaries</t>
  </si>
  <si>
    <t>MYTILUS-EDULIS L.; RANGE SHIFTS; EXTINCTION RISK; SPECIES RANGE; BIODIVERSITY; BIOGEOGRAPHY; DYNAMICS; IMPACTS; MODELS; DISPERSAL</t>
  </si>
  <si>
    <t>Aim Numerous studies have examined potential responses of terrestrial biotas to future climate change, but fewer have considered marine realms. We forecast how marine molluscan faunas might respond to environmental change over the remainder of this century. We test the hypotheses that suitable areas will shift northwards for studied species, and that species will show varied responses to future climate change. Location North and South America and the Caribbean. Methods We generated ecological niche models (in GARP and Maxent) for 14 ecologically, economically and potentially medically important mollusc species, using present-day summaries and future forecasts of climate from the Hadley Centre and known species occurrence data from natural history collections. Niche models were used to forecast potential distributions according to three scenarios of future change for three time slices. Results Northern extremes of suitability are predicted to shift northwards for only three (GARP) or four (Maxent) of the 14 species, whereas the southern edge of suitability is predicted to shift southwards for seven (GARP) and one (Maxent) of the 14 species. When changes in the geographical centroids of suitability are considered, no significant poleward shifts are anticipated for individual species. Instead, half of the study species (many economically important) experience substantial (&gt;20%) loss of suitable environmental area, even under the lowest-emission future climate scenario. Furthermore, the direction and magnitude of the response to predicted climate change is species-specific. Main conclusions We do not find a coherent pattern of areas with suitable environments expanding at high-latitude range boundaries, with simultaneous contraction at their low-latitude boundaries. Tropical marine molluscs may thus show varied responses as average temperatures warm. These results contrast with trends among terrestrial and other marine species, which are rapidly shifting their ranges to higher latitudes. Conversely, the differing responses of these species to future warming are consistent with responses of species to past episodes of change, as observed in the fossil record.</t>
  </si>
  <si>
    <t>[Saupe, Erin E.] Univ Kansas, Dept Geol, Lawrence, KS 66045 USA; [Saupe, Erin E.; Peterson, A. Townsend; Lieberman, Bruce S.] Univ Kansas, Dept Ecol &amp; Evolutionary Biol, Lawrence, KS 66045 USA; [Saupe, Erin E.; Peterson, A. Townsend; Lieberman, Bruce S.] Univ Kansas, Biodivers Inst, Lawrence, KS 66045 USA; [Hendricks, Jonathan R.] San Jose State Univ, Dept Geol, San Jose, CA 95192 USA; [Hendricks, Jonathan R.] Paleontol Res Inst, Ithaca, NY 14850 USA</t>
  </si>
  <si>
    <t>University of Kansas; University of Kansas; University of Kansas; California State University System; San Jose State University</t>
  </si>
  <si>
    <t>Saupe, EE (corresponding author), Univ Kansas, Dept Geol, 1475 Jayhawk Blvd,120 Lindley Hall, Lawrence, KS 66045 USA.</t>
  </si>
  <si>
    <t>eesaupe@ku.edu</t>
  </si>
  <si>
    <t>Peterson, A. Townsend/I-5697-2013</t>
  </si>
  <si>
    <t>Lieberman, Bruce/0000-0002-4353-7874; Saupe, Erin/0000-0002-0370-9897</t>
  </si>
  <si>
    <t>Madison &amp; Lila Self Graduate Student Fellowship; University of Kansas Biodiversity Institute Panorama Society and Department of Geology; [NSF-EF-1206757]; Div Of Biological Infrastructure; Direct For Biological Sciences [1206757] Funding Source: National Science Foundation</t>
  </si>
  <si>
    <t>Madison &amp; Lila Self Graduate Student Fellowship; University of Kansas Biodiversity Institute Panorama Society and Department of Geology; ; Div Of Biological Infrastructure; Direct For Biological Sciences(National Science Foundation (NSF)NSF - Directorate for Biological Sciences (BIO))</t>
  </si>
  <si>
    <t>Comments from several anonymous referees improved this contribution considerably. The authors extend sincere gratitude to Paul Halloran of the Met Office Hadley Centre for providing the Diat-HadOCC environmental layers, and for discussions regarding climate modelling and study design. We also thank Narayani Barve, Xingong Li, Andres Lira-Noriega, Corinne Myers, Hannah Owens, Jorge Soberon (University of Kansas), David Alves, Jess Beck, Bryan DeAngelis, Meg Goecker (NOAA), Boze Hancock (Nature Conservancy), Jan Johan ter Poorten (Zoological Museum Amsterdam) and Paula Mikkelsen (Paleontological Research Institution) for helpful discussions. This research was funded by a Madison &amp; Lila Self Graduate Student Fellowship, grants from the University of Kansas Biodiversity Institute Panorama Society and Department of Geology, and NSF-EF-1206757.</t>
  </si>
  <si>
    <t>10.1111/jbi.12289</t>
  </si>
  <si>
    <t>AJ4BT</t>
  </si>
  <si>
    <t>WOS:000337615500011</t>
  </si>
  <si>
    <t>Chen, BX; Zhang, XZ; Tao, J; Wu, JS; Wang, JS; Shi, PL; Zhang, YJ; Yu, CQ</t>
  </si>
  <si>
    <t>Chen, Baoxiong; Zhang, Xianzhou; Tao, Jian; Wu, Jianshuang; Wang, Jingsheng; Shi, Peili; Zhang, Yangjian; Yu, Chengqun</t>
  </si>
  <si>
    <t>The impact of climate change and anthropogenic activities on alpine grassland over the Qinghai-Tibet Plateau</t>
  </si>
  <si>
    <t>AGRICULTURAL AND FOREST METEOROLOGY</t>
  </si>
  <si>
    <t>The Qinghai-Tibet plateau; Alpine grassland ecosystem; Net primary production; Climate change; Anthropogenic activities</t>
  </si>
  <si>
    <t>NET PRIMARY PRODUCTION; INDUCED LAND DEGRADATION; HUMAN APPROPRIATION; PRIMARY PRODUCTIVITY; VARIABILITY; VEGETATION; SATELLITE; RESTORATION; ECOSYSTEMS; DESERTIFICATION</t>
  </si>
  <si>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</si>
  <si>
    <t>[Chen, Baoxiong; Zhang, Xianzhou; Tao, Jian; Wu, Jianshuang; Wang, Jingsheng; Shi, Peili; Zhang, Yangjian; Yu, Chengqun] Chinese Acad Sci, Lhasa Plateau Ecosyst Res Stn, Key Lab Ecosyst Network Observat &amp; Modeling, Inst Geog Sci &amp; Nat Resources Res, Beijing 100101, Peoples R China; [Chen, Baoxiong] Chinese Acad Sci, Grad Univ, Beijing 100049, Peoples R China</t>
  </si>
  <si>
    <t>Chinese Academy of Sciences; Institute of Geographic Sciences &amp; Natural Resources Research, CAS; Chinese Academy of Sciences; University of Chinese Academy of Sciences, CAS</t>
  </si>
  <si>
    <t>Zhang, XZ (corresponding author), Chinese Acad Sci, Lhasa Plateau Ecosyst Res Stn, Key Lab Ecosyst Network Observat &amp; Modeling, Inst Geog Sci &amp; Nat Resources Res, Beijing 100101, Peoples R China.</t>
  </si>
  <si>
    <t>zhangxz@igsnrr.ac.cn</t>
  </si>
  <si>
    <t>; Wu, Jianshuang/N-4694-2015; WU, Jianshuang/N-4694-2015; Zhang, Yangjian/D-1012-2014; Wang, Jingsheng/KGL-6959-2024; Peili, SHi/AAT-6450-2021</t>
  </si>
  <si>
    <t>石, 培礼/0000-0002-1120-0003; Wu, Jianshuang/0000-0002-6768-8255; Tao, Jian/0000-0003-1374-8678;</t>
  </si>
  <si>
    <t>Chinese Academy of Sciences project [XDB03030400]; National Basic Research Program of China [2010CB951704]; National Sciences Foundation of China [41171044]</t>
  </si>
  <si>
    <t>Chinese Academy of Sciences project(Chinese Academy of Sciences); National Basic Research Program of China(National Basic Research Program of China); National Sciences Foundation of China(National Natural Science Foundation of China (NSFC))</t>
  </si>
  <si>
    <t>This study was jointly supported by Chinese Academy of Sciences project (XDB03030400), the National Basic Research Program of China (No. 2010CB951704), and the National Sciences Foundation of China (41171044). The constructive comments and suggestions from anonymous reviewers are also highly appreciated.</t>
  </si>
  <si>
    <t>0168-1923</t>
  </si>
  <si>
    <t>1873-2240</t>
  </si>
  <si>
    <t>AGR FOREST METEOROL</t>
  </si>
  <si>
    <t>Agric. For. Meteorol.</t>
  </si>
  <si>
    <t>JUN 1</t>
  </si>
  <si>
    <t>10.1016/j.agrformet.2014.01.002</t>
  </si>
  <si>
    <t>Agronomy; Forestry; Meteorology &amp; Atmospheric Sciences</t>
  </si>
  <si>
    <t>Agriculture; Forestry; Meteorology &amp; Atmospheric Sciences</t>
  </si>
  <si>
    <t>AE3BW</t>
  </si>
  <si>
    <t>WOS:000333852900003</t>
  </si>
  <si>
    <t>Gamoun, M</t>
  </si>
  <si>
    <t>Gamoun, Mouldi</t>
  </si>
  <si>
    <t>Grazing intensity effects on the vegetation in desert rangelands of Southern Tunisia</t>
  </si>
  <si>
    <t>JOURNAL OF ARID LAND</t>
  </si>
  <si>
    <t>rangelands management; grazing pressure; richness; diversity; productivity</t>
  </si>
  <si>
    <t>FLORISTIC DIVERSITY; ARID RANGELANDS; INNER-MONGOLIA; STOCKING RATE; MANAGEMENT; PROTECTION; SOIL; GRASSLAND; COMMUNITY; DESERTIFICATION</t>
  </si>
  <si>
    <t>Although the effects of non-grazing and heavy grazing on vegetation structure have been extensively studied in a wide range of ecosystems, the effects of moderate grazing on desert land are still largely unknown. Many management opportunities exist for increasing forage intake. In order to determine an optimal management method of desert rangelands with high heritage value, we examined the respective effects of heavy grazing, moderate grazing and non-grazing on total vegetation cover, species richness, the Shannon-Wiener diversity index and rangeland productivity. Sampling was done from 2010 to 2012 (from the second year after treatments were imposed) using permanent transects under different grazing intensities. While total vegetation cover, species richness, Shannon-Wiener diversity index, species composition and primary production were significantly greater on the un-grazed site and significantly weaker on the heavily grazed site, in contrast, moderate grazing had no significant effect on total vegetation cover, species richness, Shannon diversity index, species composition and primary production. These studies suggest that desert rangelands plant communities in general lack response to moderate grazing disturbance, and if managed properly they can provide a valuable source of feed for livestock.</t>
  </si>
  <si>
    <t>Arid Reg Inst IRA, Lab Range Ecol, Medenine 4119, Tunisia</t>
  </si>
  <si>
    <t>Institut des Regions Arides</t>
  </si>
  <si>
    <t>Gamoun, M (corresponding author), Arid Reg Inst IRA, Lab Range Ecol, Medenine 4119, Tunisia.</t>
  </si>
  <si>
    <t>gamoun.mouldi@yahoo.fr</t>
  </si>
  <si>
    <t>Gamoun, Mouldi/0000-0003-3714-7674; Gamoun, Mouldi/0000-0003-0049-623X</t>
  </si>
  <si>
    <t>1674-6767</t>
  </si>
  <si>
    <t>2194-7783</t>
  </si>
  <si>
    <t>J ARID LAND</t>
  </si>
  <si>
    <t>J. Arid Land</t>
  </si>
  <si>
    <t>10.1007/s40333-013-0202-y</t>
  </si>
  <si>
    <t>297DJ</t>
  </si>
  <si>
    <t>WOS:000330235300008</t>
  </si>
  <si>
    <t>Kun-Rodrigues, C; Salmona, J; Besolo, A; Rasolondraibe, E; Rabarivola, C; Marques, TA; Chikhi, L</t>
  </si>
  <si>
    <t>Kun-Rodrigues, Celia; Salmona, Jordi; Besolo, Aubin; Rasolondraibe, Emmanuel; Rabarivola, Clement; Marques, Tiago A.; Chikhi, Lounes</t>
  </si>
  <si>
    <t>New Density Estimates of a Threatened Sifaka Species ( Propithecus coquereli) in Ankarafantsika National Park</t>
  </si>
  <si>
    <t>AMERICAN JOURNAL OF PRIMATOLOGY</t>
  </si>
  <si>
    <t>Propithecus coquereli; distance sampling; population density; abundance; edge effect</t>
  </si>
  <si>
    <t>EASTERN MADAGASCAR; POPULATION; LEMUR; CONSERVATION; FOREST; FRAGMENTATION; VERREAUXI; ABUNDANCE; ANIMALS; SIZE</t>
  </si>
  <si>
    <t>Propithecus coquereli is one of the last sifaka species for which no reliable and extensive density estimates are yet available. Despite its endangered conservation status [IUCN, 2012] and recognition as a flagship species of the northwestern dry forests of Madagascar, its population in its last main refugium, the Ankarafantsika National Park (ANP), is still poorly known. Using line transect distance sampling surveys we estimated population density and abundance in the ANP. Furthermore, we investigated the effects of road, forest edge, river proximity and group size on sighting frequencies, and density estimates. We provide here the first population density estimates throughout the ANP. We found that density varied greatly among surveyed sites (from 5 to approximate to 100ind/km(2)) which could result from significant (negative) effects of road, and forest edge, and/or a (positive) effect of river proximity. Our results also suggest that the population size may be approximate to 47,000 individuals in the ANP, hinting that the population likely underwent a strong decline in some parts of the Park in recent decades, possibly caused by habitat loss from fires and charcoal production and by poaching. We suggest community-based conservation actions for the largest remaining population of Coquerel's sifaka which will (i) maintain forest connectivity; (ii) implement alternatives to deforestation through charcoal production, logging, and grass fires; (iii) reduce poaching; and (iv) enable long-term monitoring of the population in collaboration with local authorities and researchers. Am. J. Primatol. 76:515-528, 2014. (c) 2014 Wiley Periodicals, Inc.</t>
  </si>
  <si>
    <t>[Kun-Rodrigues, Celia; Salmona, Jordi; Chikhi, Lounes] Inst Gulbenkian Ciencias, P-2780156 Oeiras, Portugal; [Besolo, Aubin; Rasolondraibe, Emmanuel; Rabarivola, Clement] Univ Mahajanga, Fac Sci, Mahajanga, Madagascar; [Marques, Tiago A.] Univ St Andrews, Ctr Res Ecol &amp; Environm Modelling, St Andrews, Fife, Scotland; [Chikhi, Lounes] Univ Toulouse 3, CNRS, ENFA, Lab Evolut &amp; Divers Biol, F-31062 Toulouse, France; [Chikhi, Lounes] Univ Toulouse, Toulouse, France</t>
  </si>
  <si>
    <t>Instituto Gulbenkian de Ciencia; University of St Andrews; Universite de Toulouse; Universite Toulouse III - Paul Sabatier; Universite Federale Toulouse Midi-Pyrenees (ComUE); Ecole Nationale Formation Agronomique (ENSFEA); Centre National de la Recherche Scientifique (CNRS); Universite de Toulouse</t>
  </si>
  <si>
    <t>Kun-Rodrigues, C (corresponding author), Inst Gulbenkian Ciencias, Rua Quinta Grande 6, P-2780156 Oeiras, Portugal.</t>
  </si>
  <si>
    <t>celiakrodrigues@gmail.com; jordi.salmona@gmail.com; chikhi@cict.fr</t>
  </si>
  <si>
    <t>Kun-Rodrigues, Celia/AAH-9450-2021; CHIKHI, Lounes/KAL-8932-2024; Salmona, Jordi/P-5996-2017; Marques, Tiago/M-3253-2019</t>
  </si>
  <si>
    <t>Chikhi, Lounes/0000-0002-1140-0718; Marques, Tiago A/0000-0002-2581-1972; Salmona, Jordi/0000-0002-1950-5805;</t>
  </si>
  <si>
    <t>OptimusAlive!Oeiras-IGC fellowship; Fundacao para a Ciencia e a Tecnologia (FCT) [SFRH/BD/64875/2009, PTDC/BIA-BEC/100176/2008, PTDC/BIA-BIC/4476/2012]; Laboratoire d'Excellence (LABEX) [ANR-10-LABX-41]; Rufford Small Grant Foundation [10941-1]; Fundação para a Ciência e a Tecnologia [PTDC/BIA-BIC/4476/2012, SFRH/BD/64875/2009, PTDC/BIA-BEC/100176/2008] Funding Source: FCT</t>
  </si>
  <si>
    <t>OptimusAlive!Oeiras-IGC fellowship; Fundacao para a Ciencia e a Tecnologia (FCT)(Fundacao para a Ciencia e a Tecnologia (FCT)); Laboratoire d'Excellence (LABEX); Rufford Small Grant Foundation; Fundação para a Ciência e a Tecnologia(Fundacao para a Ciencia e a Tecnologia (FCT))</t>
  </si>
  <si>
    <t>Contract grant sponsor: OptimusAlive!Oeiras-IGC fellowship; contract grant sponsor: Fundacao para a Ciencia e a Tecnologia (FCT); contract grant numbers: SFRH/BD/64875/2009, PTDC/BIA-BEC/100176/2008, PTDC/BIA-BIC/4476/2012; contract grant sponsor: Laboratoire d'Excellence (LABEX); contract grant number: ANR-10-LABX-41; contract grant sponsor: Rufford Small Grant Foundation; contract grant number: 10941-1.</t>
  </si>
  <si>
    <t>0275-2565</t>
  </si>
  <si>
    <t>1098-2345</t>
  </si>
  <si>
    <t>AM J PRIMATOL</t>
  </si>
  <si>
    <t>Am. J. Primatol.</t>
  </si>
  <si>
    <t>10.1002/ajp.22243</t>
  </si>
  <si>
    <t>AG5WU</t>
  </si>
  <si>
    <t>WOS:000335490200001</t>
  </si>
  <si>
    <t>Moschet, C; Wittmer, I; Simovic, J; Junghans, M; Piazzoli, A; Singer, H; Stamm, C; Leu, C; Hollender, J</t>
  </si>
  <si>
    <t>Moschet, Christoph; Wittmer, Irene; Simovic, Jelena; Junghans, Marion; Piazzoli, Alessandro; Singer, Heinz; Stamm, Christian; Leu, Christian; Hollender, Juliane</t>
  </si>
  <si>
    <t>How a Complete Pesticide Screening Changes the Assessment of Surface Water Quality</t>
  </si>
  <si>
    <t>SOLID-PHASE EXTRACTION; MULTI-RESIDUE METHOD; LIQUID-CHROMATOGRAPHY; WASTE-WATER; MULTIRESIDUE ANALYSIS; AQUEOUS SAMPLES; RISK-ASSESSMENT; GROUNDWATER; FUNGICIDES; RIVER</t>
  </si>
  <si>
    <t>A comprehensive assessment of pesticides in surface waters is challenging due to the large number of potential contaminants. Most scientific studies and routine monitoring programs include only 15-40 pesticides, which leads to error-prone interpretations. In the present study, an extensive analytical screening was carried out using liquid chromatography-high-resolution mass spectrometry, covering 86% of all polar organic pesticides sold in Switzerland and applied to agricultural or urban land (in total 249 compounds), plus 134 transformation products; each of which could be quantified in the low ng/L range. Five medium-sized rivers, containing large areas of diverse crops and urban settlements within the respective catchments, were sampled between March and July 2012. More than 100 parent compounds and 40 transformation products were detected in total, between 30 and compounds in each two-week composite sample in concentrations up to 1500 ng/L. The sum of pesticide concentrations was above 1000 ng/L in 78% of samples. The chronic environmental quality standard was exceeded for 19 single substances; using a mixture toxicity approach, exceedances occurred over the whole measurement period in all rivers. With scenario calculations including only 30-40 frequently measured pesticides, the number of detected substances and the mixture toxicity would be underestimated on average by a factor of 2. Thus, selecting a subset of substances to assess the surface water quality may be sufficient, but a comprehensive screening yields substantially more confidence.</t>
  </si>
  <si>
    <t>[Moschet, Christoph; Wittmer, Irene; Simovic, Jelena; Piazzoli, Alessandro; Singer, Heinz; Stamm, Christian; Hollender, Juliane] Eawag, Swiss Fed Inst Aquat Sci &amp; Technol, CH-8600 Dubendorf, Switzerland; [Moschet, Christoph; Piazzoli, Alessandro; Hollender, Juliane] Swiss Fed Inst Technol, Inst Biogeochem &amp; Pollutant Dynam, CH-8092 Zurich, Switzerland; [Junghans, Marion] EPFL, Swiss Ctr Appl Ecotoxicol Eawag, CH-8600 Dubendorf, Switzerland; [Wittmer, Irene; Stamm, Christian] Fed Off Environm FOEN, CH-3000 Bern, Switzerland</t>
  </si>
  <si>
    <t>Swiss Federal Institutes of Technology Domain; Swiss Federal Institute of Aquatic Science &amp; Technology (EAWAG); Swiss Federal Institutes of Technology Domain; ETH Zurich; Swiss Federal Institutes of Technology Domain; Swiss Federal Institute of Aquatic Science &amp; Technology (EAWAG)</t>
  </si>
  <si>
    <t>Moschet, C (corresponding author), Eawag, Swiss Fed Inst Aquat Sci &amp; Technol, CH-8600 Dubendorf, Switzerland.</t>
  </si>
  <si>
    <t>christoph.moschet@eawag.ch; juliane.hollender@eawag.ch</t>
  </si>
  <si>
    <t>Stamm, Christian/ABF-9581-2021; Singer, Heinz/B-3316-2013; Hollender, Juliane/A-2145-2014</t>
  </si>
  <si>
    <t>Stamm, Christian/0000-0001-5888-6535; Singer, Heinz/0000-0002-8542-3699; Junghans, Marion/0000-0002-8118-9145; Hollender, Juliane/0000-0002-4660-274X</t>
  </si>
  <si>
    <t>Swiss Federal Office for the Environment (FOEN)</t>
  </si>
  <si>
    <t>This study was funded by the Swiss Federal Office for the Environment (FOEN). The sampling by the cantonal authorities of the Canton Thurgau, Aargau, Solothurn, Waadt, and Zurich is gratefully acknowledged. We thank Philipp Longree, Sebastian Huntscha, and Tobias Doppler (all Eawag) for the help in the laboratory and in planning the field study, and we thank Devon Wemyss and Jennifer Schollee (both Eawag) for improving the manuscript.</t>
  </si>
  <si>
    <t>MAY 20</t>
  </si>
  <si>
    <t>10.1021/es500371t</t>
  </si>
  <si>
    <t>AH8VB</t>
  </si>
  <si>
    <t>WOS:000336415200011</t>
  </si>
  <si>
    <t>Hautier, Y; Seabloom, EW; Borer, ET; Adler, PB; Harpole, WS; Hillebrand, H; Lind, EM; MacDougall, AS; Stevens, CJ; Bakker, JD; Buckley, YM; Chu, CJ; Collins, SL; Daleo, P; Damschen, EI; Davies, KF; Fay, PA; Firn, J; Gruner, DS; Jin, VL; Klein, JA; Knops, JMH; La Pierre, KJ; Li, W; McCulley, RL; Melbourne, BA; Moore, JL; O'Halloran, LR; Prober, SM; Risch, AC; Sankaran, M; Schuetz, M; Hector, A</t>
  </si>
  <si>
    <t>Hautier, Yann; Seabloom, Eric W.; Borer, Elizabeth T.; Adler, Peter B.; Harpole, W. Stanley; Hillebrand, Helmut; Lind, Eric M.; MacDougall, Andrew S.; Stevens, Carly J.; Bakker, Jonathan D.; Buckley, Yvonne M.; Chu, Chengjin; Collins, Scott L.; Daleo, Pedro; Damschen, Ellen I.; Davies, Kendi F.; Fay, Philip A.; Firn, Jennifer; Gruner, Daniel S.; Jin, Virginia L.; Klein, Julia A.; Knops, Johannes M. H.; La Pierre, Kimberly J.; Li, Wei; McCulley, Rebecca L.; Melbourne, Brett A.; Moore, Joslin L.; O'Halloran, Lydia R.; Prober, Suzanne M.; Risch, Anita C.; Sankaran, Mahesh; Schuetz, Martin; Hector, Andy</t>
  </si>
  <si>
    <t>Eutrophication weakens stabilizing effects of diversity in natural grasslands</t>
  </si>
  <si>
    <t>ECOSYSTEM STABILITY; PLANT DIVERSITY; BIODIVERSITY LOSS; PRODUCTIVITY; ECOLOGY; LOSSES; POPULATION; RESISTANCE; IMPACT</t>
  </si>
  <si>
    <t>Studies of experimental grassland communities(1-7) have demonstrated that plant diversity can stabilize productivity through species asynchrony, in which decreases in the biomass of some species are compensated for by increases in others(1,2). However, it remains unknown whether these findings are relevant to natural ecosystems, especially those for which species diversity is threatened by anthropogenic global change(8-11). Here we analyse diversity-stability relationships from 41 grasslands on five continents and examine how these relationships are affected by chronic fertilization, one of the strongest drivers of species loss globally(8). Unmanipulated communities with more species had greater species asynchrony, resulting in more stable biomass production, generalizing a result from biodiversity experiments to real-world grasslands. However, fertilization weakened the positive effect of diversity on stability. Contrary to expectations, this was not due to species loss after eutrophication but rather to an increase in the temporal variation of productivity in combination with a decrease in species asynchrony in diverse communities. Our results demonstrate separate and synergistic effects of diversity and eutrophication on stability, emphasizing the need to understand how drivers of global change interactively affect the reliable provisioning of ecosystem services in real-world systems.</t>
  </si>
  <si>
    <t>[Hautier, Yann; Seabloom, Eric W.; Borer, Elizabeth T.; Lind, Eric M.] Univ Minnesota, Dept Ecol Evolut &amp; Behav, St Paul, MN 55108 USA; [Hautier, Yann] Univ Zurich, Inst Evolutionary Biol &amp; Environm Studies, CH-8057 Zurich, Switzerland; [Adler, Peter B.] Utah State Univ, Dept Wildland Resources, Logan, UT 84322 USA; [Adler, Peter B.] Utah State Univ, Ctr Ecol, Logan, UT 84322 USA; [Harpole, W. Stanley] Iowa State Univ, Dept Ecol Evolut &amp; Organismal Biol, Ames, IA 50011 USA; [Hillebrand, Helmut] Carl von Ossietzky Univ Oldenburg, Inst Chem &amp; Biol Marine Environm, D-26111 Oldenburg, Germany; [MacDougall, Andrew S.] Univ Guelph, Dept Integrat Biol, Guelph, ON N1G 2W1, Canada; [Stevens, Carly J.] Univ Lancaster, Lancaster Environm Ctr, Lancaster LA1 4YQ, England; [Bakker, Jonathan D.] Univ Washington, Sch Environm &amp; Forest Sci, Seattle, WA 98195 USA; [Buckley, Yvonne M.] Univ Queensland, Sch Biol Sci, Australian Res Council Ctr Excellence Environm De, Brisbane, Qld 4072, Australia; [Buckley, Yvonne M.] Trinity Coll Dublin, Dept Zool, Sch Nat Sci, Dublin 2, Ireland; [Chu, Chengjin] Lanzhou Univ, Sch Life Sci, Res Stn Alpine Meadow &amp; Wetland Ecosyst, State Key Lab Grassland &amp; Agroecosyst, Lanzhou 730000, Peoples R China; [Collins, Scott L.] Univ New Mexico, Dept Biol, Albuquerque, NM 87131 USA; [Daleo, Pedro] UNMdP, CONICET, IIMyC, RA-7600 Mar Del Plata, Argentina; [Damschen, Ellen I.] Univ Wisconsin, Dept Zool, Madison, WI 53706 USA; [Damschen, Ellen I.] Univ Wisconsin, Dept Zool, Madison, WI 53706 USA; [Davies, Kendi F.; Melbourne, Brett A.] Univ Colorado, Dept Ecol &amp; Evolutionary Biol, Boulder, CO 80309 USA; [Fay, Philip A.] USDA ARS, Grassland Soil &amp; Water Res Lab, Temple, TX 76502 USA; [Firn, Jennifer] Queensland Univ Technol, Sch Biol Sci, Brisbane, Qld 4000, Australia; [Gruner, Daniel S.] Univ Maryland, Dept Entomol, College Pk, MD 20742 USA; [Jin, Virginia L.] USDA ARS, Agroecosyst Management Res Unit, Lincoln, NE 68583 USA; [Klein, Julia A.] Colorado State Univ, Dept Forest Rangeland &amp; Watershed Stewardship, Ft Collins, CO 80523 USA; [Knops, Johannes M. H.] Univ Nebraska, Sch Biol Sci, Lincoln, NE 68588 USA; [La Pierre, Kimberly J.] Univ Calif Berkeley, Berkeley Initiat Global Change Biol, Berkeley, CA 94720 USA; [Li, Wei] Southwest Forestry Univ, Yunnan Acad Biodivers, Kunming 650224, Peoples R China; [McCulley, Rebecca L.] Univ Kentucky, Dept Plant &amp; Soil Sci, Lexington, KY 40546 USA; [Moore, Joslin L.] Univ Melbourne, Sch Bot, Australian Res Ctr Urban Ecol, Melbourne, Vic 3010, Australia; [Moore, Joslin L.] Monash Univ, Sch Biol Sci, Clayton, Vic 3800, Australia; [O'Halloran, Lydia R.] Oregon State Univ, Dept Zool, Corvallis, OR 97331 USA; [Prober, Suzanne M.] CSIRO Ecosyst Sci, Wembley, WA 6913, Australia; [Risch, Anita C.; Schuetz, Martin] Swiss Fed Inst Forest Snow &amp; Landscape Res, CH-8903 Birmensdorf, Switzerland; [Sankaran, Mahesh] Univ Leeds, Sch Biol, Leeds LS2 9JT, W Yorkshire, England; [Sankaran, Mahesh] Natl Ctr Biol Sci, Bangalore 560065, Karnataka, India; [Hector, Andy] Univ Oxford, Dept Plant Sci, Oxford OX1 3RB, England</t>
  </si>
  <si>
    <t>University of Minnesota System; University of Minnesota Twin Cities; University of Zurich; Utah System of Higher Education; Utah State University; Utah System of Higher Education; Utah State University; Iowa State University; Carl von Ossietzky Universitat Oldenburg; University of Guelph; Lancaster University; University of Washington; University of Washington Seattle; University of Queensland; Trinity College Dublin; Lanzhou University; University of New Mexico; University of Wisconsin System; University of Wisconsin Madison; University of Wisconsin System; University of Wisconsin Madison; University of Colorado System; University of Colorado Boulder; United States Department of Agriculture (USDA); Queensland University of Technology (QUT); University System of Maryland; University of Maryland College Park; United States Department of Agriculture (USDA); Colorado State University System; Colorado State University Fort Collins; University of Nebraska System; University of Nebraska Lincoln; University of California System; University of California Berkeley; Southwest Forestry University - China; University of Kentucky; University of Melbourne; Monash University; Oregon State University; Commonwealth Scientific &amp; Industrial Research Organisation (CSIRO); Swiss Federal Institutes of Technology Domain; Swiss Federal Institute for Forest, Snow &amp; Landscape Research; University of Leeds; Tata Institute of Fundamental Research (TIFR); National Centre for Biological Sciences (NCBS); University of Oxford</t>
  </si>
  <si>
    <t>Hautier, Y (corresponding author), Univ Minnesota, Dept Ecol Evolut &amp; Behav, St Paul, MN 55108 USA.</t>
  </si>
  <si>
    <t>hauti001@umn.edu</t>
  </si>
  <si>
    <t>; Fay, Philip/I-1853-2012; Damschen, Ellen/E-4919-2011; Chu, Chu/T-6038-2019; Risch, Anita C/A-9836-2012; Prober, Suzanne/G-6465-2010; Harpole, William/C-2814-2013; Buckley, Yvonne/B-1281-2008; MacDougall, Andrew/F-2037-2011; Adler, Peter/D-3781-2009; Hautier, Yann/I-2526-2019; Bakker, Jonathan/I-6960-2013; Moore, Joslin/AAE-3819-2020; Collins, Scott/P-7742-2014; Hillebrand, Helmut/I-1717-2014; Harpole, W Stanley/C-2814-2013; Risch, Anita/A-9836-2012; Melbourne, Brett/KBQ-9784-2024; Knops, Johannes/AAA-8546-2020; Borer, Elizabeth/OUI-0649-2025; Gruner, Daniel/A-5166-2010; Seabloom, Eric/AFT-3729-2022; Hector, Andrew/H-4199-2011; Hautier, Yann/D-5426-2015</t>
  </si>
  <si>
    <t>Komatsu, Kimberly/0000-0001-7056-4547; Fay, Philip/0000-0002-8291-6316; Chu, Chengjin/0000-0002-0606-449X; Risch, Anita C/0000-0003-0531-8336; Firn, Jennifer/0000-0001-6026-8912; Prober, Suzanne/0000-0002-6518-239X; Buckley, Yvonne/0000-0001-7599-3201; Stevens, Carly/0000-0002-2390-1763; Daleo, Peo/0000-0001-9759-1203; Lind, Eric/0000-0003-3051-7724; Collins, Scott/0000-0002-0193-2892; Borer, Elizabeth/0000-0003-2259-5853; Hillebrand, Helmut/0000-0001-7449-1613; Harpole, W Stanley/0000-0002-3404-9174; Seabloom, Eric/0000-0001-6780-9259; Gruner, Daniel/0000-0002-3153-4297; Bakker, Jonathan/0000-0002-8973-2771; Melbourne, Brett/0000-0002-8843-4131; Hautier, Yann/0000-0003-4347-7741</t>
  </si>
  <si>
    <t>European Union [298935]; National Science Foundation Research Coordination Network [NSF-DEB-1042132]; Long Term Ecological Research (LTER) programme [NSF-DEB-1234162]; Institute on the Environment at the University of Minnesota [DG-0001-13]; Direct For Biological Sciences; Division Of Environmental Biology [1440484] Funding Source: National Science Foundation; Division Of Environmental Biology; Direct For Biological Sciences [0823380, 1232294, 0823341, 1042132] Funding Source: National Science Foundation; National Health and Medical Research Council (NHMRC) [298935] Funding Source: National Health and Medical Research Council (NHMRC)</t>
  </si>
  <si>
    <t>European Union(European Union (EU)); National Science Foundation Research Coordination Network(National Science Foundation (NSF)); Long Term Ecological Research (LTER) programme; Institute on the Environment at the University of Minnesota(University of Minnesota System);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 National Health and Medical Research Council (NHMRC)(National Health &amp; Medical Research Council (NHMRC) of Australia)</t>
  </si>
  <si>
    <t>The research leading to these results has received funding from the European Union Seventh Framework Programme (FP7/2007-2013) under grant agreement no. 298935 to Y.H. (with A. H. and E. W. S.). This work was generated using data from the Nutrient Network (http://www.nutnet.org) experiment, funded at the site-scale by individual researchers. Coordination and data management have been supported by funding to E. T. B. and E. W. S. from the National Science Foundation Research Coordination Network (NSF-DEB-1042132), the Long Term Ecological Research (LTER) programme (NSF-DEB-1234162 to Cedar Creek as well as other LTER sites), and the Institute on the Environment at the University of Minnesota (DG-0001-13). We also thank the Minnesota Supercomputer Institute for hosting project data, and the Institute on the Environment for hosting Network meetings. We thank R. S. L. Veiga, F. Isbell, R. K. Didham, H. McGinness and M. O'Brien for suggestions that improved the manuscript.</t>
  </si>
  <si>
    <t>APR 24</t>
  </si>
  <si>
    <t>10.1038/nature13014</t>
  </si>
  <si>
    <t>AF5GI</t>
  </si>
  <si>
    <t>WOS:000334741600036</t>
  </si>
  <si>
    <t>Coates, DA; Deschutter, Y; Vincx, M; Vanaverbeke, J</t>
  </si>
  <si>
    <t>Coates, Delphine A.; Deschutter, Yana; Vincx, Magda; Vanaverbeke, Jan</t>
  </si>
  <si>
    <t>Enrichment and shifts in macrobenthic assemblages in an offshore wind farm area in the Belgian part of the North Sea</t>
  </si>
  <si>
    <t>Benthic ecology; Community composition; Permeable sediments; Environmental impact; Small scale; Wind power; North Sea</t>
  </si>
  <si>
    <t>LANICE-CONCHILEGA; ECOLOGICAL IMPLICATIONS; PHYTOPLANKTON BLOOM; MARINE-SEDIMENTS; BENTHIC HABITATS; ASTERIAS-RUBENS; BOTTOM; COMMUNITIES; MACROFAUNA; DYNAMICS</t>
  </si>
  <si>
    <t>The growing development of offshore wind energy installations across the North Sea is producing new hard anthropogenic structures in the natural soft sediments, causing changes to the surrounding macrobenthos. The extent of modification in permeable sediments around a gravity based wind turbine in the Belgian part of the North Sea was investigated in the period 2011 - 2012, along four gradients (south-west, north-east, south-east, north-west). Sediment grain size significantly reduced from 427 mu m at 200 m to 312 +/- 3 mu m at 15 m from the foundation along the south-west and north-west gradients. The organic matter content increased from 0.4 +/- 0.01% at 100 m to 2.5 +/- 0.9% at 15 m from the foundation. The observed changes in environmental characteristics triggered an increase in the macrobenthic density from 1390 +/- 129 ind m(-2) at 200 m to 18 583 +/- 6713 ind m(-2) at 15 m together with an enhanced diversity from 10 +/- 2 at 200 m to 30 +/- 5 species per sample at 15 m. Shifts in species dominance were also detected with a greater dominance of the ecosystem-engineer Lan ice conchilega (16-25%) close to the foundation. This study suggests a viable prediction of the effects offshore wind farms could create to the naturally occurring macrobenthos on a large-scale. (C) 2013 Elsevier Ltd. All rights reserved.</t>
  </si>
  <si>
    <t>[Coates, Delphine A.; Deschutter, Yana; Vincx, Magda; Vanaverbeke, Jan] Univ Ghent, Dept Biol, Marine Biol Res Grp, B-9000 Ghent, Belgium</t>
  </si>
  <si>
    <t>Ghent University</t>
  </si>
  <si>
    <t>Vanaverbeke, J (corresponding author), Univ Ghent, Dept Biol, Marine Biol Res Grp, Krijgslaan 281-S8, B-9000 Ghent, Belgium.</t>
  </si>
  <si>
    <t>Jan.vanaverbeke@ugent.be</t>
  </si>
  <si>
    <t>Vanaverbeke, jan/A-1118-2012</t>
  </si>
  <si>
    <t>Special Research Fund of Ghent University [BOE-GOA 01GA1911W]</t>
  </si>
  <si>
    <t>Special Research Fund of Ghent University(Ghent University)</t>
  </si>
  <si>
    <t>This paper contributes to the Belgian offshore wind farm monitoring programme, with the financial support of C-Power N.V. and Belwind N.V. Authors would like to thank the Royal Belgian Institute of Natural Sciences, Operational Directorate Natural Environment, Marine Ecology and Management Section for their technical support. Additional funding was provided by the Special Research Fund of Ghent University (BOE-GOA 01GA1911W). This paper contributes to FWO project nr. G.0033.11. This research was further facilitated by the Flanders Marine Institute (VLIZ) and the crews of the RV Belgica and RV Simon Stevin. We would like to thank the ship crews of the Geosurveyor III and IV (Geo.xyz bvba) for their on-board assistance together with numerous colleagues and students for their support in the field and the laboratory. We also thank the anonymous reviewers for their valuable comments on earlier versions of this manuscript.</t>
  </si>
  <si>
    <t>10.1016/j.marenvres.2013.12.008</t>
  </si>
  <si>
    <t>AB8RC</t>
  </si>
  <si>
    <t>WOS:000332056700001</t>
  </si>
  <si>
    <t>Dai, ZH; Birdsey, RA; Johnson, KD; Dupuy, JM; Hernandez-Stefanoni, JL; Richardson, K</t>
  </si>
  <si>
    <t>Dai, Zhaohua; Birdsey, Richard A.; Johnson, Kristofer D.; Manuel Dupuy, Juan; Luis Hernandez-Stefanoni, Jose; Richardson, Karen</t>
  </si>
  <si>
    <t>Modeling Carbon Stocks in a Secondary Tropical Dry Forest in the Yucatan Peninsula, Mexico</t>
  </si>
  <si>
    <t>Biomass; Forest-DNDC; Greenhouse gas; Disturbance; Tropical dry forest</t>
  </si>
  <si>
    <t>PROCESS-ORIENTED MODEL; SEMI-DECIDUOUS FOREST; METHANE UPTAKE; NO EMISSIONS; CLIMATE; SOILS; DYNAMICS; BIOMASS; N2O; SEQUESTRATION</t>
  </si>
  <si>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</si>
  <si>
    <t>[Dai, Zhaohua; Birdsey, Richard A.; Johnson, Kristofer D.] US Forest Serv, USDA, Newtown Sq, PA 19073 USA; [Dai, Zhaohua; Richardson, Karen] Commiss Environm Cooperat North Amer, Montreal, PQ H2Y 1N9, Canada; [Manuel Dupuy, Juan; Luis Hernandez-Stefanoni, Jose] Ctr Invest Cient Yucatan AC, Unidad Recursos Nat, Merida 97200, Yucatan, Mexico</t>
  </si>
  <si>
    <t>United States Department of Agriculture (USDA); United States Forest Service; Centro de Investigacion Cientifica de Yucatan</t>
  </si>
  <si>
    <t>Dai, ZH (corresponding author), US Forest Serv, USDA, 11 Campus Blvd,Suite 200, Newtown Sq, PA 19073 USA.</t>
  </si>
  <si>
    <t>zdai@fs.fed.us</t>
  </si>
  <si>
    <t>; Hernandez-Stefanoni, J/B-3958-2008</t>
  </si>
  <si>
    <t>Hernandez-Stefanoni, Jose Luis/0000-0002-9559-7131;</t>
  </si>
  <si>
    <t>North American Commission for Environmental Cooperation; US Agency for International Development</t>
  </si>
  <si>
    <t>North American Commission for Environmental Cooperation; US Agency for International Development(United States Agency for International Development (USAID))</t>
  </si>
  <si>
    <t>This project was supported by the North American Commission for Environmental Cooperation and the US Agency for International Development. This research was conducted with data from the Mexican network of Intensive Carbon Monitoring Sites (MEX-SMIC). The network is an affiliation of Academic Institutions, Government and NGO investigators with various funding sources. The network currently includes five forested sites located in strategic landscapes for MRV-REDD + activities. Ecosystem C has been estimated using similar protocols since 2012 at various spatial and temporal scales with a variety of methods (e.g., inventory plots, remote sensing, eddy covariance, and ecosystem carbon models). More details can be found at: http://www.mrv.mx/mexsmic. We thank Dr. Jeff Masek of NASA for providing the disturbance map.</t>
  </si>
  <si>
    <t>SPRINGER INT PUBL AG</t>
  </si>
  <si>
    <t>10.1007/s11270-014-1925-x</t>
  </si>
  <si>
    <t>AF2YL</t>
  </si>
  <si>
    <t>WOS:000334578300016</t>
  </si>
  <si>
    <t>Effiom, EO; Birkhofer, K; Smith, HG; Olsson, O</t>
  </si>
  <si>
    <t>Effiom, Edu O.; Birkhofer, Klaus; Smith, Henrik G.; Olsson, Ola</t>
  </si>
  <si>
    <t>Changes of community composition at multiple trophic levels due to hunting in Nigerian tropical forests</t>
  </si>
  <si>
    <t>ECOGRAPHY</t>
  </si>
  <si>
    <t>SEED DISPERSAL; RECRUITMENT; DIVERSITY; BUSHMEAT; EXTINCTION; HABITAT; GORILLA; PLANTS; TREES</t>
  </si>
  <si>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</si>
  <si>
    <t>[Effiom, Edu O.; Birkhofer, Klaus; Smith, Henrik G.; Olsson, Ola] Lund Univ, Biodivers Unit, Dept Biol, SE-22362 Lund, Sweden; [Effiom, Edu O.] Forestry Commiss, Forest Carbon Unit, Calabar, Cross River Sta, Nigeria</t>
  </si>
  <si>
    <t>Lund University</t>
  </si>
  <si>
    <t>Effiom, EO (corresponding author), Lund Univ, Biodivers Unit, Dept Biol, Ecol Bldg, SE-22362 Lund, Sweden.</t>
  </si>
  <si>
    <t>ola.olsson@biol.lu.se</t>
  </si>
  <si>
    <t>; Birkhofer, Klaus/AAA-2374-2021</t>
  </si>
  <si>
    <t>Smith, Henrik/0000-0002-2289-889X; Birkhofer, Klaus/0000-0002-9301-2443; Olsson, Ola/0000-0003-0789-1064;</t>
  </si>
  <si>
    <t>Sida [SWE-2011-030]; Kungliga Fysiografiska Sallskapet; Formas</t>
  </si>
  <si>
    <t>Sida; Kungliga Fysiografiska Sallskapet; Formas(Swedish Research Council Formas)</t>
  </si>
  <si>
    <t>The authors wish to thank the Cross River State Forestry Commission, and Cross River National Park (CRNP) for permitting us to conduct research within the AMWS, MMCWS and the CRNP. Wildlife Conservation Society, the Nigerian office for logistic support, the Dept of Forestry and Wildlife, Univ. of Calabar for releasing Dan Otu to share and provide botanical information in the field and office. We also thank Ulf Ottosson, Chris Agbor and Erkki Palmu for useful comments and insights, and Jacob Odu and other field workers for their hard work. Joanna Lambert, Jose Fedriani, and Thorsten Wiegand provided valuable comments to an earlier version of the paper. This study was supported by grant SWE-2011-030 from Sida to OO, grants from Kungliga Fysiografiska Sallskapet to EOE, and by grants from Formas to OO and HGS. This is contribution no 71 from A. P. Leventis Ornithological Research Inst.</t>
  </si>
  <si>
    <t>0906-7590</t>
  </si>
  <si>
    <t>1600-0587</t>
  </si>
  <si>
    <t>Ecography</t>
  </si>
  <si>
    <t>10.1111/j.1600-0587.2013.00359.x</t>
  </si>
  <si>
    <t>AD9TW</t>
  </si>
  <si>
    <t>WOS:000333608400007</t>
  </si>
  <si>
    <t>Haddeland, I; Heinke, J; Biemans, H; Eisner, S; Flörke, M; Hanasaki, N; Konzmann, M; Ludwig, F; Masaki, Y; Schewe, J; Stacke, T; Tessler, ZD; Wada, Y; Wisser, D</t>
  </si>
  <si>
    <t>Haddeland, Ingjerd; Heinke, Jens; Biemans, Hester; Eisner, Stephanie; Floerke, Martina; Hanasaki, Naota; Konzmann, Markus; Ludwig, Fulco; Masaki, Yoshimitsu; Schewe, Jacob; Stacke, Tobias; Tessler, Zachary D.; Wada, Yoshihide; Wisser, Dominik</t>
  </si>
  <si>
    <t>Global water resources affected by human interventions and climate change</t>
  </si>
  <si>
    <t>ISI-MIP; WaterMIP</t>
  </si>
  <si>
    <t>INTEGRATED MODEL; BIAS CORRECTION; SURFACE-WATER; AVAILABILITY; IMPACT</t>
  </si>
  <si>
    <t>Humans directly change the dynamics of the water cycle through dams constructed for water storage, and through water withdrawals for industrial, agricultural, or domestic purposes. Climate change is expected to additionally affect water supply and demand. Here, analyses of climate change and direct human impacts on the terrestrial water cycle are presented and compared using a multimodel approach. Seven global hydrological models have been forced with multiple climate projections, and with and without taking into account impacts of human interventions such as dams and water withdrawals on the hydrological cycle. Model results are analyzed for different levels of global warming, allowing for analyses in line with temperature targets for climate change mitigation. The results indicate that direct human impacts on the water cycle in some regions, e. g., parts of Asia and in the western United States, are of the same order of magnitude, or even exceed impacts to be expected for moderate levels of global warming (+2 K). Despite some spread in model projections, irrigation water consumption is generally projected to increase with higher global mean temperatures. Irrigation water scarcity is particularly large in parts of southern and eastern Asia, and is expected to become even larger in the future.</t>
  </si>
  <si>
    <t>[Haddeland, Ingjerd] Norwegian Water Resources &amp; Energy Directorate, Dept Hydrol, NO-0301 Oslo, Norway; [Heinke, Jens; Konzmann, Markus; Schewe, Jacob] Potsdam Inst Climate Res, D-14473 Potsdam, Germany; [Heinke, Jens] Int Livestock Res Inst, Nairobi 00100, Kenya; [Biemans, Hester; Ludwig, Fulco] Univ Wageningen &amp; Res Ctr, Earth Syst Sci &amp; Climate Change Grp, NL-6700 AA Wageningen, Netherlands; [Eisner, Stephanie; Floerke, Martina] Univ Kassel, Ctr Environm Syst Res, D-34109 Kassel, Germany; [Hanasaki, Naota; Masaki, Yoshimitsu] Natl Inst Environm Studies, Ctr Global Environm Res, Tsukuba, Ibaraki 3058506, Japan; [Stacke, Tobias] Max Planck Inst Meteorol, D-20146 Hamburg, Germany; [Tessler, Zachary D.] CUNY City Coll, Dept Civil Engn, New York, NY 10031 USA; [Wada, Yoshihide; Wisser, Dominik] Univ Utrecht, Dept Phys Geog, NL-3584 CD Utrecht, Netherlands; [Wisser, Dominik] Univ Bonn, Ctr Dev Res, D-53113 Bonn, Germany</t>
  </si>
  <si>
    <t>Norwegian Water Resources &amp; Energy Directorate; Potsdam Institut fur Klimafolgenforschung; CGIAR; International Livestock Research Institute (ILRI); Wageningen University &amp; Research; Universitat Kassel; National Institute for Environmental Studies - Japan; Max Planck Society; City University of New York (CUNY) System; City College of New York (CUNY); Utrecht University; University of Bonn</t>
  </si>
  <si>
    <t>Haddeland, I (corresponding author), Norwegian Water Resources &amp; Energy Directorate, Dept Hydrol, NO-0301 Oslo, Norway.</t>
  </si>
  <si>
    <t>ingjerd.haddeland@nve.no</t>
  </si>
  <si>
    <t>Schewe, Jacob/V-1273-2017; Floerke, Martina/ABE-6288-2020; Hanasaki, Naota/C-2932-2009; Wada, Yoshihide/F-3595-2012; haddeland, ingjerd/AAI-3536-2020; Ludwig, Fulco/N-7732-2013</t>
  </si>
  <si>
    <t>Stacke, Tobias/0000-0003-4637-5337; LUDWIG, FULCO/0000-0001-6479-9657; Wada, Yoshihide/0000-0003-4770-2539; Floerke, Martina/0000-0003-2943-5289; Eisner, Stephanie/0000-0002-0157-1636</t>
  </si>
  <si>
    <t>EU WATCH Integrated Project [036946]; German Federal Ministry of Education and Research (Bundesministerium fur Bildung und Forschung) [OlLS1201A]; Ministry of the Environment, Japan [S-10]</t>
  </si>
  <si>
    <t>EU WATCH Integrated Project; German Federal Ministry of Education and Research (Bundesministerium fur Bildung und Forschung)(Federal Ministry of Education &amp; Research (BMBF)); Ministry of the Environment, Japan(Ministry of the Environment, Japan)</t>
  </si>
  <si>
    <t>We acknowledge the World Climate Research Programme's Working Group on Coupled Modeling, which is responsible for CMIP, and we thank the climate modeling groups (Table 2) for making available their model output. We appreciate the reviewers' constructive and valuable comments. This study was conducted in the framework of the ISI-MIP project and the EU WATCH Integrated Project (Contract 036946), in collaboration with the Global Water System Project. The ISI-MIP Fast Track project was funded by the German Federal Ministry of Education and Research (Bundesministerium fur Bildung und Forschung) with project funding reference number OlLS1201A. Y.M. and N.H. were supported by the Environment Research and Technology Development Fund (S-10) of the Ministry of the Environment, Japan.</t>
  </si>
  <si>
    <t>MAR 4</t>
  </si>
  <si>
    <t>10.1073/pnas.1222475110</t>
  </si>
  <si>
    <t>AC5KR</t>
  </si>
  <si>
    <t>WOS:000332560300026</t>
  </si>
  <si>
    <t>Wu, SH; Zhou, SL; Chen, DX; Wei, ZQ; Dai, L; Li, XG</t>
  </si>
  <si>
    <t>Wu, Shaohua; Zhou, Shenglu; Chen, Dongxiang; Wei, Zongqiang; Dai, Liang; Li, Xingong</t>
  </si>
  <si>
    <t>Determining the contributions of urbanisation and climate change to NPP variations over the last decade in the Yangtze River Delta, China</t>
  </si>
  <si>
    <t>NPP; Urbanisation; Climate change; Relative contributions; Yangtze River Delta</t>
  </si>
  <si>
    <t>NET PRIMARY PRODUCTIVITY; NDVI TIME-SERIES; NIGHTTIME LIGHT DATA; USE EFFICIENCY; RELATIVE ROLE; VEGETATION; IMPACT; DYNAMICS; DESERTIFICATION; REGION</t>
  </si>
  <si>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</si>
  <si>
    <t>[Wu, Shaohua; Zhou, Shenglu; Wei, Zongqiang; Dai, Liang] Nanjing Univ, Sch Geog &amp; Oceanog Sci, Nanjing 210023, Jiangsu, Peoples R China; [Chen, Dongxiang] Nanjing Univ, Sch Jinling, Nanjing 210089, Jiangsu, Peoples R China; [Li, Xingong] Univ Kansas, Dept Geog, Lawrence, KS 66045 USA</t>
  </si>
  <si>
    <t>Nanjing University; Nanjing University; University of Kansas</t>
  </si>
  <si>
    <t>Wu, SH (corresponding author), Nanjing Univ, Sch Geog &amp; Oceanog Sci, 163 Xianlin Rd, Nanjing 210023, Jiangsu, Peoples R China.</t>
  </si>
  <si>
    <t>wsh@nju.edu.cn</t>
  </si>
  <si>
    <t>; Wu, Shaohua/B-8259-2009; Chen, Dongxiang/F-4462-2018</t>
  </si>
  <si>
    <t>Wei, Zongqiang/0000-0002-7680-4617; Wu, shaohua/0000-0002-8202-836X;</t>
  </si>
  <si>
    <t>National Natural Science Foundation of China [41001047]</t>
  </si>
  <si>
    <t>National Natural Science Foundation of China(National Natural Science Foundation of China (NSFC))</t>
  </si>
  <si>
    <t>This work was supported by the National Natural Science Foundation of China (41001047).</t>
  </si>
  <si>
    <t>10.1016/j.scitotenv.2013.10.128</t>
  </si>
  <si>
    <t>AB6RB</t>
  </si>
  <si>
    <t>WOS:000331916100047</t>
  </si>
  <si>
    <t>Blamey, LK; Plagányi, ÉE; Branch, GM</t>
  </si>
  <si>
    <t>Blamey, Laura K.; Plaganyi, Eva E.; Branch, George M.</t>
  </si>
  <si>
    <t>Was overfishing of predatory fish responsible for a lobster-induced regime shift in the Benguela?</t>
  </si>
  <si>
    <t>ECOLOGICAL MODELLING</t>
  </si>
  <si>
    <t>Abalone; Ecosystem model; Predator; Regime shift; Rock lobster; Urchin</t>
  </si>
  <si>
    <t>TOP-DOWN CONTROL; KELP FOREST ECOSYSTEMS; ABALONE HALIOTIS-MIDAE; ROCK LOBSTERS; SOUTH-AFRICA; SEA-URCHINS; REEF-FISH; PARECHINUS-ANGULOSUS; COMMUNITY STRUCTURE; JUVENILE ABALONE</t>
  </si>
  <si>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</si>
  <si>
    <t>[Blamey, Laura K.; Branch, George M.] Univ Cape Town, Marine Res MA RE Inst, ZA-7701 Rondebosch, South Africa; [Blamey, Laura K.; Branch, George M.] Univ Cape Town, Dept Biol Sci, ZA-7701 Rondebosch, South Africa; [Plaganyi, Eva E.] Univ Cape Town, Dept Math &amp; Appl Math, ZA-7701 Rondebosch, South Africa</t>
  </si>
  <si>
    <t>University of Cape Town; University of Cape Town; University of Cape Town</t>
  </si>
  <si>
    <t>Blamey, LK (corresponding author), Univ Cape Town, Marine Res MA RE Inst, Private Bag X3, ZA-7701 Rondebosch, South Africa.</t>
  </si>
  <si>
    <t>laura.k.blamey@gmail.com; eva.plaganyi-lloyd@csiro.au; mbranch@mweb.co.za</t>
  </si>
  <si>
    <t>Blamey, Laura/X-1093-2019; Plaganyi, Eva/C-5130-2011</t>
  </si>
  <si>
    <t>Blamey, Laura/0000-0003-3713-091X; Plaganyi, Eva/0000-0002-4740-4200</t>
  </si>
  <si>
    <t>University of Cape Town; National Research Foundation; Andrew Mellon Foundation</t>
  </si>
  <si>
    <t>We gratefully acknowledge financial support from the University of Cape Town, the National Research Foundation and the Andrew Mellon Foundation. We thank the Department of Agriculture, Forestry and Fisheries, and in particular A. Cockcroft, D. van Zyl, A. Mackenzie, R. Tarr and S. Kerwath, for making available data on lobster, abalone and linefish abundances that were used in our study. Thanks to A. Smith, M. Savina-Rolland, J. Estes and an anonymous reviewer for their helpful comments on the manuscript.</t>
  </si>
  <si>
    <t>0304-3800</t>
  </si>
  <si>
    <t>1872-7026</t>
  </si>
  <si>
    <t>ECOL MODEL</t>
  </si>
  <si>
    <t>Ecol. Model.</t>
  </si>
  <si>
    <t>FEB 10</t>
  </si>
  <si>
    <t>10.1016/j.ecolmodel.2013.11.004</t>
  </si>
  <si>
    <t>AB3EJ</t>
  </si>
  <si>
    <t>WOS:000331673800014</t>
  </si>
  <si>
    <t>Qin, Y; Yi, S; Ren, S; Li, N; Chen, J</t>
  </si>
  <si>
    <t>Qin, Y.; Yi, S.; Ren, S.; Li, N.; Chen, J.</t>
  </si>
  <si>
    <t>Responses of typical grasslands in a semi-arid basin on the Qinghai-Tibetan Plateau to climate change and disturbances</t>
  </si>
  <si>
    <t>ENVIRONMENTAL EARTH SCIENCES</t>
  </si>
  <si>
    <t>Qinghai-Tibetan Plateau; Typical alpine grassland; Carbon budgets; Climate change; Anthropogenic disturbances</t>
  </si>
  <si>
    <t>LEAF-AREA INDEX; ALPINE MEADOW; PRIMARY PRODUCTIVITY; CO2 EXCHANGE; CARBON POOL; SOIL CARBON; VEGETATION; ECOSYSTEM; NITROGEN; RESPIRATION</t>
  </si>
  <si>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</si>
  <si>
    <t>[Qin, Y.; Yi, S.; Ren, S.; Li, N.; Chen, J.] Chinese Acad Sci, Cold &amp; Arid Reg Environm &amp; Engn Res Inst, State Key Lab Cryospher Sci, Lanzhou 730000, Peoples R China</t>
  </si>
  <si>
    <t>Chinese Academy of Sciences; Cold &amp; Arid Regions Environmental &amp; Engineering Research Institute, CAS</t>
  </si>
  <si>
    <t>Yi, S (corresponding author), Chinese Acad Sci, Cold &amp; Arid Reg Environm &amp; Engn Res Inst, State Key Lab Cryospher Sci, 320 Donggang West Rd, Lanzhou 730000, Peoples R China.</t>
  </si>
  <si>
    <t>yis@lzb.ac.cn</t>
  </si>
  <si>
    <t>Chen, Jianjun/0000-0001-9464-3442</t>
  </si>
  <si>
    <t>Major State Basic Research Development Programme of China (973 Programme) [2010CB951402]; Strategic Priority Research Program [XDB030303]; Chinese Academy of Sciences [0927581001]; Chinese National Natural Science Foundation Commission [41271089]; State Key Laboratory of Cryospheric Sciences [SKLCS-ZZ-2012-2-2]</t>
  </si>
  <si>
    <t>Major State Basic Research Development Programme of China (973 Programme)(National Basic Research Program of China); Strategic Priority Research Program(Chinese Academy of Sciences); Chinese Academy of Sciences(Chinese Academy of Sciences); Chinese National Natural Science Foundation Commission(National Natural Science Foundation of China (NSFC)); State Key Laboratory of Cryospheric Sciences</t>
  </si>
  <si>
    <t>The authors acknowledge all of the technicians for their help with the fieldwork and the critical comments and constructive suggestions from Dr. Eugenie Euskirchen of University of Alaska Fairbanks and Dr. Matthias Peichl of Swedish University of Agricultural Sciences. This study was jointly supported by grants from the Major State Basic Research Development Programme of China (973 Programme) (No 2010CB951402), the Strategic Priority Research Program (XDB030303), the One Hundred People Plan (0927581001) of the Chinese Academy of Sciences and the Chinese National Natural Science Foundation Commission (41271089), and by independent grants from State Key Laboratory of Cryospheric Sciences (SKLCS-ZZ-2012-2-2).</t>
  </si>
  <si>
    <t>233 SPRING ST, NEW YORK, NY 10013 USA</t>
  </si>
  <si>
    <t>1866-6280</t>
  </si>
  <si>
    <t>1866-6299</t>
  </si>
  <si>
    <t>ENVIRON EARTH SCI</t>
  </si>
  <si>
    <t>Environ. Earth Sci.</t>
  </si>
  <si>
    <t>10.1007/s12665-013-2547-0</t>
  </si>
  <si>
    <t>Environmental Sciences; Geosciences, Multidisciplinary; Water Resources</t>
  </si>
  <si>
    <t>Environmental Sciences &amp; Ecology; Geology; Water Resources</t>
  </si>
  <si>
    <t>295NZ</t>
  </si>
  <si>
    <t>WOS:000330124100038</t>
  </si>
  <si>
    <t>Sturtevant, BR; Miranda, BR; Wolter, PT; James, PMA; Fortin, MJ; Townsend, PA</t>
  </si>
  <si>
    <t>Sturtevant, Brian R.; Miranda, Brian R.; Wolter, Peter T.; James, Patrick M. A.; Fortin, Marie-Josee; Townsend, Philip A.</t>
  </si>
  <si>
    <t>Forest recovery patterns in response to divergent disturbance regimes in the Border Lakes region of Minnesota (USA) and Ontario (Canada)</t>
  </si>
  <si>
    <t>Forest harvest patterns; Natural disturbance patterns; Landscape disturbance legacy; Disturbance regime; Forest recovery; Boreal forest</t>
  </si>
  <si>
    <t>BOREAL FOREST; SPRUCE BUDWORM; LANDSCAPE PATTERNS; WESTERN OREGON; COVER CHANGE; LAND-COVER; DYNAMICS; VEGETATION; LEGACIES; STAND</t>
  </si>
  <si>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</si>
  <si>
    <t>[Sturtevant, Brian R.; Miranda, Brian R.] US Forest Serv, Inst Appl Ecosyst Studies, No Res Stn, Rhinelander, WI 54501 USA; [Wolter, Peter T.] Iowa State Univ, Dept Nat Resource Ecol &amp; Management, Ames, IA 50011 USA; [James, Patrick M. A.] Univ Montreal, Dept Sci Biol, Montreal, PQ H2V 2S9, Canada; [Fortin, Marie-Josee] Univ Toronto, Dept Ecol &amp; Evolutionary Biol, Toronto, ON M5S 3B2, Canada; [Townsend, Philip A.] Univ Wisconsin, Dept Forest &amp; Wildlife Ecol, Madison, WI 53706 USA</t>
  </si>
  <si>
    <t>United States Department of Agriculture (USDA); United States Forest Service; Iowa State University; Universite de Montreal; University of Toronto; University of Wisconsin System; University of Wisconsin Madison</t>
  </si>
  <si>
    <t>Sturtevant, BR (corresponding author), US Forest Serv, Inst Appl Ecosyst Studies, No Res Stn, 5985 Hwy K Rhinelander, Rhinelander, WI 54501 USA.</t>
  </si>
  <si>
    <t>bsturtevant@fs.fed.us</t>
  </si>
  <si>
    <t>; Townsend, Philip/B-5741-2008; Sturtevant, Brian/KHV-0383-2024</t>
  </si>
  <si>
    <t>Miranda, Brian/0000-0002-3506-8297; Townsend, Philip/0000-0001-7003-8774;</t>
  </si>
  <si>
    <t>USDA Cooperative State Research, Education and Extension Service (CSREES) [2005-35101-16342]; US National Fire Plan</t>
  </si>
  <si>
    <t>USDA Cooperative State Research, Education and Extension Service (CSREES)(United States Department of Agriculture (USDA)National Institute of Food &amp; Agriculture); US National Fire Plan</t>
  </si>
  <si>
    <t>This research was supported by the USDA Cooperative State Research, Education and Extension Service (CSREES) Managed Ecosystems program (2005-35101-16342) and the US National Fire Plan. We wish to thank Sue Lietz for technical support. John Stanovick provided valuable guidance on our statistical methods. We also thank Doug Shinneman, Brian Palik, and two anonymous reviewers for helpful comments on the manuscript.</t>
  </si>
  <si>
    <t>10.1016/j.foreco.2013.10.039</t>
  </si>
  <si>
    <t>AB3BF</t>
  </si>
  <si>
    <t>WOS:000331665600023</t>
  </si>
  <si>
    <t>Zhou, W; Gang, CC; Zhou, L; Chen, YZ; Li, JL; Ju, WM; Odeh, I</t>
  </si>
  <si>
    <t>Zhou, Wei; Gang, Chengcheng; Zhou, Liang; Chen, Yizhao; Li, Jianlong; Ju, Weimin; Odeh, Inakwu</t>
  </si>
  <si>
    <t>Dynamic of grassland vegetation degradation and its quantitative assessment in the northwest China</t>
  </si>
  <si>
    <t>ACTA OECOLOGICA-INTERNATIONAL JOURNAL OF ECOLOGY</t>
  </si>
  <si>
    <t>Grassland degradation; Climate change; Human intervention; Grassland restoration; Tibetan plateau</t>
  </si>
  <si>
    <t>LAND DEGRADATION; HUMAN APPROPRIATION; TIBETAN PLATEAU; CLIMATE-CHANGE; RELATIVE ROLE; DESERTIFICATION; MANAGEMENT; TRENDS; CARBON; PRECIPITATION</t>
  </si>
  <si>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</si>
  <si>
    <t>[Zhou, Wei; Gang, Chengcheng; Chen, Yizhao; Li, Jianlong] Nanjing Univ, Sch Life Sci, Nanjing 210093, Jiangsu, Peoples R China; [Zhou, Liang] Nanjing Univ, Sch Geog &amp; Oceanog Sci, Nanjing 270093, Jiangsu, Peoples R China; [Ju, Weimin] Nanjing Univ, Int Inst Earth Syst Sci, Nanjing 210093, Jiangsu, Peoples R China; [Odeh, Inakwu] Univ Sydney, Fac Agr &amp; Environm, Dept Environm Sci, Sydney, NSW 2006, Australia</t>
  </si>
  <si>
    <t>Nanjing University; Nanjing University; Nanjing University; University of Sydney</t>
  </si>
  <si>
    <t>Gang, Chengcheng/Z-4286-2019; Zhou, Liang/D-9403-2016</t>
  </si>
  <si>
    <t>Zhou, Liang/0000-0003-3968-1897; Gang, Chengcheng/0000-0002-2804-5636;</t>
  </si>
  <si>
    <t>National Basic Research Program of China [2010CB950702]; Asia-Pacific Network [ARCP-2013-16NMY-Li]; National Natural Science Foundation of China [41271361]; Public Sector Linkages Program by Australian Agency for International Development [64828]; ICER; Directorate For Geosciences [1348085] Funding Source: National Science Foundation</t>
  </si>
  <si>
    <t>National Basic Research Program of China(National Basic Research Program of China); Asia-Pacific Network; National Natural Science Foundation of China(National Natural Science Foundation of China (NSFC)); Public Sector Linkages Program by Australian Agency for International Development; ICER; Directorate For Geosciences(National Science Foundation (NSF)NSF - Directorate for Geosciences (GEO))</t>
  </si>
  <si>
    <t>We are grateful to the chief editor and anonymous reviewers for illuminating comments. This work was supported by National Basic Research Program of China (2010CB950702), the Asia-Pacific Network (ARCP-2013-16NMY-Li), and National Natural Science Foundation of China (41271361), the Public Sector Linkages Program supported by Australian Agency for International Development (64828). We also thank the China Meteorological Data Sharing Service System for granting us access to climate datasets.</t>
  </si>
  <si>
    <t>1146-609X</t>
  </si>
  <si>
    <t>1873-6238</t>
  </si>
  <si>
    <t>ACTA OECOL</t>
  </si>
  <si>
    <t>Acta Oecol.-Int. J. Ecol.</t>
  </si>
  <si>
    <t>10.1016/j.actao.2013.12.006</t>
  </si>
  <si>
    <t>AB4PT</t>
  </si>
  <si>
    <t>WOS:000331773100012</t>
  </si>
  <si>
    <t>Rickson, RJ</t>
  </si>
  <si>
    <t>Rickson, R. J.</t>
  </si>
  <si>
    <t>Can control of soil erosion mitigate water pollution by sediments?</t>
  </si>
  <si>
    <t>Soil erosion; Sediment; Sediment borne pollutants; Erosion control effectiveness; Risk reduction policy</t>
  </si>
  <si>
    <t>LOWLAND AGRICULTURAL CATCHMENTS; FLUVIAL SUSPENDED SEDIMENT; TERM MANAGEMENT IMPACTS; DIFFUSE POLLUTION; ORGANIC-MATTER; SURFACE RUNOFF; SOUTH DOWNS; CULTIVATION PRACTICE; PHYSICAL FERTILITY; FOREST MANAGEMENT</t>
  </si>
  <si>
    <t>The detrimental impact of sediment and associated pollutants on water quality is widely acknowledged, with many watercourses in the UK failing to meet the standard of 'good ecological status'. Catchment sediment budgets show that hill slope erosion processes can be significant sources of waterborne sediment, with rates of erosion likely to increase given predicted future weather patterns. However, linking on-site erosion rates with off-site impacts is complicated because of the limited data on soil erosion rates in the UK and the dynamic nature of the source pathway receptor continuum over space and time. Even so, soil erosion control measures are designed to reduce sediment production (source) and mobilisation/transport (pathway) on hill slopes, with consequent mitigation of pollution incidents in watercourses (receptors). The purpose of this paper is to review the scientific evidence of the effectiveness of erosion control measures used in the UK to reduce sediment loads of hill slope origin in watercourses. Although over 73 soil erosion mitigation measures have been identified from the literature, empirical data on erosion control effectiveness are limited. Baseline comparisons for the 18 measures where data do exist reveal erosion control effectiveness is highly variable over time and between study locations. Given the limitations of the evidence base in terms of geographical coverage and duration of monitoring, performance of the different measures cannot be extrapolated to other areas. This uncertainty in effectiveness has implications for implementing erosion/sediment risk reduction policies, where quantified targets are stipulated, as is the case in the EU Freshwater Fish and draft Soil Framework Directives. Also, demonstrating technical effectiveness of erosion control measures alone will not encourage uptake by land managers: quantifying the costs and benefits of adopting erosion mitigation is equally important, but these are uncertain and difficult to express in monetary terms. (C) 2013 Elsevier B.V. All rights reserved.</t>
  </si>
  <si>
    <t>Cranfield Univ, Sch Appl Sci, Dept Environm Sci &amp; Technol, Natl Soil Resources Inst, Cranfield MK43 0AL, Beds, England</t>
  </si>
  <si>
    <t>Cranfield University</t>
  </si>
  <si>
    <t>Rickson, RJ (corresponding author), Cranfield Univ, Sch Appl Sci, Dept Environm Sci &amp; Technol, Natl Soil Resources Inst, Cranfield MK43 0AL, Beds, England.</t>
  </si>
  <si>
    <t>j.rickson@cranfield.ac.uk</t>
  </si>
  <si>
    <t>Rickson, Richmal Jane/A-6992-2011; Rickson, Richmal/A-6992-2011</t>
  </si>
  <si>
    <t>Rickson, Richmal Jane/0000-0001-6624-4073;</t>
  </si>
  <si>
    <t>10.1016/j.scitotenv.2013.05.057</t>
  </si>
  <si>
    <t>AB4QW</t>
  </si>
  <si>
    <t>WOS:000331776000125</t>
  </si>
  <si>
    <t>Gypens, N; Borges, AV</t>
  </si>
  <si>
    <t>Gypens, Nathalie; Borges, Alberto V.</t>
  </si>
  <si>
    <t>Increase in dimethylsulfide (DMS) emissions due to eutrophication of coastal waters offsets their reduction due to ocean acidification</t>
  </si>
  <si>
    <t>dimethylsulfide (DMS); eutrophication; ocean acidification; coastal waters; Phaeocystis; modeling</t>
  </si>
  <si>
    <t>SOUTHERN NORTH-SEA; DRAINAGE NETWORK; CLIMATE-CHANGE; CO2; SULFUR; PHYTOPLANKTON; LIMITATION; NITROGEN; CARBON; DIMETHYLSULFONIOPROPIONATE</t>
  </si>
  <si>
    <t>Available information from manipulative experiments suggested that the emission of dimethylsulfide (DMS) would decrease in response to the accumulation of anthropogenic CO2 in the ocean (ocean acidification). However, in coastal environments, the carbonate chemistry of surface waters was also strongly modified by eutrophication and related changes in biological activity (increased primary production and change in phytoplankton dominance) during the last 50 years. Here, we tested the hypothesis that DMS emissions in marine coastal environments also strongly responded to eutrophication in addition to ocean acidification at decadal timescales. We used the R-MIRO-BIOGAS model in the eutrophied Southern Bight of the North Sea characterized by intense blooms of Phaeocystis that are high producers of dimethylsulfoniopropionate (DMSP), the precursor of DMS. We showed that, for the period from 1951 to 2007, eutrophication actually led to an increase of DMS emissions much stronger than the response of DMS emissions to ocean acidification.</t>
  </si>
  <si>
    <t>[Gypens, Nathalie] Univ Libre Bruxelles, Ecole Interfac Bioingenieurs, Lab Ecol Syst Aquat, CP-221, B-1050 Brussels, Belgium; [Borges, Alberto V.] Univ Liege, Inst Phys B5, Dept Astrophys Geophys &amp; Oceanog, Unite Oceanog Chim, Liege, Belgium</t>
  </si>
  <si>
    <t>Universite Libre de Bruxelles; University of Liege</t>
  </si>
  <si>
    <t>Gypens, N (corresponding author), Univ Libre Bruxelles, Ecole Interfac Bioingenieurs, Lab Ecol Syst Aquat, CP-221, B-1050 Brussels, Belgium.</t>
  </si>
  <si>
    <t>ngypens@ulb.ac.be</t>
  </si>
  <si>
    <t>Borges, Alberto/C-4989-2008</t>
  </si>
  <si>
    <t>Borges, Alberto V/0000-0002-5434-2247; Gypens, Nathalie/0000-0002-8154-5613</t>
  </si>
  <si>
    <t>Fonds National de la Recherce Scientifique (FNRS) [2.4580.11 (1882638)]; Belgian Science Policy (BELSPO)</t>
  </si>
  <si>
    <t>Fonds National de la Recherce Scientifique (FNRS); Belgian Science Policy (BELSPO)(Belgian Federal Science Policy Office)</t>
  </si>
  <si>
    <t>We are grateful for the comments from three anonymous reviewers. This contributes to project 2.4580.11 (1882638) of the Fonds National de la Recherce Scientifique (FNRS) and to the EMOSEM (Ecosystem Models as Support to Eutrophication Management in the North Atlantic Ocean) EU FP7 ERA-NET Seas-era project funded by the Belgian Science Policy (BELSPO). Alberto V. Borges is a senior research associate at the FNRS, and co-first author.</t>
  </si>
  <si>
    <t>10.3389/fmars.2014.00004</t>
  </si>
  <si>
    <t>VI4JR</t>
  </si>
  <si>
    <t>WOS:000485310600004</t>
  </si>
  <si>
    <t>Kanemoto, K; Moran, D; Lenzen, M; Geschke, A</t>
  </si>
  <si>
    <t>Kanemoto, K.; Moran, D.; Lenzen, M.; Geschke, A.</t>
  </si>
  <si>
    <t>International trade undermines national emission reduction targets: New evidence from air pollution</t>
  </si>
  <si>
    <t>Embodied emissions; Footprint; Trade; MRIO; Input-output</t>
  </si>
  <si>
    <t>CARBON FOOTPRINT; CO2 EMISSIONS; CONSUMPTION; GROWTH; UK</t>
  </si>
  <si>
    <t>Many developed countries in Annex B of the Kyoto Protocol have been able to report decreasing emissions, and some have officially fulfilled their CO2 reduction commitments. This is in part because current reporting and regulatory regimes allow these countries to displace emissions intensive production offshore. Using a new highly detailed account of emissions embodied in international trade we investigate this phenomenon of emissions leakage. We independently confirm previous findings that adjusting for trade, developed countries emissions have increased, not decreased. We find that the sectors successfully holding or lowering their domestic emissions are often the same as those increasing their imports of embodied CO2. We also find that the fastest growing flow paths of embodied CO2 largely originate outside the Kyoto Annex B signatory nations. Finally, we find that historically the same phenomenon of emissions displacement has already occurred for air pollution, with the result that despite aggressive legislation in major emitters total global air pollution emissions have increased. If regulatory policies do not account for embodied imports, global emissions are likely to rise even if developed countries emitters enforce strong national emissions targets. (C) 2013 Elsevier Ltd. All rights reserved.</t>
  </si>
  <si>
    <t>[Kanemoto, K.; Moran, D.; Lenzen, M.; Geschke, A.] Univ Sydney, ISA, Sch Phys A28, Sydney, NSW 2006, Australia; [Kanemoto, K.] Tohoku Univ, Grad Sch Environm Studies, Sendai, Miyagi 9808579, Japan; [Moran, D.] Norwegian Univ Sci &amp; Technol, Programme Ind Ecol, N-7491 Trondheim, Norway</t>
  </si>
  <si>
    <t>University of Sydney; Tohoku University; Norwegian University of Science &amp; Technology (NTNU)</t>
  </si>
  <si>
    <t>Moran, D (corresponding author), Univ Sydney, ISA, Sch Phys A28, Sydney, NSW 2006, Australia.</t>
  </si>
  <si>
    <t>d.moran@physics.usyd.edu.au</t>
  </si>
  <si>
    <t>Moran, Daniel/AAE-6028-2019; Geschke, Arne/AAM-7434-2020; Lenzen, Manfred/D-3161-2013; Kanemoto, Keiichiro/O-9633-2016</t>
  </si>
  <si>
    <t>Geschke, Arne/0000-0001-9193-5829; Lenzen, Manfred/0000-0002-0828-5288; Kanemoto, Keiichiro/0000-0003-0230-9020; Moran, Daniel/0000-0002-2310-2275</t>
  </si>
  <si>
    <t>Australian Research Council [DP0985522, LP0669290]; Australian Research Council [LP0669290] Funding Source: Australian Research Council</t>
  </si>
  <si>
    <t>Australian Research Council(Australian Research Council); Australian Research Council(Australian Research Council)</t>
  </si>
  <si>
    <t>The work described in this paper was financially supported by the Australian Research Council through its Discovery Project DP0985522 and its Linkage Project LP0669290. Further information on data and calculations is available in the Supplementary Information and online at http://worldmrio.com.</t>
  </si>
  <si>
    <t>10.1016/j.gloenvcha.2013.09.008</t>
  </si>
  <si>
    <t>AD8HC</t>
  </si>
  <si>
    <t>WOS:000333506100007</t>
  </si>
  <si>
    <t>Bambach, N; Meza, FJ; Gilabert, H; Miranda, M</t>
  </si>
  <si>
    <t>Bambach, Nicolas; Meza, Francisco J.; Gilabert, Horacio; Miranda, Marcelo</t>
  </si>
  <si>
    <t>Impacts of climate change on the distribution of species and communities in the Chilean Mediterranean ecosystem</t>
  </si>
  <si>
    <t>REGIONAL ENVIRONMENTAL CHANGE</t>
  </si>
  <si>
    <t>Bioclimatic models; Ecological niche; Climate change; Mediterranean ecosystems; MAXENT</t>
  </si>
  <si>
    <t>MAXIMUM-ENTROPY; DISTRIBUTION MODELS; MIGRATION CAPACITY; EXTINCTION-RISK; BIODIVERSITY; DIVERSITY; CALIFORNIA; REGIONS; PLANTS; TREES</t>
  </si>
  <si>
    <t>The Mediterranean region of Chile is considered a biodiversity hot spot. An increase in temperature and decrease in precipitation, as projected for the end of this century by global circulation models, would likely change the distribution of the sclerophyllous thorny shrubland and woodland. In order to assess those potential impacts, the MAXENT algorithm was used to project potential changes in the distribution of the Mediterranean ecosystem. Ecological niche models were fitted and used to project the potential distribution of these forest ecosystems by the end of the century. Projections were made using data from the PRECIS model for the A2 and B2 climate change scenarios and two strategies of occupancy: free migration and non-migration. Distribution models of sclerophyllous, woodland and shrubland performed accurately representing current species' distribution. When we assume non-migration responses under climate change scenarios, results reveal a decrease in the distribution area for all the species. The areas where the highest reduction in a suitable environment was found are located along the coastline, where higher temperature increases have been projected. For native ecosystems from the Andean Range region, such as communities dominated by thorny species, a stable habitat was found, associated with a higher adaptation capability to future climatic projections. Hence, in the future, buffer zones originated by topo-climatic conditions might play a key role in protecting Central Chile biodiversity.</t>
  </si>
  <si>
    <t>[Bambach, Nicolas] Univ Calif Davis, Dept Land Air &amp; Water Resources, Davis, CA 95616 USA; [Bambach, Nicolas; Meza, Francisco J.; Gilabert, Horacio; Miranda, Marcelo] Pontificia Univ Catolica Chile, Dept Ecosistemas &amp; Medio Ambiente, Santiago, Chile; [Bambach, Nicolas; Meza, Francisco J.] Pontificia Univ Catolica Chile, Ctr Interdisciplinario Cambio Global, Santiago, Chile</t>
  </si>
  <si>
    <t>University of California System; University of California Davis; Pontificia Universidad Catolica de Chile; Pontificia Universidad Catolica de Chile</t>
  </si>
  <si>
    <t>Bambach, N (corresponding author), Univ Calif Davis, Dept Land Air &amp; Water Resources, Davis, CA 95616 USA.</t>
  </si>
  <si>
    <t>nbambach@ucdavis.edu</t>
  </si>
  <si>
    <t>Meza, Francisco/F-9297-2014; Miranda, Marcelo/N-6462-2014; Gilabert, Horacio/HKN-7224-2023</t>
  </si>
  <si>
    <t>Meza, Francisco/0000-0002-9853-227X; Miranda, Marcelo/0000-0002-8386-4888;</t>
  </si>
  <si>
    <t>Inter-American Institute for Global Change Research (IAI) SGP-HD [003]; US National Science Foundation [GEO-0642841]; FONDECYT [1090393]; Directorate For Geosciences [1138881] Funding Source: National Science Foundation</t>
  </si>
  <si>
    <t>Inter-American Institute for Global Change Research (IAI) SGP-HD; US National Science Foundation(National Science Foundation (NSF)); FONDECYT(Comision Nacional de Investigacion Cientifica y Tecnologica (CONICYT)CONICYT FONDECYT); Directorate For Geosciences(National Science Foundation (NSF)NSF - Directorate for Geosciences (GEO))</t>
  </si>
  <si>
    <t>This work was carried out with the aid of a grant from the Inter-American Institute for Global Change Research (IAI) SGP-HD #003 which is supported by the US National Science Foundation (Grant GEO-0642841) and with the aid of FONDECYT throughout Grant 1090393. We thank Dr. Thomas Fox and Dr. Pablo Becerra for their valuable comments and suggestions that have improved this work.</t>
  </si>
  <si>
    <t>1436-3798</t>
  </si>
  <si>
    <t>1436-378X</t>
  </si>
  <si>
    <t>REG ENVIRON CHANGE</t>
  </si>
  <si>
    <t>Reg. Envir. Chang.</t>
  </si>
  <si>
    <t>10.1007/s10113-013-0425-7</t>
  </si>
  <si>
    <t>Environmental Sciences; Environmental Studies</t>
  </si>
  <si>
    <t>259BH</t>
  </si>
  <si>
    <t>WOS:000327501900010</t>
  </si>
  <si>
    <t>Dickson, TL; Gross, KL</t>
  </si>
  <si>
    <t>Dickson, Timothy L.; Gross, Katherine L.</t>
  </si>
  <si>
    <t>Plant community responses to long-term fertilization: changes in functional group abundance drive changes in species richness</t>
  </si>
  <si>
    <t>OECOLOGIA</t>
  </si>
  <si>
    <t>Clonal; Grassland; Long-term; Nitrogen fertilization; Species traits</t>
  </si>
  <si>
    <t>GOLDENROD SOLIDAGO-ALTISSIMA; RESOURCE HETEROGENEITY; DIVERSITY; NITROGEN; BIODIVERSITY; PRODUCTIVITY; VEGETATION; FERTILITY; GRASSLAND; HERBIVORY</t>
  </si>
  <si>
    <t>Declines in species richness due to fertilization are typically rapid and associated with increases in aboveground production. However, in a long-term experiment examining the impacts of fertilization in an early successional community, we found it took 14 years for plant species richness to significantly decline in fertilized plots, despite fertilization causing a rapid increase in aboveground production. To determine what accounted for this lag in the species richness response, we examined several potential mechanisms. We found evidence suggesting the abundance of one functional group-tall species with long-distance (runner) clonality-drove changes in species richness, and we found little support for other mechanisms. Tall runner species initially increased in abundance due to fertilization, then declined dramatically and were not abundant again until later in the experiment, when species richness and the combined biomass of all other functional groups (non-tall runner) declined. Over 86 % of the species found throughout the course of our study are non-tall runner, and there is a strong negative relationship between non-tall runner and tall runner biomass. We therefore suggest that declines in species richness in the fertilized treatment are due to high tall runner abundance that decreases the abundance and richness of non-tall runner species. By identifying the functional group that drives declines in richness due to fertilization, our results help to elucidate how fertilization decreases plant richness and also suggest that declines in richness due to fertilization can be lessened by controlling the abundance of species with a tall runner growth form.</t>
  </si>
  <si>
    <t>[Dickson, Timothy L.; Gross, Katherine L.] Michigan State Univ, WK Kellogg Biol Stn, Hickory Corners, MI 49060 USA; [Gross, Katherine L.] Michigan State Univ, Dept Plant Biol, E Lansing, MI 48824 USA</t>
  </si>
  <si>
    <t>Dickson, TL (corresponding author), Univ Nebraska, Dept Biol, Omaha, NE 68182 USA.</t>
  </si>
  <si>
    <t>dicksontl@gmail.com</t>
  </si>
  <si>
    <t>National Science Foundation [DEB 87-0232, 9211771, DIR 9113598, BIR 9120006]; Direct For Biological Sciences; Division Of Environmental Biology [9211771] Funding Source: National Science Foundation; Division Of Environmental Biology; Direct For Biological Sciences [1027253] Funding Source: National Science Foundation</t>
  </si>
  <si>
    <t>National Science Foundation(National Science Foundation (NSF));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t>
  </si>
  <si>
    <t>We gratefully acknowledge Carol Baker, Pam Moseley, and many field workers whom have maintained and sampled the experiment over its long history. We received helpful comments on earlier drafts of this manuscript from Bryan Foster, Laura Gough, and two anonymous reviewers. The work was supported by several National Science Foundation grants: DEB 87-0232 and 9211771, DIR 9113598, and BIR 9120006. This is Kellogg Biological Station contribution 1723.</t>
  </si>
  <si>
    <t>ONE NEW YORK PLAZA, SUITE 4600, NEW YORK, NY, UNITED STATES</t>
  </si>
  <si>
    <t>0029-8549</t>
  </si>
  <si>
    <t>1432-1939</t>
  </si>
  <si>
    <t>Oecologia</t>
  </si>
  <si>
    <t>10.1007/s00442-013-2722-8</t>
  </si>
  <si>
    <t>268ZR</t>
  </si>
  <si>
    <t>WOS:000328210000032</t>
  </si>
  <si>
    <t>Yan, XL; Bao, WK; Pang, XY; Zhang, NX; Chen, JQ</t>
  </si>
  <si>
    <t>Yan, Xiao Li; Bao, Wei Kai; Pang, Xue Yong; Zhang, Ning Xuan; Chen, Jiquan</t>
  </si>
  <si>
    <t>Regeneration strategies influence ground bryophyte composition and diversity after forest clearcutting</t>
  </si>
  <si>
    <t>ANNALS OF FOREST SCIENCE</t>
  </si>
  <si>
    <t>Bryophyte; Regeneration strategy; Planted forest; Clearcutting; Natural forest; Biodiversity conservation</t>
  </si>
  <si>
    <t>STAND STRUCTURE; OLD-GROWTH; PLANTATIONS; COMMUNITIES; UNDERSTOREY; VEGETATION; TEMPERATE; RICHNESS; CANOPY</t>
  </si>
  <si>
    <t>Natural regeneration with broadleaved species and reforestation with coniferous trees are two widely practiced forest regeneration strategies after timber harvesting. They lead to different tree species composition and may cause different understory biodiversity, but the effects on ground bryophyte composition and diversity are not well-known. We tested whether natural regeneration with broadleaved species and reforestation with spruce induced different diversities of the ground bryophyte populations 20-40 years after old-growth spruce forest clearcutting in the subalpine regions of southwestern China. Differences between natural stands and plantations were compared through the analysis of 13 paired stands, with 78 plots, 390 shrub/herb quadrats, and a total of 1,560 bryophyte quadrats. Naturally regenerated forests were characterized by lower density and cover and lower tree height but higher herbaceous plant height, shrub cover, and bryophyte diversity. They also harbored many more ground bryophytes. The species richness of pleurocarpous mosses and fans, mats, and turfs were significantly higher in naturally regenerated forests. Frequency difference analysis demonstrated that more bryophyte species preferred ground habitats in naturally regenerated forests than in plantations (116 vs. 48 species). The canonical correspondence analysis indicated that stand structure attributes were more important determinants of ground bryophyte diversity and abundance. Natural regeneration and reforestation resulted in large differences in ground bryophyte populations. A larger diversity was observed in the former case, and natural regeneration practices can be an effective measure for the protection of ground bryophyte diversity after clearcutting.</t>
  </si>
  <si>
    <t>[Yan, Xiao Li; Bao, Wei Kai; Pang, Xue Yong; Zhang, Ning Xuan] Chinese Acad Sci, Chengdu Inst Biol, Ecol Restorat Biodivers Conservat Key Lab Sichuan, Key Lab Mt Ecol Restorat &amp; Bio Resource Utilizat, Chengdu 610041, Sichuan, Peoples R China; [Yan, Xiao Li] Chinese Acad Sci, Grad Univ, Beijing 100049, Peoples R China; [Chen, Jiquan] Univ Toledo, Dept Environm Sci, Toledo, OH 43606 USA</t>
  </si>
  <si>
    <t>Chinese Academy of Sciences; Chengdu Institute of Biology, CAS; Chinese Academy of Sciences; University of Chinese Academy of Sciences, CAS; University System of Ohio; University of Toledo</t>
  </si>
  <si>
    <t>Bao, WK (corresponding author), Chinese Acad Sci, Chengdu Inst Biol, Ecol Restorat Biodivers Conservat Key Lab Sichuan, Key Lab Mt Ecol Restorat &amp; Bio Resource Utilizat, 9,Sect 4,Renmin Nan Ave,POB 416, Chengdu 610041, Sichuan, Peoples R China.</t>
  </si>
  <si>
    <t>Baowk@cib.ac.cn</t>
  </si>
  <si>
    <t>; Chen, Jiquan/D-1955-2009; Bao, Weikai/H-1938-2012</t>
  </si>
  <si>
    <t>Pang, Xueyong/0000-0002-7397-5824; Chen, Jiquan/0000-0003-0761-9458;</t>
  </si>
  <si>
    <t>National Natural Science Foundation of China [30972350, 30570333, 31270492]</t>
  </si>
  <si>
    <t>This work was funded by three grants from the National Natural Science Foundation of China (numbers 30972350, 30570333, and 31270492). We are grateful to several bryologists (Dr. Jia Yu, Prof. Xiong Yuanxing, and Prof. Wang Youfang) for assisting in some specimen identification, several graduates (Wang Cheng, You Qiuhua, Long Hai, and Yi Minbo) for their invaluable field assistance, and the three Forestry Bureaus of Jinchuan, Barkam, and Li Counties for their logistic support. We also thank two anonymous reviewers for their helpful comments for revising the manuscript. Finally, we appreciate the help from Lisa Delp Taylor for kindly correcting the English of the manuscript.</t>
  </si>
  <si>
    <t>SPRINGER FRANCE</t>
  </si>
  <si>
    <t>PARIS</t>
  </si>
  <si>
    <t>22 RUE DE PALESTRO, PARIS, 75002, FRANCE</t>
  </si>
  <si>
    <t>1286-4560</t>
  </si>
  <si>
    <t>1297-966X</t>
  </si>
  <si>
    <t>ANN FOREST SCI</t>
  </si>
  <si>
    <t>Ann. For. Sci.</t>
  </si>
  <si>
    <t>10.1007/s13595-013-0323-7</t>
  </si>
  <si>
    <t>247EJ</t>
  </si>
  <si>
    <t>WOS:000326598000009</t>
  </si>
  <si>
    <t>Zhou, W; Sun, ZG; Li, JL; Gang, CC; Zhang, CB</t>
  </si>
  <si>
    <t>Zhou, Wei; Sun, ZhengGuo; Li, JianLong; Gang, ChengCheng; Zhang, ChaoBin</t>
  </si>
  <si>
    <t>Desertification dynamic and the relative roles of climate change and human activities in desertification in the Heihe River Basin based on NPP</t>
  </si>
  <si>
    <t>desertification; net primary productivity (NPP); climate change; human activities; quantitative assessment; Heihe River Basin</t>
  </si>
  <si>
    <t>NET PRIMARY PRODUCTION; WEST-AFRICAN SAHEL; LAND DEGRADATION; VEGETATION DYNAMICS; NORTHWEST CHINA; TERRESTRIAL; VARIABILITY; DROUGHT</t>
  </si>
  <si>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</si>
  <si>
    <t>[Zhou, Wei; Sun, ZhengGuo; Li, JianLong; Gang, ChengCheng; Zhang, ChaoBin] Nanjing Univ, Sch Life Sci, Nanjing 210093, Jiangsu, Peoples R China</t>
  </si>
  <si>
    <t>Li, JL (corresponding author), Nanjing Univ, Sch Life Sci, Nanjing 210093, Jiangsu, Peoples R China.</t>
  </si>
  <si>
    <t>jlli2008@nju.edu.cn</t>
  </si>
  <si>
    <t>; Gang, Chengcheng/Z-4286-2019</t>
  </si>
  <si>
    <t>Gang, Chengcheng/0000-0002-2804-5636;</t>
  </si>
  <si>
    <t>National Basic Research Program of China [2010CB950702]; National High Technology Research and Development Program of China [2007AA10Z231]; National Natural Science Foundation of China [40871012, J1103512, J1210026]; Asia-Pacific Network [ARCP-2012-SP25-Li]; Australian Agency for International Development [64828]; ICER; Directorate For Geosciences [1348085] Funding Source: National Science Foundation</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</si>
  <si>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Australian Agency for International Development(Norwegian Agency for Development Cooperation - NORAD); ICER; Directorate For Geosciences(National Science Foundation (NSF)NSF - Directorate for Geosciences (GEO))</t>
  </si>
  <si>
    <t>This work was supported by the National Basic Research Program of China (2010CB950702), the National High Technology Research and Development Program of China (2007AA10Z231), the National Natural Science Foundation of China (40871012, J1103512, J1210026), the Asia-Pacific Network (ARCP-2012-SP25-Li), and the Australian Agency for International Development (64828). We are grateful to Dr. Victor SQUIRES from University of Adelaide, Australia for his help in modifying the language. We also thank the China Meteorological Data Sharing Service System for providing climate datasets.</t>
  </si>
  <si>
    <t>10.1007/s40333-013-0181-z</t>
  </si>
  <si>
    <t>179YJ</t>
  </si>
  <si>
    <t>WOS:000321558700006</t>
  </si>
  <si>
    <t>van Asselen, S; Verburg, PH; Vermaat, JE; Janse, JH</t>
  </si>
  <si>
    <t>van Asselen, Sanneke; Verburg, Peter H.; Vermaat, Jan E.; Janse, Jan H.</t>
  </si>
  <si>
    <t>Drivers of Wetland Conversion: a Global Meta-Analysis</t>
  </si>
  <si>
    <t>LAND-USE; CONSERVATION; AGRICULTURE; STRATEGIES; SYSTEMS</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</si>
  <si>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</si>
  <si>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[van Asselen, Sanneke; Verburg, Peter H.; Vermaat, Jan E.] Vrije Univ Amsterdam, Inst Environm Studies, Amsterdam, Netherlands; [Vermaat, Jan E.] Vrije Univ Amsterdam, Fac Earth &amp; Life Sci, Amsterdam, Netherlands; [Janse, Jan H.] PBL Netherlands Environm Assessment Agcy, Bilthoven, Netherlands</t>
  </si>
  <si>
    <t>Vrije Universiteit Amsterdam; Vrije Universiteit Amsterdam</t>
  </si>
  <si>
    <t>van Asselen, S (corresponding author), Vrije Univ Amsterdam, Inst Environm Studies, Amsterdam, Netherlands.</t>
  </si>
  <si>
    <t>svasselen@gmail.com</t>
  </si>
  <si>
    <t>Verburg, Peter/A-8469-2010; Janse, Jan/OUI-7427-2025; Verburg, Peter/Z-1582-2019; Vermaat, Jan/I-5856-2012</t>
  </si>
  <si>
    <t>Verburg, Peter/0000-0002-6977-7104;</t>
  </si>
  <si>
    <t>Netherlands Organization for Scientific Research (NWO) [IGLO-830.10.003]; European Research Council under the European Union's Seventh Framework Programme ERC (GLOLAND) [311819]; Netherlands Environmental Assessment Agency; NWO</t>
  </si>
  <si>
    <t>Netherlands Organization for Scientific Research (NWO)(Netherlands Organization for Scientific Research (NWO)); European Research Council under the European Union's Seventh Framework Programme ERC (GLOLAND); Netherlands Environmental Assessment Agency; NWO(Netherlands Organization for Scientific Research (NWO))</t>
  </si>
  <si>
    <t>This research is funded by the Netherlands Organization for Scientific Research (NWO; project IGLO-830.10.003), the European Research Council under the European Union's Seventh Framework Programme ERC Grant Agreement nr. 311819 (GLOLAND), and the Netherlands Environmental Assessment Agency. The position of the corresponding author (SVA) at the Institute for Environmental Studies was funded by NWO. She had a role in study design, data collection and analysis, decision to publish and preparation of the manuscript. The funders had no role in study design, data collection and analysis, decision to publish, or preparation of the manuscript.</t>
  </si>
  <si>
    <t>NOV 25</t>
  </si>
  <si>
    <t>e81292</t>
  </si>
  <si>
    <t>10.1371/journal.pone.0081292</t>
  </si>
  <si>
    <t>259RH</t>
  </si>
  <si>
    <t>Green Published, Green Submitted, gold</t>
  </si>
  <si>
    <t>WOS:000327543500082</t>
  </si>
  <si>
    <t>Sánchez-Guillén, RA; Muñoz, J; Rodríguez-Tapia, G; Arroyo, TPF; Córdoba-Aguilar, A</t>
  </si>
  <si>
    <t>Ana Sanchez-Guillen, Rosa; Munoz, Jesus; Rodriguez-Tapia, Gerardo; Arroyo, T. Patricia Feria; Cordoba-Aguilar, Alex</t>
  </si>
  <si>
    <t>Climate-Induced Range Shifts and Possible Hybridisation Consequences in Insects</t>
  </si>
  <si>
    <t>BIMODAL HYBRID ZONES; REPRODUCTIVE ISOLATION; POSTZYGOTIC ISOLATION; SPECIES RECOGNITION; ISCHNURA-GRAELLSII; ODONATA; PATTERNS; DAMSELFLIES; COENAGRIONIDAE; INTROGRESSION</t>
  </si>
  <si>
    <t>Many ectotherms have altered their geographic ranges in response to rising global temperatures. Current range shifts will likely increase the sympatry and hybridisation between recently diverged species. Here we predict future sympatric distributions and risk of hybridisation in seven Mediterranean ischnurid damselfly species (I. elegans, I. fountaineae, I. genei, I. graellsii, I. pumilio, I. saharensis and I. senegalensis). We used a maximum entropy modelling technique to predict future potential distribution under four different Global Circulation Models and a realistic emissions scenario of climate change. We carried out a comprehensive data compilation of reproductive isolation (habitat, temporal, sexual, mechanical and gametic) between the seven studied species. Combining the potential distribution and data of reproductive isolation at different instances (habitat, temporal, sexual, mechanical and gametic), we infer the risk of hybridisation in these insects. Our findings showed that all but I. graellsii will decrease in distributional extent and all species except I. senegalensis are predicted to have northern range shifts. Models of potential distribution predicted an increase of the likely overlapping ranges for 12 species combinations, out of a total of 42 combinations, 10 of which currently overlap. Moreover, the lack of complete reproductive isolation and the patterns of hybridisation detected between closely related ischnurids, could lead to local extinctions of native species if the hybrids or the introgressed colonising species become more successful.</t>
  </si>
  <si>
    <t>[Ana Sanchez-Guillen, Rosa; Cordoba-Aguilar, Alex] Univ Nacl Autonoma Mexico, Inst Ecol, Dept Ecol Evolut, Mexico City 04510, DF, Mexico; [Munoz, Jesus] CSIC, RJB, Madrid, Spain; [Rodriguez-Tapia, Gerardo] Univ Nacl Autonoma Mexico, Inst Ecol, Unidad Geomat, Mexico City 04510, DF, Mexico; [Arroyo, T. Patricia Feria] Univ Texas Pan Amer, Dept Biol, Edinburg, TX 78541 USA; [Munoz, Jesus] Univ Tecnol Indoamer, Ctr Biodiversidad &amp; Cambio Climat, Quito, Ecuador</t>
  </si>
  <si>
    <t>Universidad Nacional Autonoma de Mexico; Consejo Superior de Investigaciones Cientificas (CSIC); CSIC - Real Jardin Botanico de Madrid; Universidad Nacional Autonoma de Mexico; University of Texas System; University of Texas Rio Grande Valley</t>
  </si>
  <si>
    <t>Sánchez-Guillén, RA (corresponding author), Univ Nacl Autonoma Mexico, Inst Ecol, Dept Ecol Evolut, Mexico City 04510, DF, Mexico.</t>
  </si>
  <si>
    <t>rguillen@uvigo.es; acordoba@ecologia.unam.mx</t>
  </si>
  <si>
    <t>; Munoz, Jesus/B-7809-2008; Guillén, Rosa/Q-5714-2018; Rodriguez-Tapia, Gerardo/GZM-8933-2022; Sánchez Guillén, Rosa Ana/Q-5714-2018</t>
  </si>
  <si>
    <t>Muñoz, Jesús/0000-0002-9266-2268; Córdoba-Aguilar, Alex/0000-0002-5978-1660; Sánchez Guillén, Rosa Ana/0000-0001-6024-8321; Rodríguez-Tapia, Gerardo/0000-0003-0953-7755</t>
  </si>
  <si>
    <t>Direccion General Asuntos del Personal Academico-Universidad Nacional Autonoma de Mexico (UNAM); Ministry of Economy and Competitiveness of Spain [CGL2012-38624-C02-02]; Programa de Apoyo a Proyectos de Investigacion e Innovacion Tecnologica-UNAM [IN 222312]</t>
  </si>
  <si>
    <t>Direccion General Asuntos del Personal Academico-Universidad Nacional Autonoma de Mexico (UNAM); Ministry of Economy and Competitiveness of Spain(Spanish Government); Programa de Apoyo a Proyectos de Investigacion e Innovacion Tecnologica-UNAM(Programa de Apoyo a Proyectos de Investigacion e Innovacion Tecnologica (PAPIIT)Universidad Nacional Autonoma de Mexico)</t>
  </si>
  <si>
    <t>RAS-G was supported by a postdoctoral grant Direccion General Asuntos del Personal Academico-Universidad Nacional Autonoma de Mexico (UNAM). JM received financial support from the Ministry of Economy and Competitiveness of Spain (grant CGL2012-38624-C02-02). This research was partially supported by a Programa de Apoyo a Proyectos de Investigacion e Innovacion Tecnologica-UNAM grant (IN 222312). The funders had no role in study design, data collection and analysis, decision to publish, or preparation of the manuscript.</t>
  </si>
  <si>
    <t>NOV 15</t>
  </si>
  <si>
    <t>e80531</t>
  </si>
  <si>
    <t>10.1371/journal.pone.0080531</t>
  </si>
  <si>
    <t>255RX</t>
  </si>
  <si>
    <t>WOS:000327258600069</t>
  </si>
  <si>
    <t>Koyanagi, TF; Furukawa, T</t>
  </si>
  <si>
    <t>Koyanagi, Tomoyo F.; Furukawa, Takuya</t>
  </si>
  <si>
    <t>Nation-wide agrarian depopulation threatens semi-natural grassland species in Japan: Sub-national application of the Red List Index</t>
  </si>
  <si>
    <t>Biodiversity indicator; Extinction risk; Marginal semi-natural grassland; Plant functional groups; Red Data Book; Red List Index (RLI)</t>
  </si>
  <si>
    <t>LIFE-HISTORY TRAITS; PLANT-COMMUNITIES; HUMAN-POPULATION; MANAGEMENT; EXTINCTION; LANDSCAPE; CONSERVATION; PERSISTENCE; DIVERSITY; FOREST</t>
  </si>
  <si>
    <t>To integrate monitoring and conservation of biodiversity at multiple spatial scales, biodiversity indicators measured at coarse spatial scales should be linked with anthropogenic pressures reported at finer scales. Applying the Red List Index (RLI) at the regional level, we investigated the relationship between Japanese semi-natural grassland species and proxies of threats caused by human activities over the past 50 years. We calculated and compared RLI values at the national and prefectural levels for all grassland species, plant functional groups (PFGs), and resource use types. Analyses of prefectural RLIs revealed trends that were not visible at the national level: annuals and wind-dispersed, tall and short perennials were more extinction prone (i.e., had lower RLI values) than tall and short perennials with unassisted and other types of dispersal mechanisms. Species with horticultural use also had higher risk of extinction than those without. Prefectural RLIs were further analyzed for their relationship to social factors (i.e., demographic and land use statistics). As a result, the conservation status of grassland plants was more deteriorated in prefectures with larger decrease in commercial and subsistence agrarian population density in the past (during 1960-1980) than the recent (1980-2000). This supports the perception that the underuse of agricultural landscapes, indicated by agrarian depopulation, has had a large impact on semi-natural grassland biodiversity in Japan. Our approach of relating regional RLIs to proxies of anthropogenic pressures demonstrated that human-induced drivers of species loss can be readily interpreted from spatial differences in RLI values in order to derive effective conservation strategies across regions. (C) 2013 Elsevier Ltd. All rights reserved.</t>
  </si>
  <si>
    <t>[Koyanagi, Tomoyo F.] Waseda Univ, Fac Human Sci, Tokorozawa, Saitama 3591192, Japan; [Furukawa, Takuya] Yokohama Natl Univ, Grad Sch Environm &amp; Informat Sci, Hodogaya Ku, Yokohama, Kanagawa 2408501, Japan</t>
  </si>
  <si>
    <t>Waseda University; Yokohama National University</t>
  </si>
  <si>
    <t>Furukawa, T (corresponding author), Yokohama Natl Univ, Grad Sch Environm &amp; Informat Sci, Hodogaya Ku, 79-7 Tokiwadai, Yokohama, Kanagawa 2408501, Japan.</t>
  </si>
  <si>
    <t>t-koyanagi@aoni.waseda.jp; tkyfurukawa@gmail.com</t>
  </si>
  <si>
    <t>; Furukawa, Takuya/JXL-3358-2024</t>
  </si>
  <si>
    <t>Furukawa, Takuya/0000-0003-2006-6560;</t>
  </si>
  <si>
    <t>Ministry of the Environment, Japan [S-9]</t>
  </si>
  <si>
    <t>Ministry of the Environment, Japan(Ministry of the Environment, Japan)</t>
  </si>
  <si>
    <t>This research was supported by the Environment Research and Technology Development Fund S-9 of the Ministry of the Environment, Japan.</t>
  </si>
  <si>
    <t>10.1016/j.biocon.2013.07.012</t>
  </si>
  <si>
    <t>277FL</t>
  </si>
  <si>
    <t>WOS:000328804300001</t>
  </si>
  <si>
    <t>Six, KD; Kloster, S; Ilyina, T; Archer, SD; Zhang, K; Maier-Reimer, E</t>
  </si>
  <si>
    <t>Six, Katharina D.; Kloster, Silvia; Ilyina, Tatiana; Archer, Stephen D.; Zhang, Kai; Maier-Reimer, Ernst</t>
  </si>
  <si>
    <t>Global warming amplified by reduced sulphur fluxes as a result of ocean acidification</t>
  </si>
  <si>
    <t>DMS CYCLE; CLIMATE; CO2; SENSITIVITY; ATMOSPHERE</t>
  </si>
  <si>
    <t>Climate change and decreasing seawater pH (ocean acidification)(1) have widely been considered as uncoupled consequences of the anthropogenic CO2 perturbation(2,3). Recently, experiments in seawater enclosures (mesocosms) showed that concentrations of dimethylsulphide (DMS), a biogenic sulphur compound, were markedly lower in a low-pH (e)nvironment4. Marine DMS emissions are the largest natural source of atmospheric sulphur(5) and changes in their strength have the potential to alter the Earth's radiation budget(6). Here we establish observational-based relationships between pH changes and DMS concentrations to estimate changes in future DMS emissions with Earth system model(7) climate simulations. Global DMS emissions decrease by about 18(+/-3)% in 2100 compared with pre-industrial times as a result of the combined effects of ocean acidification and climate change. The reduced DMS emissions induce a significant additional radiative forcing, of which 83% is attributed to the impact of ocean acidification, tantamount to an equilibrium temperature response between 0.23 and 0.48 K. Our results indicate that ocean acidification has the potential to exacerbate anthropogenic warming through a mechanism that is not considered at present in projections of future climate change.</t>
  </si>
  <si>
    <t>[Six, Katharina D.; Kloster, Silvia; Ilyina, Tatiana; Maier-Reimer, Ernst] Max Planck Inst Meteorol, D-20146 Hamburg, Germany; [Archer, Stephen D.] Plymouth Marine Lab, Plymouth PL1 3DH, Devon, England; [Archer, Stephen D.] Bigelow Lab Ocean Sci, East Boothbay, ME 04544 USA; [Zhang, Kai] Pacific NW Natl Lab, Richland, WA 99352 USA</t>
  </si>
  <si>
    <t>Max Planck Society; Plymouth Marine Laboratory; Bigelow Laboratory for Ocean Sciences; United States Department of Energy (DOE); Pacific Northwest National Laboratory</t>
  </si>
  <si>
    <t>Six, KD (corresponding author), Max Planck Inst Meteorol, Bundesstr 55, D-20146 Hamburg, Germany.</t>
  </si>
  <si>
    <t>katharina.six@zmaw.de</t>
  </si>
  <si>
    <t>Archer, Stephen/H-5490-2012; Ilyina, Tatiana/ABE-9164-2020; Zhang, Kai/F-8415-2010</t>
  </si>
  <si>
    <t>Archer, Stephen/0000-0001-6054-2424; Zhang, Kai/0000-0003-0457-6368; Ilyina, Tatiana/0000-0002-3475-4842</t>
  </si>
  <si>
    <t>EU FP7 project EPOCA [211384]; EU FP7 project COMBINE [226520]; EU FP7 project CARBOCHANGE [264879]; Office of Science of the US Department of Energy as part of the SciDAC programme; Natural Environment Research Council [pml010002, NE/H017259/1] Funding Source: researchfish; NERC [pml010002, NE/H017259/1] Funding Source: UKRI</t>
  </si>
  <si>
    <t>EU FP7 project EPOCA(European Union (EU)); EU FP7 project COMBINE(European Union (EU)); EU FP7 project CARBOCHANGE(European Union (EU)); Office of Science of the US Department of Energy as part of the SciDAC programme(United States Department of Energy (DOE)); Natural Environment Research Council(UK Research &amp; Innovation (UKRI)Natural Environment Research Council (NERC)); NERC(UK Research &amp; Innovation (UKRI)Natural Environment Research Council (NERC))</t>
  </si>
  <si>
    <t>The work of K. D. S. and S. D. A. was financially supported by the EU FP7 project EPOCA (grant no. 211384). This is a contribution to EU FP7 projects COMBINE (grant no. 226520) and CARBOCHANGE (grant no. 264879). K.Z. was supported by the Office of Science of the US Department of Energy as part of the SciDAC programme. We thank I. Stemmler and U. Niemeier for internal review of the original manuscript.</t>
  </si>
  <si>
    <t>10.1038/NCLIMATE1981</t>
  </si>
  <si>
    <t>295OJ</t>
  </si>
  <si>
    <t>WOS:000330125100016</t>
  </si>
  <si>
    <t>Fordham, DA; Mellin, C; Russell, BD; Akçakaya, RH; Bradshaw, CJA; Aiello-Lammens, ME; Caley, JM; Connell, SD; Mayfield, S; Shepherd, SA; Brook, BW</t>
  </si>
  <si>
    <t>Fordham, Damien A.; Mellin, Camille; Russell, Bayden D.; Akcakaya, Resit H.; Bradshaw, Corey J. A.; Aiello-Lammens, Matthew E.; Caley, Julian M.; Connell, Sean D.; Mayfield, Stephen; Shepherd, Scoresby A.; Brook, Barry W.</t>
  </si>
  <si>
    <t>Population dynamics can be more important than physiological limits for determining range shifts under climate change</t>
  </si>
  <si>
    <t>abalone; demographic processes; ecological niche model; extinction risk; marine biodiversity conservation; marine species distribution model; mechanistic model; metapopulation dynamics; population viability analysis; source-sink dynamics</t>
  </si>
  <si>
    <t>SPECIES DISTRIBUTION MODELS; HALIOTIS-RUBRA LEACH; GREENLIP ABALONE FISHERY; AUSTRALIAN ABALONE; VARIABLE SELECTION; JUVENILE GREENLIP; GENUS HALIOTIS; CHANGE IMPACTS; TEMPERATURE; LAEVIGATA</t>
  </si>
  <si>
    <t>Evidence is accumulating that species' responses to climate changes are best predicted by modelling the interaction of physiological limits, biotic processes and the effects of dispersal-limitation. Using commercially harvested blacklip (Haliotis rubra) and greenlip abalone (Haliotis laevigata) as case studies, we determine the relative importance of accounting for interactions among physiology, metapopulation dynamics and exploitation in predictions of range (geographical occupancy) and abundance (spatially explicit density) under various climate change scenarios. Traditional correlative ecological niche models (ENM) predict that climate change will benefit the commercial exploitation of abalone by promoting increased abundances without any reduction in range size. However, models that account simultaneously for demographic processes and physiological responses to climate-related factors result in future (and present) estimates of area of occupancy (AOO) and abundance that differ from those generated by ENMs alone. Range expansion and population growth are unlikely for blacklip abalone because of important interactions between climate-dependent mortality and metapopulation processes; in contrast, greenlip abalone should increase in abundance despite a contraction in AOO. The strongly non-linear relationship between abalone population size and AOO has important ramifications for the use of ENM predictions that rely on metrics describing change in habitat area as proxies for extinction risk. These results show that predicting species' responses to climate change often require physiological information to understand climatic range determinants, and a metapopulation model that can make full use of this data to more realistically account for processes such as local extirpation, demographic rescue, source-sink dynamics and dispersal-limitation.</t>
  </si>
  <si>
    <t>[Fordham, Damien A.; Mellin, Camille; Bradshaw, Corey J. A.; Brook, Barry W.] Univ Adelaide, Inst Environm, Sch Earth &amp; Environm Sci, Adelaide, SA 5005, Australia; [Mellin, Camille; Caley, Julian M.] Australian Inst Marine Sci, Townsville, Qld 4810, Australia; [Russell, Bayden D.] Univ Adelaide, Sch Earth &amp; Environm Sci, Southern Seas Ecol Labs, Adelaide, SA 5005, Australia; [Akcakaya, Resit H.; Aiello-Lammens, Matthew E.; Connell, Sean D.] SUNY Stony Brook, Dept Ecol &amp; Evolut, Stony Brook, NY 11794 USA; [Bradshaw, Corey J. A.; Mayfield, Stephen; Shepherd, Scoresby A.] South Australian Res &amp; Dev Inst, Henley Beach, SA 5022, Australia</t>
  </si>
  <si>
    <t>Adelaide University; University of Adelaide; Australian Institute of Marine Science; Adelaide University; University of Adelaide; State University of New York (SUNY) System; Stony Brook University; South Australian Research &amp; Development Institute (SARDI)</t>
  </si>
  <si>
    <t>Fordham, DA (corresponding author), Univ Adelaide, Inst Environm, Sch Earth &amp; Environm Sci, Adelaide, SA 5005, Australia.</t>
  </si>
  <si>
    <t>damien.fordham@adelaide.edu.au</t>
  </si>
  <si>
    <t>; Caley, Julian/A-4042-2008; Russell, Bayden/A-9942-2008; Mellin, Camille/X-9161-2019; Brook, Barry/G-2686-2011; Fordham, Damien/E-9255-2013; Bradshaw, Corey/A-1311-2008; Akcakaya, H./A-7830-2008; Connell, Sean/A-8874-2008</t>
  </si>
  <si>
    <t>Aiello-Lammens, Matthew/0000-0002-6180-5959; Russell, Bayden/0000-0003-1282-9978; Caley, Julian/0000-0001-5739-749X; Mellin, Camille/0000-0002-7369-2349; Brook, Barry/0000-0002-2491-1517; Fordham, Damien/0000-0003-2137-5592; Bradshaw, Corey/0000-0002-5328-7741; Connell, Sean/0000-0002-5350-6852</t>
  </si>
  <si>
    <t>Australian Research Council [DP1096427, FS110200051, FT100100200]; Marine Biodiversity Hub; Australian Government National Environmental Research Programme; NSF [DEB-1146198]; Australian Research Council [FT100100200, DP1096427, FS110200051] Funding Source: Australian Research Council; National Health and Medical Research Council (NHMRC) [1146198] Funding Source: National Health and Medical Research Council (NHMRC); Direct For Biological Sciences; Division Of Environmental Biology [1146198] Funding Source: National Science Foundation</t>
  </si>
  <si>
    <t>Australian Research Council(Australian Research Council); Marine Biodiversity Hub; Australian Government National Environmental Research Programme(Australian Government); NSF(National Science Foundation (NSF)); Australian Research Council(Australian Research Council); National Health and Medical Research Council (NHMRC)(National Health &amp; Medical Research Council (NHMRC) of Australia); Direct For Biological Sciences; Division Of Environmental Biology(National Science Foundation (NSF)NSF - Directorate for Biological Sciences (BIO))</t>
  </si>
  <si>
    <t>Funded by Australian Research Council Discovery Project grants DP1096427 (D.A.F., B.W.B.) and Super Science Fellowship FS110200051 (D.A.F.) and Future Fellowship FT100100200 (B.W.B.). C.M. was supported by the Marine Biodiversity Hub, funded by the Australian Government National Environmental Research Programme. NSF DEB-1146198 supported HRA. T. Peterson and two anonymous reviewers provided comments that improved the manuscript.</t>
  </si>
  <si>
    <t>10.1111/gcb.12289</t>
  </si>
  <si>
    <t>210OS</t>
  </si>
  <si>
    <t>WOS:000323844200027</t>
  </si>
  <si>
    <t>Gourlet-Fleury, S; Mortier, F; Fayolle, A; Baya, F; Ouédraogo, D; Bénédet, F; Picard, N</t>
  </si>
  <si>
    <t>Gourlet-Fleury, Sylvie; Mortier, Frederic; Fayolle, Adeline; Baya, Fidele; Ouedraogo, Dakis; Benedet, Fabrice; Picard, Nicolas</t>
  </si>
  <si>
    <t>Tropical forest recovery from logging: a 24 year silvicultural experiment from Central Africa</t>
  </si>
  <si>
    <t>PHILOSOPHICAL TRANSACTIONS OF THE ROYAL SOCIETY B-BIOLOGICAL SCIENCES</t>
  </si>
  <si>
    <t>moist semi-deciduous forests; silviculture; permanent sample plots; above-ground biomass; timber species</t>
  </si>
  <si>
    <t>TREE SPECIES COMPOSITION; RAIN-FOREST; FLORISTIC COMPOSITION; ABOVEGROUND BIOMASS; CONSERVATION VALUES; IMPACTS; GROWTH; CONGO; SUSTAINABILITY; MANAGEMENT</t>
  </si>
  <si>
    <t>Large areas of African moist forests are being logged in the context of supposedly sustainable management plans. It remains however controversial whether harvesting a few trees per hectare can be maintained in the long term while preserving other forest services as well. We used a unique 24 year silvicultural experiment, encompassing 10 4 ha plots established in the Central African Republic, to assess the effect of disturbance linked to logging (two to nine trees ha(-1) greater than or equal to 80 cm DBH) and thinning (11-41 trees ha(-1) greater than or equal to 50 cm DBH) on the structure and dynamics of the forest. Before silvicultural treatments, above-ground biomass (AGB) and timber stock (i.e. the volume of commercial trees greater than or equal to 80 cm DBH) in the plots amounted 374.5 +/- 58.2 Mg ha(-1) and 79.7 +/- 45.9 m(3) ha(-1), respectively. We found that (i) natural control forest was increasing in AGB (2.58 +/- 1.73 Mg dry mass ha(-1) yr(-1)) and decreasing in timber stock (20.33 +/- 1.57 m(3) ha(-1) yr(-1)); (ii) the AGB recovered very quickly after logging and thinning, at a rate proportional to the disturbance intensity (mean recovery after 24 years: 144%). Compared with controls, the gain almost doubled in the logged plots (4.82 +/- 1.22 Mg ha(-1) yr(-1)) and tripled in the logged + thinned plots (8.03 +/- 1.41 Mg ha(-1) yr(-1)); (iii) the timber stock recovered slowly (mean recovery after 24 years: 41%), at a rate of 0.75 +/- 0.51 m(3) ha(-1) yr(-1) in the logged plots, and 0.81 +/- 0.74 m(3) ha(-1) yr(-1) in the logged + thinned plots. Although thinning significantly increased the gain in biomass, it had no effect on the gain in timber stock. However, thinning did foster the growth and survival of small-and medium-sized timber trees and should have a positive effect over the next felling cycle.</t>
  </si>
  <si>
    <t>[Gourlet-Fleury, Sylvie; Mortier, Frederic; Ouedraogo, Dakis; Benedet, Fabrice; Picard, Nicolas] CIRAD, BSEF, F-34398 Montpellier, France; [Fayolle, Adeline] Univ Liege, Agro Biotech, B-5030 Gembloux, Belgium; [Baya, Fidele] Minist Eaux Forets Chasse &amp; Peche, Bangui, Cent Afr Republ; [Picard, Nicolas] CIRAD, BSEF, Libreville, Gabon</t>
  </si>
  <si>
    <t>CIRAD; University of Liege; CIRAD</t>
  </si>
  <si>
    <t>Gourlet-Fleury, S (corresponding author), CIRAD, BSEF, F-34398 Montpellier, France.</t>
  </si>
  <si>
    <t>sylvie.gourlet-fleury@cirad.fr</t>
  </si>
  <si>
    <t>; Picard, Nicolas/T-2447-2018; FAYOLLE, Adeline/ODM-2232-2025</t>
  </si>
  <si>
    <t>Mortier, Frédéric/0000-0001-5473-709X; FAYOLLE, Adeline/0000-0002-6770-0031; Ouéaogo, Dakis-Yaoba/0000-0003-2674-2259; Picard, Nicolas/0000-0001-5548-9171;</t>
  </si>
  <si>
    <t>0962-8436</t>
  </si>
  <si>
    <t>1471-2970</t>
  </si>
  <si>
    <t>PHILOS T R SOC B</t>
  </si>
  <si>
    <t>Philos. Trans. R. Soc. B-Biol. Sci.</t>
  </si>
  <si>
    <t>SEP 5</t>
  </si>
  <si>
    <t>10.1098/rstb.2012.0302</t>
  </si>
  <si>
    <t>AA6PO</t>
  </si>
  <si>
    <t>WOS:000331220500007</t>
  </si>
  <si>
    <t>Boch, S; Prati, D; Müller, J; Socher, S; Baumbach, H; Buscot, F; Gockel, S; Hemp, A; Hessenmöller, D; Kalko, EKV; Linsenmair, KE; Pfeiffer, S; Pommer, U; Schöning, I; Schulze, ED; Seilwinder, C; Weisser, WW; Wells, K; Fischer, M</t>
  </si>
  <si>
    <t>Boch, Steffen; Prati, Daniel; Mueller, Joerg; Socher, Stephanie; Baumbach, Henryk; Buscot, Francois; Gockel, Sonja; Hemp, Andreas; Hessenmoeller, Dominik; Kalko, Elisabeth K. V.; Linsenmair, K. Eduard; Pfeiffer, Simone; Pommer, Ulf; Schoening, Ingo; Schulze, Ernst-Detlef; Seilwinder, Claudia; Weisser, Wolfgang W.; Wells, Konstans; Fischer, Markus</t>
  </si>
  <si>
    <t>High plant species richness indicates management-related disturbances rather than the conservation status of forests</t>
  </si>
  <si>
    <t>BASIC AND APPLIED ECOLOGY</t>
  </si>
  <si>
    <t>Biodiversity Exploratories; Coniferous plantations; Disturbance; Ellenberg indicator values; Forest management; Selection vs. age-class forests; Silviculture; Standing biomass; Typical forest species; Unmanaged vs. managed forests</t>
  </si>
  <si>
    <t>HERB LAYER VEGETATION; DECIDUOUS FORESTS; OAK FORESTS; BIODIVERSITY; DIVERSITY; RESTORATION; TEMPERATE; COLONIZATION; SELECTION; BEECH</t>
  </si>
  <si>
    <t>There is a wealth of smaller-scale studies on the effects of forest management on plant diversity. However, studies comparing plant species diversity in forests with different management types and intensity, extending over different regions and forest stages, and including detailed information on site conditions are missing. We studied vascular plants on 1500 20 m x 20 m forest plots in three regions of Germany (Schwabische Alb, Hainich-Dun, Schorfheide-Chorin). In all regions, our study plots comprised different management types (unmanaged, selection cutting, deciduous and coniferous age-class forests, which resulted from clear cutting or shelterwood logging), various stand ages, site conditions, and levels of management-related disturbances. We analyzed how overall richness and richness of different plant functional groups (trees, shrubs, herbs, herbaceous species typically growing in forests and herbaceous light-demanding species) responded to the different management types. On average, plant species richness was 13% higher in age-class than in unmanaged forests, and did not differ between deciduous age-class and selection forests. In age-class forests of the Schwabische Alb and Hainich-Dun, coniferous stands had higher species richness than deciduous stands. Among age-class forests, older stands with large quantities of standing biomass were slightly poorer in shrub and light-demanding herb species than younger stands. Among deciduous forests, the richness of herbaceous forest species was generally lower in unmanaged than in managed forests, and it was even 20% lower in unmanaged than in selection forests in Hainich-Dun. Overall, these findings show that disturbances by management generally increase plant species richness. This suggests that total plant species richness is not suited as an indicator for the conservation status of forests, but rather indicates disturbances.</t>
  </si>
  <si>
    <t>[Boch, Steffen; Prati, Daniel; Socher, Stephanie; Fischer, Markus] Univ Bern, Inst Plant Sci, CH-3013 Bern, Switzerland; [Boch, Steffen; Prati, Daniel; Socher, Stephanie; Fischer, Markus] Univ Bern, Oeschger Ctr, CH-3013 Bern, Switzerland; [Mueller, Joerg; Hemp, Andreas; Pfeiffer, Simone; Pommer, Ulf] Univ Potsdam, Inst Biochem &amp; Biol, D-14469 Potsdam, Germany; [Baumbach, Henryk] Univ Jena, Inst Systemat Bot, D-07743 Jena, Germany; [Buscot, Francois] UFZ Helmholtz Ctr Environm Res, Dept Soil Ecol, D-06120 Halle, Germany; [Buscot, Francois] Univ Leipzig, Inst Bot, D-04103 Leipzig, Germany; [Gockel, Sonja; Seilwinder, Claudia; Weisser, Wolfgang W.] Tech Univ Munich, Chair Terr Ecol, Dept Ecol &amp; Ecosyst Management, D-85354 Freising Weihenstephan, Germany; [Hessenmoeller, Dominik; Schoening, Ingo; Schulze, Ernst-Detlef] Max Planck Inst Biogeochem, D-07745 Jena, Germany; [Kalko, Elisabeth K. V.; Wells, Konstans] Univ Ulm, Inst Expt Ecol, D-89069 Ulm, Germany; [Linsenmair, K. Eduard] Univ Wurzburg, Theodor Boveri Inst Biosci Anim Ecol &amp; Trop Biol, D-97074 Wurzburg, Germany</t>
  </si>
  <si>
    <t>University of Bern; University of Bern; University of Potsdam; Friedrich Schiller University of Jena; Helmholtz Association; Helmholtz Center for Environmental Research (UFZ); Leipzig University; Technical University of Munich; Max Planck Society; Ulm University; University of Wurzburg</t>
  </si>
  <si>
    <t>Boch, S (corresponding author), Univ Bern, Inst Plant Sci, Altenbergrain 21, CH-3013 Bern, Switzerland.</t>
  </si>
  <si>
    <t>steffen.boch@ips.unibe.ch</t>
  </si>
  <si>
    <t>Wells, Konstans/A-7232-2010; Linsenmair, Karl Eduard/Q-2268-2018; Schulze, Ernst-Detlef/K-9627-2014; Weisser, Wolfgang/B-9718-2014; Boch, Steffen/L-5436-2016; Linsenmair, Karl/Q-2268-2018; Schöning, Ingo/D-3341-2009; BUSCOT, Francois/A-4125-2016; Fischer, Markus/C-6411-2008; Buscot, Francois/A-4125-2016</t>
  </si>
  <si>
    <t>Wells, Konstans/0000-0003-0377-2463; Linsenmair, Karl Eduard/0000-0002-2132-8721; Schulze, Ernst-Detlef/0000-0001-6188-9219; Weisser, Wolfgang/0000-0002-2757-8959; Schöning, Ingo/0000-0002-9830-5026; Socher, Stephanie/0000-0002-0090-4005; BUSCOT, Francois/0000-0002-2364-0006; Boch, Steffen/0000-0003-2814-5343;</t>
  </si>
  <si>
    <t>DFG [1374, Fi-1246/6-1]</t>
  </si>
  <si>
    <t>The work has been funded by the DFG Priority Program 1374 Infrastructure - Biodiversity Exploratories (Fi-1246/6-1). Field work permits were issued by the responsible state environmental offices of Baden-Wurttemberg, Thuringen, and Brandenburg (according to 72 BbgNatSchG). We thank all further members of the local implementation teams and the Biodiversity Exploratory Office.</t>
  </si>
  <si>
    <t>1439-1791</t>
  </si>
  <si>
    <t>1618-0089</t>
  </si>
  <si>
    <t>BASIC APPL ECOL</t>
  </si>
  <si>
    <t>Basic Appl. Ecol.</t>
  </si>
  <si>
    <t>10.1016/j.baae.2013.06.001</t>
  </si>
  <si>
    <t>213DX</t>
  </si>
  <si>
    <t>WOS:000324035600006</t>
  </si>
  <si>
    <t>Martínez-Freiría, F; Argaz, H; Fahd, S; Brito, JC</t>
  </si>
  <si>
    <t>Martinez-Freiria, Fernando; Argaz, Hamida; Fahd, Soumia; Brito, Jose C.</t>
  </si>
  <si>
    <t>Climate change is predicted to negatively influence Moroccan endemic reptile richness. Implications for conservation in protected areas</t>
  </si>
  <si>
    <t>NATURWISSENSCHAFTEN</t>
  </si>
  <si>
    <t>Biodiversity; Biomod; Future scenarios; Mediterranean hot spot; Morocco; Mountains</t>
  </si>
  <si>
    <t>SPECIES DISTRIBUTION MODELS; TERRESTRIAL HERPETOFAUNA; RANGE SHIFTS; DISTRIBUTIONS; UNCERTAINTIES; DIVERSITY; POPULATIONS; PERFORMANCE; PROJECTIONS; RESOLUTION</t>
  </si>
  <si>
    <t>The identification of species-rich areas and their prognosticated turnover under climate change are crucial for the conservation of endemic taxa. This study aims to identify areas of reptile endemicity richness in a global biodiversity hot spot (Morocco) under current and future climatic conditions and to investigate the role of protected areas in biodiversity conservation under climate change. Species distribution models (SDM) were performed over the distribution of 21 endemic reptiles, combined to estimate current species richness at 1 x 1 km resolution and projected to years 2050 and 2080 according to distinct story lines and ensemble global circulation models, assuming unlimited and null dispersion ability. Generalized additive models were performed between species richness and geographic characteristics of 43 protected areas. SDM found precipitation as the most important factor related to current species distributions. Important reductions in future suitable areas were predicted for 50 % of species, and four species were identified as highly vulnerable to extinction. Drastic reductions in species-rich areas were predicted for the future, with considerable variability between years and dispersal scenarios. High turnover rates of species composition were predicted for eastern Morocco, whereas low values were forecasted for the Northern Atlantic coast and mountains. Species richness for current and future conditions was significantly related to the altitude and latitude of protected areas. Protected areas located in mountains and/or in the Northern Atlantic coast were identified as refugia, where population monitoring and conservation management is needed.</t>
  </si>
  <si>
    <t>[Martinez-Freiria, Fernando; Brito, Jose C.] Univ Porto, Inst Ciencias Agr Vairao, Ctr Invest Biodiversidade &amp; Recursos Genet, CIBIO,InBIO, P-4485661 Vairao, Portugal; [Argaz, Hamida; Fahd, Soumia] Univ Abdelmalek Essaadi, Dept Biol, Fac Sci, Tetouan, Morocco; [Brito, Jose C.] Fac Ciencias, Dept Biol, P-4169007 Oporto, Portugal</t>
  </si>
  <si>
    <t>Universidade do Porto; Abdelmalek Essaadi University of Tetouan; Universidade do Porto</t>
  </si>
  <si>
    <t>Martínez-Freiría, F (corresponding author), Univ Porto, Inst Ciencias Agr Vairao, Ctr Invest Biodiversidade &amp; Recursos Genet, CIBIO,InBIO, P-4485661 Vairao, Portugal.</t>
  </si>
  <si>
    <t>fmartinez-freiria@cibio.up.pt</t>
  </si>
  <si>
    <t>FAHD, Soumia/L-6196-2013; Martínez-Freiría, Fernando/L-7075-2013; Fahd, Soumia/L-6196-2013; Brito, José/A-7831-2010; Brito, José Carlos/A-7831-2010</t>
  </si>
  <si>
    <t>Martínez-Freiría, Fernando/0000-0003-2311-8960; Fahd, Soumia/0000-0002-4464-4145; Brito, José Carlos/0000-0001-5444-8132</t>
  </si>
  <si>
    <t>Fundacao para a Ciencia e Tecnologia (FCT, Lisbon, Portugal) [POCTI/BIA-BDE/55596/2004]; Cooperation CNRST-FCT; project Biodiversity, Ecology and Global Change; North Portugal Regional Operational Programme under the National Strategic Reference Framework (NSRF) through the European Regional Development Fund (ERDF) [ON.2-O Novo Norte]; FCT [SFRH/BPD/69857/2010]; Fundação para a Ciência e a Tecnologia [SFRH/BPD/69857/2010] Funding Source: FCT</t>
  </si>
  <si>
    <t>Fundacao para a Ciencia e Tecnologia (FCT, Lisbon, Portugal)(Fundacao para a Ciencia e a Tecnologia (FCT)); Cooperation CNRST-FCT; project Biodiversity, Ecology and Global Change; North Portugal Regional Operational Programme under the National Strategic Reference Framework (NSRF) through the European Regional Development Fund (ERDF); FCT(Fundacao para a Ciencia e a Tecnologia (FCT)); Fundação para a Ciência e a Tecnologia</t>
  </si>
  <si>
    <t>This study was partially supported by project POCTI/BIA-BDE/55596/2004 from Fundacao para a Ciencia e Tecnologia (FCT, Lisbon, Portugal), by Cooperation CNRST-FCT (2008-2009), and by project Biodiversity, Ecology and Global Change cofinanced by North Portugal Regional Operational Programme 2007/2013 (ON.2-O Novo Norte), under the National Strategic Reference Framework (NSRF), through the European Regional Development Fund (ERDF). FMF is supported by FCT (SFRH/BPD/69857/2010). The authors acknowledge M. Barata, D.J. Harris, D. Salvi, S. Ferreira, C. Vale, Z. Boratynski, G. Velo-Anton, P. Sierra, and A. Perez for helping with the fieldwork carried out during 2012 and the four anonymous referees for their comments in the early version of this work.</t>
  </si>
  <si>
    <t>0028-1042</t>
  </si>
  <si>
    <t>Naturwissenschaften</t>
  </si>
  <si>
    <t>10.1007/s00114-013-1088-4</t>
  </si>
  <si>
    <t>208IG</t>
  </si>
  <si>
    <t>WOS:000323670800008</t>
  </si>
  <si>
    <t>Mu, SJ; Zhou, SX; Chen, YZ; Li, JL; Ju, WM; Odeh, IOA</t>
  </si>
  <si>
    <t>Mu, Shaojie; Zhou, Shuangxi; Chen, Yizhao; Li, Jianlong; Ju, Weimin; Odeh, I. O. A.</t>
  </si>
  <si>
    <t>Assessing the impact of restoration-induced land conversion and management alternatives on net primary productivity in Inner Mongolian grassland, China</t>
  </si>
  <si>
    <t>Inner Mongolia grassland; vegetation restoration programs; land use and cover change; net primary productivity; human activities</t>
  </si>
  <si>
    <t>HORQIN SANDY LAND; CARBON SEQUESTRATION; SOIL PROPERTIES; CLIMATE-CHANGE; RELATIVE ROLE; DESERTIFICATION; CROPLAND; ECOLOGY; STEPPE; CLASSIFICATION</t>
  </si>
  <si>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</si>
  <si>
    <t>[Mu, Shaojie; Chen, Yizhao; Li, Jianlong] Nanjing Univ, Sch Life Sci, Nanjing 210093, Jiangsu, Peoples R China; [Zhou, Shuangxi] Macquarie Univ, Dept Biol Sci, Sydney, NSW 2109, Australia; [Ju, Weimin] Nanjing Univ, Int Inst Earth Syst Sci, Nanjing 210093, Jiangsu, Peoples R China; [Odeh, I. O. A.] Univ Sydney, Fac Agr Food &amp; Nat Resources, Sydney, NSW 2006, Australia</t>
  </si>
  <si>
    <t>Nanjing University; Macquarie University; Nanjing University; University of Sydney</t>
  </si>
  <si>
    <t>; Odeh, Inakwu/F-7758-2011</t>
  </si>
  <si>
    <t>Zhou, Shuangxi/0009-0006-5022-3044; Zhou, Shuangxi/0000-0003-2930-2910;</t>
  </si>
  <si>
    <t>key project of Chinese national programs for fundamental research and development (973 program) [2010CB950702]; China's high-tech special projects (863 plan) [2007AA10Z231]; APN project [ARCP2011-06CMY-Li]</t>
  </si>
  <si>
    <t>key project of Chinese national programs for fundamental research and development (973 program)(National Basic Research Program of China); China's high-tech special projects (863 plan); APN project</t>
  </si>
  <si>
    <t>We would like to thank Yongliang You from China Agricultural University and Qiang Li from Inner Mongolia University for their help during the field investigation. This work was supported by the key project of Chinese national programs for fundamental research and development (973 program, 2010CB950702), the China's high-tech special projects (863 plan, No. 2007AA10Z231) and APN project (ARCP2011-06CMY-Li). The constructive comments and suggestions from anonymous reviewers are also highly appreciated.</t>
  </si>
  <si>
    <t>10.1016/j.gloplacha.2013.06.007</t>
  </si>
  <si>
    <t>205UR</t>
  </si>
  <si>
    <t>WOS:000323470800003</t>
  </si>
  <si>
    <t>Norvez, O; Hébert, C; Bélanger, L</t>
  </si>
  <si>
    <t>Norvez, Olivier; Hebert, Christian; Belanger, Louis</t>
  </si>
  <si>
    <t>Impact of salvage logging on stand structure and beetle diversity in boreal balsam fir forest, 20 years after a spruce budworm outbreak</t>
  </si>
  <si>
    <t>Spruce budworm outbreak; Disturbance; Boreal balsam fir forest; Dead wood; Beetle diversity; Ecosystem management</t>
  </si>
  <si>
    <t>SAPROXYLIC BEETLES; DEAD WOOD; MANAGEMENT RECOMMENDATIONS; BIODIVERSITY CONSERVATION; SUSTAINABLE MANAGEMENT; NATURAL-DISTURBANCE; ECOSYSTEM FUNCTION; NATIONAL-PARK; DYNAMICS; ASSEMBLAGES</t>
  </si>
  <si>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</si>
  <si>
    <t>[Norvez, Olivier; Belanger, Louis] Univ Laval, Fac Foresterie Geog &amp; Geomat, Dept Sci Bois &amp; Foret, Quebec City, PQ G1V 0A6, Canada; [Hebert, Christian] Nat Resources Canada, Canadian Forest Serv, Laurentian Forestry Ctr, Stn St Foy, Quebec City, PQ G1V 4C7, Canada</t>
  </si>
  <si>
    <t>Laval University; Natural Resources Canada; Canadian Forest Service</t>
  </si>
  <si>
    <t>Hébert, C (corresponding author), Nat Resources Canada, Canadian Forest Serv, Laurentian Forestry Ctr, Stn St Foy, 1055 PEPS,POB 10380, Quebec City, PQ G1V 4C7, Canada.</t>
  </si>
  <si>
    <t>Christian.Hebert@RNCan-NRCan.gc.ca</t>
  </si>
  <si>
    <t>; Hébert, Christian/M-1922-2015</t>
  </si>
  <si>
    <t>Norvez, Olivier/0000-0001-7696-3493;</t>
  </si>
  <si>
    <t>Fonds quebecois de la recherche sur la nature et les technologies (FQRNT)</t>
  </si>
  <si>
    <t>Fonds quebecois de la recherche sur la nature et les technologies (FQRNT)(Fonds de recherche du Quebec (FRQ)Fonds de recherche du Quebec - Nature et technologies (FRQNT))</t>
  </si>
  <si>
    <t>We thank Ermias T. Azeria, from the Canadian Forest Service of Natural Resources Canada (CFS-NRCan), and Jonathan Boucher J.B.), from Universite Laval, for statistical advice and J.B. for producing the map of the study sites. We also thank Jean-Claude Ruel from Universite Laval, Yan Boulanger from the CFS-NRCan and three anonymous reviewers for their comments on earlier versions of the manuscript. We are grateful to Yves Dubuc of the CFS-NRCan, Francis Belanger, Eric Domaine (CFS students), Daniel Chalifour, Andree Rousseau and Olivier Jeffrey from Universite Laval for technical support, as well as Georges Pelletier, taxonomist at CFS-NRCan for taxonomic training, assistance throughout the identification process and the identification of Staphylinidae. Special thanks to Isabelle Lamarre and Pamela Cheers (NRCan-CFS) for improving the language and editing the manuscript. We thank the Societe des etablissements de plein air du Quebec (Sepaq) and managers of the Forest Montmorency of Universite Laval for providing access to the land and facilitating accommodation. This study was financially supported by the Fonds quebecois de la recherche sur la nature et les technologies (FQRNT).</t>
  </si>
  <si>
    <t>10.1016/j.foreco.2013.03.018</t>
  </si>
  <si>
    <t>168XN</t>
  </si>
  <si>
    <t>WOS:000320741300013</t>
  </si>
  <si>
    <t>Foekema, EM; De Gruijter, C; Mergia, MT; van Franeker, JA; Murk, AJ; Koelmans, AA</t>
  </si>
  <si>
    <t>Foekema, Edwin M.; De Gruijter, Corine; Mergia, Mekuria T.; van Franeker, Jan Andries; Murk, AlberTinka J.; Koelmans, Albert A.</t>
  </si>
  <si>
    <t>Plastic in North Sea Fish</t>
  </si>
  <si>
    <t>STOMACH CONTENTS; MARINE-ENVIRONMENT; DEBRIS; ACCUMULATION; INGESTION; MICROPLASTICS; WATERS; DIET; FOOD</t>
  </si>
  <si>
    <t>To quantify the occurrence of ingested plastic in fish species caught at different geographical positions in the North Sea, and to test whether the fish condition is affected by ingestion of plastics, 1203 individual fish of seven common North Sea species were investigated: herring, gray gurnard, whiting, horse mackerel, haddock, atlantic mackerel, and cod. Plastic particles were found in 2.6% of the examined fish and in five of the seven species. No plastics were found in gray gurnard and mackerel. In most cases, only one particle was found per fish, ranging in size from 0.04 to 4.8 mm. Only particles larger than 0.2 mm, being the diameter of the sieve used, were considered for the data analyses, resulting in a median particle size of 0.8 mm. The frequency of fish with plastic was significantly higher (5.4%) in the southern North Sea, than in the northern North Sea above 55 degrees N (1.2%). The highest frequency (&gt;33%) was found in cod from the English Channel. In addition, small fibers were initially detected in most of the samples, but their abundance sharply decreased when working under special clean air conditions. Therefore, these fibers were considered to be artifacts related to air born contamination and were excluded from the analyses. No relationship was found between the condition factor (size-weight relationship) of the fish and the presence of ingested plastic particles.</t>
  </si>
  <si>
    <t>[Foekema, Edwin M.; De Gruijter, Corine; Mergia, Mekuria T.; Koelmans, Albert A.] IMARES Wageningen UR, Dept Expt Ecol, NL-1780 AB Den Helder, Netherlands; [Mergia, Mekuria T.; Murk, AlberTinka J.] Wageningen Univ, Div Toxicol, NL-6703 HE Wageningen, Netherlands; [De Gruijter, Corine; Koelmans, Albert A.] Wageningen Univ, Dept Environm Sci, Aquat Ecol &amp; Water Qual Management Grp, NL-6700 AA Wageningen, Netherlands; [van Franeker, Jan Andries] IMARES Wageningen UR, Dept Ecosyst, NL-1790 AD Den Burg, Texel, Netherlands</t>
  </si>
  <si>
    <t>Wageningen University &amp; Research; Wageningen University &amp; Research; Wageningen University &amp; Research; Wageningen University &amp; Research</t>
  </si>
  <si>
    <t>Foekema, EM (corresponding author), IMARES Wageningen UR, Dept Expt Ecol, POB 57, NL-1780 AB Den Helder, Netherlands.</t>
  </si>
  <si>
    <t>edwin.foekema@wur.nl</t>
  </si>
  <si>
    <t>; Murk, Albertinka/IUQ-2514-2023; Koelmans, Albert/D-8603-2014; Mergia, Mekuria/KGK-6500-2024</t>
  </si>
  <si>
    <t>Koelmans, Albert/0000-0001-7176-4356; Murk, Albertinka/0000-0002-4881-4236; Foekema, Edwin/0000-0002-8746-5569; Mergia, Mekuria Teshome/0000-0003-4342-7656;</t>
  </si>
  <si>
    <t>AUG 6</t>
  </si>
  <si>
    <t>10.1021/es400931b</t>
  </si>
  <si>
    <t>199RR</t>
  </si>
  <si>
    <t>WOS:000323013400090</t>
  </si>
  <si>
    <t>Blake, JG; Mosquera, D; Salvador, J</t>
  </si>
  <si>
    <t>Blake, J. G.; Mosquera, D.; Salvador, J.</t>
  </si>
  <si>
    <t>Use of mineral licks by mammals and birds in hunted and non-hunted areas of Yasuni National Park, Ecuador</t>
  </si>
  <si>
    <t>ANIMAL CONSERVATION</t>
  </si>
  <si>
    <t>activity patterns; camera trap; Ecuador; hunting; mineral lick; Yasuni</t>
  </si>
  <si>
    <t>MBARACAYU RESERVE; LARGE VERTEBRATES; NATURAL LICKS; GEOPHAGY; CONSERVATION; ALOUATTA; FOREST; SUSTAINABILITY; PATTERNS; PRIMATES</t>
  </si>
  <si>
    <t>Mineral licks are sites where a diverse array of mammals and birds consume soil or drink water, likely for mineral supplementation. Many of those same animals are targets of hunters. Camera traps triggered by heat and motion were used to document use of mineral licks by birds and mammals over approximately 2 months at two lowland forest sites in eastern Ecuador, one that has experienced considerable hunting by indigenous Waorani (four mineral licks) and one that is largely unaffected by hunting (five licks). We obtained 264 photographs representing nine mammal species and one photograph of a bird at the hunted site; 1123 photographs of 12 mammal species and 73 of three bird species were obtained at the site without hunting. Photographs were counted if at least 30min elapsed between photographs of the same species at the same camera location. Activity (photographs/100 trap-days) was higher at all licks at the site without hunting (mean=436; range 276-665/100 trap-days) than at the hunted site (mean=123; range 89-151/100 trap-days). Diurnal activity was, overall, lower at the hunted site, particularly during the middle of the day. Species not recorded at the hunted site included two primates (white-bellied spider monkey Ateles belzebuth; Venezuelan red howler monkey Alouatta seniculus), white-lipped peccary, Tayassu pecari and two large-bodied birds (common piping-guan, Pipile pipile; Salvin's curassow, Mitu salvini); all are common prey of local hunters. Red brocket deer, Mazama americana was the most frequently photographed species at both sites, but was less active during the day at the hunted site.</t>
  </si>
  <si>
    <t>[Blake, J. G.] Univ Florida, Dept Wildlife Ecol &amp; Conservat, Gainesville, FL 32611 USA; [Mosquera, D.] Univ San Francisco Quito, Estn Biodiversidad Tiputini, Quito, Ecuador</t>
  </si>
  <si>
    <t>State University System of Florida; University of Florida; Universidad San Francisco de Quito</t>
  </si>
  <si>
    <t>Blake, JG (corresponding author), Univ Florida, Dept Wildlife Ecol &amp; Conservat, 110 Newins Ziegler Hall,POB 110430, Gainesville, FL 32611 USA.</t>
  </si>
  <si>
    <t>john.blake@ufl.edu</t>
  </si>
  <si>
    <t>Universidad San Francisco de Quito; Pontificia Universidad Catolica de Ecuador; University of Florida</t>
  </si>
  <si>
    <t>Universidad San Francisco de Quito; Pontificia Universidad Catolica de Ecuador; University of Florida(University of Florida)</t>
  </si>
  <si>
    <t>We thank the staff at TBS and YRS who facilitated our work at these sites. We also appreciate the help of Consuelo de Romo in facilitating our work at Tiputini and Pablo Jarrin at YRS. We thank two anonymous reviewers whose suggestions helped improve this manuscript. Support for this study was provided by Universidad San Francisco de Quito, Pontificia Universidad Catolica de Ecuador, and University of Florida. This study was conducted in accordance with research permit no. 0005-FAU-MAE-DPO-PNY, Ministerio del Ambiente, Ecuador.</t>
  </si>
  <si>
    <t>1367-9430</t>
  </si>
  <si>
    <t>1469-1795</t>
  </si>
  <si>
    <t>ANIM CONSERV</t>
  </si>
  <si>
    <t>Anim. Conserv.</t>
  </si>
  <si>
    <t>10.1111/acv.12012</t>
  </si>
  <si>
    <t>200WL</t>
  </si>
  <si>
    <t>WOS:000323101700011</t>
  </si>
  <si>
    <t>Fu, YC; Lu, XY; Zhao, YL; Zeng, XT; Xia, LL</t>
  </si>
  <si>
    <t>Fu, Yingchun; Lu, Xueyu; Zhao, Yaolong; Zeng, Xiantie; Xia, Lili</t>
  </si>
  <si>
    <t>Assessment Impacts of Weather and Land Use/Land Cover (LULC) Change on Urban Vegetation Net Primary Productivity (NPP): A Case Study in Guangzhou, China</t>
  </si>
  <si>
    <t>NPP; spatiotemporal pattern; weather variation; LULC change; effects</t>
  </si>
  <si>
    <t>CLIMATE-CHANGE; ECOSYSTEM SERVICES; SOIL-MOISTURE; TERRESTRIAL; HEALTH; CITY; DEGRADATION; SATELLITE; BENEFITS; PATTERN</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</si>
  <si>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</si>
  <si>
    <t>[Fu, Yingchun; Lu, Xueyu; Zhao, Yaolong; Zeng, Xiantie; Xia, Lili] S China Normal Univ, Sch Geog, Guangzhou 510631, Guangdong, Peoples R China; [Zeng, Xiantie] China RS Geoinformat Co Ltd, Dongguan 523808, Peoples R China</t>
  </si>
  <si>
    <t>South China Normal University</t>
  </si>
  <si>
    <t>Zhao, YL (corresponding author), S China Normal Univ, Sch Geog, Guangzhou 510631, Guangdong, Peoples R China.</t>
  </si>
  <si>
    <t>fuyc@scnu.edu.cn; praymer1007@gmail.com; yaolong@scnu.edu.cn; feandyi@163.com; hslily@163.com</t>
  </si>
  <si>
    <t>Zhao, Yaolong/V-1489-2019</t>
  </si>
  <si>
    <t>National Natural Science Foundation of China [41101152, 40901090]; Scientific Research Foundation for the Returned Overseas Chinese Scholars, State Education Ministry; talents introduced into Universities Foundation of Guangdong Province of China; China Scholarship Council (CSC); Guangdong Province Foundation [C10092]; Scientific Research Foundation of Graduate School of South China Normal University</t>
  </si>
  <si>
    <t>National Natural Science Foundation of China(National Natural Science Foundation of China (NSFC)); Scientific Research Foundation for the Returned Overseas Chinese Scholars, State Education Ministry(Scientific Research Foundation for the Returned Overseas Chinese Scholars); talents introduced into Universities Foundation of Guangdong Province of China; China Scholarship Council (CSC)(China Scholarship Council); Guangdong Province Foundation; Scientific Research Foundation of Graduate School of South China Normal University</t>
  </si>
  <si>
    <t>This work was supported by the National Natural Science Foundation of China (No. 41101152, No. 40901090), the Scientific Research Foundation for the Returned Overseas Chinese Scholars, State Education Ministry, the talents introduced into Universities Foundation of Guangdong Province of China, the China Scholarship Council (CSC) funding 2013, and the universities disciplinary and special construction funds of Guangdong Province Foundation (C10092), the Scientific Research Foundation of Graduate School of South China Normal University.</t>
  </si>
  <si>
    <t>10.3390/rs5084125</t>
  </si>
  <si>
    <t>274SI</t>
  </si>
  <si>
    <t>WOS:000328626100023</t>
  </si>
  <si>
    <t>Li, XH; Tian, HD; Wang, Y; Li, RQ; Song, ZM; Zhang, FC; Xu, M; Li, DM</t>
  </si>
  <si>
    <t>Li, Xinhai; Tian, Huidong; Wang, Yuan; Li, Renqiang; Song, Zengming; Zhang, Fengchun; Xu, Ming; Li, Dianmo</t>
  </si>
  <si>
    <t>Vulnerability of 208 endemic or endangered species in China to the effects of climate change</t>
  </si>
  <si>
    <t>BIOMOD; Climate change; Conservation action plans; Range shift; Vulnerability</t>
  </si>
  <si>
    <t>INDUCED RANGE SHIFTS; PREDICTION UNCERTAINTY; POTENTIAL IMPACTS; DISTRIBUTIONS; MODELS; CLASSIFICATION; AREAS; WILL</t>
  </si>
  <si>
    <t>We assessed the vulnerability of 208 endemic or endangered species in China to the effects of climate change, as a part of the project Research on China's National Biodiversity and Climate Change Strategy and Action Plans. Based on the China Species Information System, we selected comprehensive species as analysis targets, covering taxa including mammals, birds, reptiles, amphibians and plants. We applied nine species distribution models in BIOMOD (a package of R software) to estimate the current (1991-2010) ranges and predicted future (2081-2100) ranges of these species, using six climate variables based on Regional Climate Model version 3 (RegCM3) and A1B emission scenario. The model results showed that different taxa might show diverse potential range shifts over time. The range sizes of half of the species (104 species) would decrease, and those of another half would increase. We predicted that the future remaining ranges (intersection of current and future ranges/current ranges) of 135 species would be less than 50 % of their current range sizes. Species that are both endemic and critically endangered would lose more of their range than others. In summary, the most vulnerable species are currently found on the Qinghai-Tibetan Plateau, in the Hengduan Mountain Range, and southern China. Future action plans dealing with climate change in China should be prepared with consideration for vulnerable species and their habitats.</t>
  </si>
  <si>
    <t>[Li, Xinhai; Tian, Huidong; Wang, Yuan; Li, Dianmo] Chinese Acad Sci, Inst Zool, Key Lab Zool Systemat &amp; Evolut, Beijing 100101, Peoples R China; [Li, Renqiang; Song, Zengming; Xu, Ming] Chinese Acad Sci, Inst Geog Sci &amp; Nat Resources Res, Key Lab Ecosyst Network Observat &amp; Modeling, Beijing 100101, Peoples R China; [Zhang, Fengchun] Minist Environm Protect, Foreign Econ Cooperat Off, Beijing 100035, Peoples R China</t>
  </si>
  <si>
    <t>Chinese Academy of Sciences; Institute of Zoology, CAS; Chinese Academy of Sciences; Institute of Geographic Sciences &amp; Natural Resources Research, CAS</t>
  </si>
  <si>
    <t>Li, XH (corresponding author), Chinese Acad Sci, Inst Zool, Key Lab Zool Systemat &amp; Evolut, 1-5 Beichen West Rd, Beijing 100101, Peoples R China.</t>
  </si>
  <si>
    <t>lixh@ioz.ac.cn</t>
  </si>
  <si>
    <t>Li, Xinhai/G-9111-2011</t>
  </si>
  <si>
    <t>李, 仁强/0000-0002-3959-2221; Li, Xinhai/0000-0003-4514-0149</t>
  </si>
  <si>
    <t>EU-China Biodiversity Program (ECBP); Chinese Academy of Sciences [XDA05080701]; Ministry of Environmental Protection of China [201209027]</t>
  </si>
  <si>
    <t>EU-China Biodiversity Program (ECBP); Chinese Academy of Sciences(Chinese Academy of Sciences); Ministry of Environmental Protection of China</t>
  </si>
  <si>
    <t>This work is a part of the project Research on China national biodiversity and climate change strategy and action plans'', supported by the EU-China Biodiversity Program (ECBP). This study was also supported by the Strategic Priority Research Program of the Chinese Academy of Sciences (XDA05080701) and the Public Welfare Project (201209027) of the Ministry of Environmental Protection of China. We thank anonymous reviewers who provided valuable comments and suggestions.</t>
  </si>
  <si>
    <t>10.1007/s10113-012-0344-z</t>
  </si>
  <si>
    <t>194ZR</t>
  </si>
  <si>
    <t>WOS:000322671700008</t>
  </si>
  <si>
    <t>Murrieta-Galindo, R; González-Romero, A; López-Barrera, F; Parra-Olea, G</t>
  </si>
  <si>
    <t>Murrieta-Galindo, Rene; Gonzalez-Romero, Alberto; Lopez-Barrera, Fabiola; Parra-Olea, Gabriela</t>
  </si>
  <si>
    <t>Coffee agrosystems: an important refuge for amphibians in central Veracruz, Mexico</t>
  </si>
  <si>
    <t>AGROFORESTRY SYSTEMS</t>
  </si>
  <si>
    <t>Tropical montane cloud forest; Forest conversion; Agroforestry systems; Coffee plantation management</t>
  </si>
  <si>
    <t>HABITAT FRAGMENTATION; POPULATION DECLINES; CLOUD-FOREST; DIVERSITY; CONSERVATION; FROGS; LANDSCAPE; EDGE; BIODIVERSITY; MANAGEMENT</t>
  </si>
  <si>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</si>
  <si>
    <t>[Lopez-Barrera, Fabiola] Inst Ecol, Red Ecol Func, Xalapa 91070, Veracruz, Mexico; [Parra-Olea, Gabriela] Univ Nacl Autonoma Mexico, Inst Biol, Dept Zool, Mexico City 04510, DF, Mexico</t>
  </si>
  <si>
    <t>Instituto de Ecologia - Mexico; Universidad Nacional Autonoma de Mexico</t>
  </si>
  <si>
    <t>Murrieta-Galindo, R (corresponding author), Inst Ecol, Red Biol &amp; Conservac Vertebrados, Carretera Antigua Coatepec 351,AP 63, Xalapa 91070, Veracruz, Mexico.</t>
  </si>
  <si>
    <t>murrieta13@gmail.com</t>
  </si>
  <si>
    <t>López-Barrera, Fabiola/Q-6271-2018; Murrieta-Galindo, Rene/J-6093-2016; Murrieta-Galindo, Rene/M-6426-2019; González-Romero, Alberto/Q-6701-2018</t>
  </si>
  <si>
    <t>López-Barrera, Fabiola/0000-0002-6092-6230; Murrieta-Galindo, Rene/0000-0001-5555-4455;</t>
  </si>
  <si>
    <t>Consejo Nacional de Ciencia y Tecnologia (CONACyT) [165879]</t>
  </si>
  <si>
    <t>Consejo Nacional de Ciencia y Tecnologia (CONACyT)(Consejo Nacional de Ciencia y Tecnologia (CONACyT))</t>
  </si>
  <si>
    <t>Rene Murrieta Galindo is grateful to the Consejo Nacional de Ciencia y Tecnologia (CONACyT) for National Doctoral scholarship No. 165879. We thank the Direccion de Vida Silvestre office of SEMARNAT for permits SPGA/DGVS/0265 and SPGA/DGVS/05892/08 allowing us to collect, handle and free the amphibians. We are grateful to the owners of the Finca La Onza, El Mirador, Esmeralda, La Vequia, and the cloud forests, all of which are private properties, for allowing us to sample there. We also thank Ricardo Romero (Las Canadas), and Orlik Gomez Garcia (Santuario del Bosque de Niebla). Rene A. Murrieta Hernandez, Rosalinda Castillo Hernandez and Cynthia Alfaro Martinez provided valuable help in the field and three anonymous reviewers for their valuable comments and suggestions to improve the manuscript. Bianca Delfosse translated the manuscript from the original in Spanish.</t>
  </si>
  <si>
    <t>0167-4366</t>
  </si>
  <si>
    <t>1572-9680</t>
  </si>
  <si>
    <t>AGROFOREST SYST</t>
  </si>
  <si>
    <t>Agrofor. Syst.</t>
  </si>
  <si>
    <t>10.1007/s10457-013-9595-z</t>
  </si>
  <si>
    <t>Agronomy; Forestry</t>
  </si>
  <si>
    <t>Agriculture; Forestry</t>
  </si>
  <si>
    <t>179KN</t>
  </si>
  <si>
    <t>WOS:000321519300004</t>
  </si>
  <si>
    <t>Beketov, MA; Kefford, BJ; Schäfer, RB; Liess, M</t>
  </si>
  <si>
    <t>Beketov, Mikhail A.; Kefford, Ben J.; Schaefer, Ralf B.; Liess, Matthias</t>
  </si>
  <si>
    <t>Pesticides reduce regional biodiversity of stream invertebrates</t>
  </si>
  <si>
    <t>environmental impacts; environmental risk assessment; plant protection products; macroinvertebrates; spatial scale</t>
  </si>
  <si>
    <t>ECOSYSTEM FUNCTIONS; MACROINVERTEBRATES; COMMUNITIES; SALINITY</t>
  </si>
  <si>
    <t>The biodiversity crisis is one of the greatest challenges facing humanity, but our understanding of the drivers remains limited. Thus, after decades of studies and regulation efforts, it remains unknown whether to what degree and at what concentrations modern agricultural pesticides cause regional-scale species losses. We analyzed the effects of pesticides on the regional taxa richness of stream invertebrates in Europe (Germany and France) and Australia (southern Victoria). Pesticides caused statistically significant effects on both the species and family richness in both regions, with losses in taxa up to 42% of the recorded taxonomic pools. Furthermore, the effects in Europe were detected at concentrations that current legislation considers environmentally protective. Thus, the current ecological risk assessment of pesticides falls short of protecting biodiversity, and new approaches linking ecology and ecotoxicology are needed.</t>
  </si>
  <si>
    <t>[Beketov, Mikhail A.; Liess, Matthias] UFZ Helmholtz Ctr Environm Res, Dept Syst Ecotoxicol, D-04318 Leipzig, Germany; [Kefford, Ben J.] Univ Technol Sydney, Ctr Environm Sustainabil, Sch Environm, Sydney, NSW 2007, Australia; [Schaefer, Ralf B.] Univ Koblenz Landau, Inst Environm Sci, D-76829 Landau, Germany</t>
  </si>
  <si>
    <t>Helmholtz Association; Helmholtz Center for Environmental Research (UFZ); University of Technology Sydney; RPTU University Kaiserslautern</t>
  </si>
  <si>
    <t>Beketov, MA (corresponding author), UFZ Helmholtz Ctr Environm Res, Dept Syst Ecotoxicol, D-04318 Leipzig, Germany.</t>
  </si>
  <si>
    <t>mikhail.beketov@ufz.de</t>
  </si>
  <si>
    <t>; Schaefer, Ralf/E-1926-2011; Liess, Matthias/A-8582-2009; Beketov, Mikhail/E-1727-2011; Liess, Matthias/A-8582-2009</t>
  </si>
  <si>
    <t>Schäfer, Ralf B/0000-0003-3510-1701; Kefford, Ben/0000-0001-6789-4254; Liess, Matthias/0000-0002-3321-8909; Liess, Matthias/0000-0002-3321-8909</t>
  </si>
  <si>
    <t>Helmholtz Association of German Research Centers [HRJRG-025]; University of Technology Sydney's International Researcher Development Scheme; Melbourne Water</t>
  </si>
  <si>
    <t>Helmholtz Association of German Research Centers(Helmholtz Association); University of Technology Sydney's International Researcher Development Scheme; Melbourne Water</t>
  </si>
  <si>
    <t>We are grateful to everyone who helped with the fieldwork and the associated chemical analyses. We thank Graham Pyke for valuable comments on the manuscript. This work was supported by the Helmholtz Association of German Research Centers (Project ECOLINK, HRJRG-025). A visit to Germany by B.J.K. was funded by the University of Technology Sydney's International Researcher Development Scheme. Melbourne Water funded the collection of the pesticide data in the Australian study.</t>
  </si>
  <si>
    <t>JUL 2</t>
  </si>
  <si>
    <t>10.1073/pnas.1305618110</t>
  </si>
  <si>
    <t>185OF</t>
  </si>
  <si>
    <t>WOS:000321978000046</t>
  </si>
  <si>
    <t>Vayreda, J; Gracia, M; Martinez-Vilalta, J; Retana, J</t>
  </si>
  <si>
    <t>Vayreda, Jordi; Gracia, Marc; Martinez-Vilalta, Jordi; Retana, Javier</t>
  </si>
  <si>
    <t>Patterns and drivers of regeneration of tree species in forests of peninsular Spain</t>
  </si>
  <si>
    <t>Broadleaved trees; climate warming; conifers; disturbance; ingrowth rate; National Forest Inventory; sapling abundance; shade tolerance; stand structure; water availability</t>
  </si>
  <si>
    <t>OAK SEEDLING SURVIVAL; MEDITERRANEAN FORESTS; VEGETATION SHIFTS; SCOTS PINE; RECRUITMENT; DYNAMICS; VULNERABILITY; VARIABILITY; DROUGHT; GROWTH</t>
  </si>
  <si>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</si>
  <si>
    <t>[Vayreda, Jordi; Gracia, Marc; Martinez-Vilalta, Jordi; Retana, Javier] CREAF, Cerdanyola Del Valles 08193, Spain; [Vayreda, Jordi; Gracia, Marc; Martinez-Vilalta, Jordi; Retana, Javier] Univ Autonoma Barcelona, Cerdanyola Del Valles 08193, Spain</t>
  </si>
  <si>
    <t>Centro de Investigacion Ecologica y Aplicaciones Forestales (CREAF-CERCA); Autonomous University of Barcelona</t>
  </si>
  <si>
    <t>Vayreda, J (corresponding author), CREAF, Cerdanyola Del Valles 08193, Spain.</t>
  </si>
  <si>
    <t>j.vayreda@creaf.uab.es</t>
  </si>
  <si>
    <t>Retana, Javier/L-1214-2014; Retana, Javier/L-1214-2014; Martínez-Vilalta, Jordi/D-3385-2014; Martinez-Vilalta, Jordi/D-3385-2014; Vayreda, Jordi/U-8172-2017</t>
  </si>
  <si>
    <t>Retana, Javier/0000-0002-7505-9467; Retana, Javier/0000-0002-7505-9467; Gracia, Marc/0000-0002-7492-800X; Martinez-Vilalta, Jordi/0000-0002-2332-7298; Vayreda, Jordi/0000-0002-9538-7361</t>
  </si>
  <si>
    <t>CONSOLIDER INGENIO [CSD2008-0040]</t>
  </si>
  <si>
    <t>CONSOLIDER INGENIO(Spanish GovernmentMinistry of Science &amp; Innovation, Spain (MICINN))</t>
  </si>
  <si>
    <t>This study was supported by the CONSOLIDER INGENIO 2010 CSD2008-0040 project. We are very grateful to all persons who made possible the two Spanish forest inventories and, especially, to their main coordinators, Ramon Villaescusa (IFN2) and Jose Antonio Villanueva (IFN3). We thank Llorenc Badiella for statistical advice and Rosa Maria Roman for her help with recent warming data.</t>
  </si>
  <si>
    <t>10.1111/jbi.12105</t>
  </si>
  <si>
    <t>161ES</t>
  </si>
  <si>
    <t>WOS:000320175400005</t>
  </si>
  <si>
    <t>Warren, R; VanDerWal, J; Price, J; Welbergen, JA; Atkinson, I; Ramirez-Villegas, J; Osborn, TJ; Jarvis, A; Shoo, LP; Williams, SE; Lowe, J</t>
  </si>
  <si>
    <t>Warren, R.; VanDerWal, J.; Price, J.; Welbergen, J. A.; Atkinson, I.; Ramirez-Villegas, J.; Osborn, T. J.; Jarvis, A.; Shoo, L. P.; Williams, S. E.; Lowe, J.</t>
  </si>
  <si>
    <t>Quantifying the benefit of early climate change mitigation in avoiding biodiversity loss</t>
  </si>
  <si>
    <t>PROJECTIONS; FUTURE; LIFE</t>
  </si>
  <si>
    <t>Climate change is expected to have significant influences on terrestrial biodiversity at all system levels, including species-level reductions in range size and abundance, especially amongst endemic species(1-6). However, little is known about how mitigation of greenhouse gas emissions could reduce biodiversity impacts, particularly amongst common and widespread species. Our global analysis of future climatic range change of common and widespread species shows that without mitigation, 57 +/- 6% of plants and 34 +/- 7% of animals are likely to lose &gt;= 50% of their present climatic range by the 2080s. With mitigation, however, losses are reduced by 60% if emissions peak in 2016 or 40% if emissions peak in 2030. Thus, our analyses indicate that without mitigation, large range contractions can be expected even amongst common and widespread species, amounting to a substantial global reduction in biodiversity and ecosystem services by the end of this century. Prompt and stringent mitigation, on the other hand, could substantially reduce range losses and buy up to four decades for climate change adaptation.</t>
  </si>
  <si>
    <t>[Warren, R.; Price, J.] Univ E Anglia, Sch Environm Sci, Tyndall Ctr Climate Change Res, Norwich NR4 7TJ, Norfolk, England; [VanDerWal, J.; Welbergen, J. A.; Atkinson, I.; Shoo, L. P.; Williams, S. E.] James Cook Univ, Sch Marine &amp; Trop Biol, Ctr Trop Biodivers &amp; Climate Change, Townsville, Qld 4811, Australia; [VanDerWal, J.; Atkinson, I.] James Cook Univ, Div Res &amp; Innovat, ERes Ctr, Townsville, Qld 4811, Australia; [Ramirez-Villegas, J.; Jarvis, A.] Int Ctr Trop Agr CIAT, Cali 6713, Colombia; [Ramirez-Villegas, J.; Jarvis, A.] CIAT, CGIAR Res Program Climate Change Agr &amp; Food Secur, Cali 6713, Colombia; [Ramirez-Villegas, J.] Univ Leeds, Sch Earth &amp; Environm, Inst Climate &amp; Atmospher Sci ICAS, Leeds LS2 9JT, W Yorkshire, England; [Osborn, T. J.] Univ E Anglia, Sch Environm Sci, Climat Res Unit, Norwich NR4 7TJ, Norfolk, England; [Shoo, L. P.] Univ Queensland, Sch Biol Sci, St Lucia, Qld 4072, Australia; [Lowe, J.] Univ Reading, Dept Meteorol, Met Off Hadley Ctr, Reading EX1 3PB, Berks, England</t>
  </si>
  <si>
    <t>University of East Anglia; James Cook University; James Cook University; Alliance; International Center for Tropical Agriculture - CIAT; CGIAR; Alliance; International Center for Tropical Agriculture - CIAT; University of Leeds; University of East Anglia; University of Queensland; Met Office - UK; Hadley Centre; University of Reading</t>
  </si>
  <si>
    <t>Warren, R (corresponding author), Univ E Anglia, Sch Environm Sci, Tyndall Ctr Climate Change Res, Norwich NR4 7TJ, Norfolk, England.</t>
  </si>
  <si>
    <t>r.warren@uea.ac.uk</t>
  </si>
  <si>
    <t>VanDerWal, Jeremy/C-7457-2009; Willia, Stephen/A-7250-2008; Williams, Stephen/A-7250-2008; Shoo, Luke/A-2715-2009; Warren, Rachel/G-9997-2011; Jarvis, Andy/K-5516-2013; atkinson, ian/H-1806-2011; Osborn, Timothy/E-9740-2011; Lowe, Jason/GQI-4036-2022; Ramirez-Villegas, Julian/AAY-8073-2020; Welbergen, Justin/AGN-0091-2022</t>
  </si>
  <si>
    <t>Willia, Stephen/0000-0002-2510-7408; Jarvis, Andy/0000-0001-6543-0798; Osborn, Timothy/0000-0001-8425-6799; Welbergen, Justin/0000-0002-8085-5759; Warren, Rachel/0000-0002-0122-1599; Atkinson, Ian/0000-0002-2295-6818; Ramirez-Villegas, Julian/0000-0002-8044-583X; VanDerWal, Jeremy/0000-0001-7439-8953;</t>
  </si>
  <si>
    <t>MacArthur Foundation to World Wildlife Fund, US; ARC [DP110104186]; CGIAR Research Program on Climate Change, Agriculture and Food Security (CCAFS); NERC [NE/F016107/1] Funding Source: UKRI; Natural Environment Research Council [NE/F016107/1] Funding Source: researchfish</t>
  </si>
  <si>
    <t>MacArthur Foundation to World Wildlife Fund, US; ARC(Australian Research Council); CGIAR Research Program on Climate Change, Agriculture and Food Security (CCAFS); NERC(UK Research &amp; Innovation (UKRI)Natural Environment Research Council (NERC)); Natural Environment Research Council(UK Research &amp; Innovation (UKRI)Natural Environment Research Council (NERC))</t>
  </si>
  <si>
    <t>We thank the Met Office Hadley Centre and the UK Department of Energy and Climate Change for use of the emission scenarios produced for the AVOID project. We also thank the Global Biodiversity Information Facility (GBIF), in particular T. Robertson, for the support provided during the completion of the analyses presented here. A portion of the funding for the Wallace Initiative came from a grant from the MacArthur Foundation to World Wildlife Fund, US. We wish to acknowledge S. Raper's contribution to the production of the probabilistic climate model. We thank M. Brown at James Cook University for technical assistance. J.A.W. was financially supported, in part, by ARC Discovery Grant DP110104186. J.R-V. and A.J. were partly financially supported by the CGIAR Research Program on Climate Change, Agriculture and Food Security (CCAFS).</t>
  </si>
  <si>
    <t>10.1038/NCLIMATE1887</t>
  </si>
  <si>
    <t>219DR</t>
  </si>
  <si>
    <t>WOS:000324486300025</t>
  </si>
  <si>
    <t>Krausmann, F; Erb, KH; Gingrich, S; Haberl, H; Bondeau, A; Gaube, V; Lauk, C; Plutzar, C; Searchinger, TD</t>
  </si>
  <si>
    <t>Krausmann, Fridolin; Erb, Karl-Heinz; Gingrich, Simone; Haberl, Helmut; Bondeau, Alberte; Gaube, Veronika; Lauk, Christian; Plutzar, Christoph; Searchinger, Timothy D.</t>
  </si>
  <si>
    <t>Global human appropriation of net primary production doubled in the 20th century</t>
  </si>
  <si>
    <t>agriculture; food; land use intensity; resource use; global carbon cycle</t>
  </si>
  <si>
    <t>LAND-USE; PLANETARY BOUNDARIES; TRANSFORMATION; CONSUMPTION; ECOSYSTEMS; BIOSPHERE; PATTERNS; FLOWS</t>
  </si>
  <si>
    <t>Global increases in population, consumption, and gross domestic product raise concerns about the sustainability of the current and future use of natural resources. The human appropriation of net primary production (HANPP) provides a useful measure of human intervention into the biosphere. The productive capacity of land is appropriated by harvesting or burning biomass and by converting natural ecosystems to managed lands with lower productivity. This work analyzes trends in HANPP from 1910 to 2005 and finds that although human population has grown fourfold and economic output 17-fold, global HANPP has only doubled. Despite this increase in efficiency, HANPP has still risen from 6.9 Gt of carbon per y in 1910 to 14.8 GtC/y in 2005, i.e., from 13% to 25% of the net primary production of potential vegetation. Biomass harvested per capita and year has slightly declined despite growth in consumption because of a decline in reliance on bioenergy and higher conversion efficiencies of primary biomass to products. The rise in efficiency is overwhelmingly due to increased crop yields, albeit frequently associated with substantial ecological costs, such as fossil energy inputs, soil degradation, and biodiversity loss. If humans can maintain the past trend lines in efficiency gains, we estimate that HANPP might only grow to 27-29% by 2050, but providing large amounts of bioenergy could increase global HANPP to 44%. This result calls for caution in refocusing the energy economy on land-based resources and for strategies that foster the continuation of increases in land-use efficiency without excessively increasing ecological costs of intensification.</t>
  </si>
  <si>
    <t>[Krausmann, Fridolin; Erb, Karl-Heinz; Gingrich, Simone; Haberl, Helmut; Gaube, Veronika; Lauk, Christian; Plutzar, Christoph] Alpen Adria Univ, Inst Social Ecol Vienna, A-1070 Vienna, Austria; [Bondeau, Alberte] Univ dAvignon Pays Vaucluse, Aix Marseille Univ, CNRS, Inst Rech Dev,Mediterranean Inst Biodivers &amp; Ecol, F-13545 Aix En Provence 04, France; [Bondeau, Alberte] Potsdam Inst Climate Impact Res, D-14412 Potsdam, Germany; [Searchinger, Timothy D.] Princeton Univ, Woodrow Wilson Sch Publ &amp; Int Affairs, Princeton, NJ 08544 USA</t>
  </si>
  <si>
    <t>University of Klagenfurt; Aix-Marseille Universite; Institut de Recherche pour le Developpement (IRD); Centre National de la Recherche Scientifique (CNRS); Potsdam Institut fur Klimafolgenforschung; Princeton University</t>
  </si>
  <si>
    <t>Krausmann, F (corresponding author), Alpen Adria Univ, Inst Social Ecol Vienna, A-1070 Vienna, Austria.</t>
  </si>
  <si>
    <t>fridolin.krausmann@aau.at</t>
  </si>
  <si>
    <t>; Erb, Karlheinz/F-1282-2016; Krausmann, Fridolin/N-1918-2015; Plutzar, Christoph/J-6055-2015; Haberl, Helmut/G-3679-2013; Erb, Karlheinz/F-1282-2016; Bondeau, Alberte/E-9909-2012; Gingrich, Simone/L-4862-2016; Gaube, Veronika/AAB-3097-2020; Lauk, Christian/S-3969-2019</t>
  </si>
  <si>
    <t>Lauk, Christian/0000-0002-4173-1753; Erb, Karlheinz/0000-0002-8335-4159; Gaube, Veronika/0000-0002-1620-0408; Krausmann, Fridolin/0000-0002-9995-2372; Plutzar, Christoph/0000-0003-2041-6399; Haberl, Helmut/0000-0003-2104-5446; Erb, Karlheinz/0000-0002-8335-4159; Bondeau, Alberte/0000-0002-8729-5061; Gingrich, Simone/0000-0001-7891-8688;</t>
  </si>
  <si>
    <t>Austrian Science Funds Projects [P20812-G11, P21012-G11]; European Union [265104]; Social Sciences and Humanities Research Council of Canada; European Research Council [263522]; Austrian Science Fund (FWF) [P27590, P21012] Funding Source: Austrian Science Fund (FWF); European Research Council (ERC) [263522] Funding Source: European Research Council (ERC); Austrian Science Fund (FWF) [P 21012] Funding Source: researchfish</t>
  </si>
  <si>
    <t>Austrian Science Funds Projects; European Union(European Union (EU)); Social Sciences and Humanities Research Council of Canada(Social Sciences &amp; Humanities Research Council of Canada (SSHRC)); European Research Council(European Research Council (ERC)); Austrian Science Fund (FWF)(Austrian Science Fund (FWF)); European Research Council (ERC)(European Research Council (ERC)); Austrian Science Fund (FWF)(Austrian Science Fund (FWF))</t>
  </si>
  <si>
    <t>This work was supported by Austrian Science Funds Projects P20812-G11 and P21012-G11, European Union-Seventh Framework Programme Project 265104 (Visions of Land Use Transitions in Europe), the Social Sciences and Humanities Research Council of Canada, and European Research Council Starting Grant An integrated socio-ecological approach to land-use intensity: Analysing and mapping biophysical stocks/flows and their socioeconomic drivers (LUISE) 263522. This work contributes to the Global Land Project (www.globallandproject.org).</t>
  </si>
  <si>
    <t>JUN 18</t>
  </si>
  <si>
    <t>10.1073/pnas.1211349110</t>
  </si>
  <si>
    <t>179DU</t>
  </si>
  <si>
    <t>WOS:000321500200066</t>
  </si>
  <si>
    <t>Foden, WB; Butchart, SHM; Stuart, SN; Vié, JC; Akçakaya, HR; Angulo, A; DeVantier, LM; Gutsche, A; Turak, E; Cao, L; Donner, SD; Katariya, V; Bernard, R; Holland, RA; Hughes, AF; O'Hanlon, SE; Garnett, ST; Sekercioglu, CH; Mace, GM</t>
  </si>
  <si>
    <t>Foden, Wendy B.; Butchart, Stuart H. M.; Stuart, Simon N.; Vie, Jean-Christophe; Akcakaya, H. Resit; Angulo, Ariadne; DeVantier, Lyndon M.; Gutsche, Alexander; Turak, Emre; Cao, Long; Donner, Simon D.; Katariya, Vineet; Bernard, Rodolphe; Holland, Robert A.; Hughes, Adrian F.; O'Hanlon, Susannah E.; Garnett, Stephen T.; Sekercioglu, Cagan H.; Mace, Georgina M.</t>
  </si>
  <si>
    <t>Identifying the World's Most Climate Change Vulnerable Species: A Systematic Trait-Based Assessment of all Birds, Amphibians and Corals</t>
  </si>
  <si>
    <t>GLOBAL BIODIVERSITY; POPULATION DECLINES; CONSERVATION; ENVELOPE; IMPACTS; RANGE; ADAPTATION; SCENARIOS; MODELS; RATES</t>
  </si>
  <si>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</si>
  <si>
    <t>[Foden, Wendy B.; Katariya, Vineet; Hughes, Adrian F.] Int Union Conservat Nat, Global Species Programme, Cambridge, England; [Foden, Wendy B.] Univ Witwatersrand, Johannesburg, South Africa; [Butchart, Stuart H. M.] BirdLife Int, Science, Cambridge, England; [Stuart, Simon N.] Int Union Conservat Nat, Species Survival Commiss, Gland, Switzerland; [Stuart, Simon N.] World Conservat Monitoring Ctr, United Nations Environm Programme, Cambridge, England; [Stuart, Simon N.] Ain Wildlife Pk &amp; Resort, Al Ain, U Arab Emirates; [Stuart, Simon N.] Univ Bath, Dept Biol &amp; Biochem, Bath BA2 7AY, Somerset, England; [Vie, Jean-Christophe; Angulo, Ariadne] Int Union Conservat Nat, Global Species Programme, Gland, Switzerland; [Akcakaya, H. Resit] SUNY Stony Brook, Dept Ecol &amp; Evolut, Stony Brook, NY USA; Leibniz Inst Res Evolut &amp; Biodivers, Museum Nat Kunde, Berlin, Germany; [Turak, Emre] James Cook Univ, Catchment Reef Res Grp, Ctr Trop Water &amp; Aquat Ecosyst Res, Townsville, Qld, Australia; [Turak, Emre] Zhejiang Univ, Dept Earth Sci, Hangzhou 310027, Peoples R China; [Donner, Simon D.] Univ British Columbia, Dept Geog, Vancouver, BC, Canada; [Katariya, Vineet] Univ London Imperial Coll Sci Technol &amp; Med, Ctr Populat Biol, Ascot SL5 7PY, Berks, England; [Holland, Robert A.] Univ Southampton, Ctr Biol Sci, Southampton, Hants, England; [O'Hanlon, Susannah E.] Anglia Ruskin Univ, Dept Life Sci, Cambridge, England; [Garnett, Stephen T.] Charles Darwin Univ, Res Inst Environm &amp; Livelihoods, Darwin, NT 0909, Australia; [Sekercioglu, Cagan H.] Univ Utah, Dept Biol, Salt Lake City, UT 84112 USA; [Mace, Georgina M.] UCL, Dept Genet Evolut &amp; Environm, Ctr Biodivers &amp; Environm Res, London, England</t>
  </si>
  <si>
    <t>University of Witwatersrand; BirdLife International; University of Bath; State University of New York (SUNY) System; Stony Brook University; Leibniz Institut fur Evolutions und Biodiversitatsforschung; James Cook University; Zhejiang University; University of British Columbia; Imperial College London; University of Southampton; Anglia Ruskin University; Charles Darwin University; Utah System of Higher Education; University of Utah; University of London; University College London</t>
  </si>
  <si>
    <t>Foden, WB (corresponding author), Int Union Conservat Nat, Global Species Programme, Cambridge, England.</t>
  </si>
  <si>
    <t>fodenw@gmail.com</t>
  </si>
  <si>
    <t>; Şekercioğlu, Çağan H/A-1273-2007; Akcakaya, H./A-7830-2008; Mace, Georgina/I-3072-2016; Butchart, Stuart/Y-2711-2018; Holland, Robert/C-1928-2012; Mace, Georgina/I-3072-2016; Sekercioglu, Cagan/A-2331-2013; Garnett, Stephen/M-3877-2013</t>
  </si>
  <si>
    <t>Butchart, Stuart/0000-0002-1140-4049; Şekercioğlu, Çağan H/0000-0003-3193-0377; Mace, Georgina/0000-0001-8965-5211; Holland, Robert/0000-0002-5927-9160; Hughes, Aian/0000-0002-0807-6646; Holland, Robert/0000-0002-3038-9227; Mace, Georgina/0000-0001-8965-5211; Garnett, Stephen/0000-0002-0724-7060</t>
  </si>
  <si>
    <t>John D. and Catherine T. MacArthur Foundation [06-87945-000-GSS]</t>
  </si>
  <si>
    <t>John D. and Catherine T. MacArthur Foundation</t>
  </si>
  <si>
    <t>This study was funded by the John D. and Catherine T. MacArthur Foundation. Grant number: 06-87945-000-GSS (http://www.macfound.org/). In kind contributions were also made by Imperial College London and Conservation International. The funders had no role in study design, data collection and analysis, decision to publish, or preparation of the manuscript.</t>
  </si>
  <si>
    <t>e65427</t>
  </si>
  <si>
    <t>10.1371/journal.pone.0065427</t>
  </si>
  <si>
    <t>163FW</t>
  </si>
  <si>
    <t>WOS:000320322400025</t>
  </si>
  <si>
    <t>Castaldelli, G; Pluchinotta, A; Milardi, M; Lanzoni, M; Giari, L; Rossi, R; Fano, EA</t>
  </si>
  <si>
    <t>Castaldelli, Giuseppe; Pluchinotta, Angela; Milardi, Marco; Lanzoni, Mattia; Giari, Luisa; Rossi, Remigio; Fano, Elisa Anna</t>
  </si>
  <si>
    <t>Introduction of exotic fish species and decline of native species in the lower Po basin, north-eastern Italy</t>
  </si>
  <si>
    <t>endangered species; alien species; fish; biodiversity; water quality; catchment</t>
  </si>
  <si>
    <t>FRESH-WATER FISH; CATFISH SILURUS-GLANIS; EUROPEAN CATFISH; RIVER; REQUIREMENTS; COMMUNITIES; ASSEMBLAGES; TOXICITY; INVASION; PREVENT</t>
  </si>
  <si>
    <t>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t>
  </si>
  <si>
    <t>[Castaldelli, Giuseppe; Pluchinotta, Angela; Lanzoni, Mattia; Giari, Luisa; Rossi, Remigio; Fano, Elisa Anna] Univ Ferrara, Dept Life Sci &amp; Biotechnol, I-44121 Ferrara, Italy; [Milardi, Marco] Univ Helsinki, Dept Biol &amp; Environm Sci, FIN-00014 Helsinki, Finland</t>
  </si>
  <si>
    <t>University of Ferrara; University of Helsinki</t>
  </si>
  <si>
    <t>Pluchinotta, A (corresponding author), Univ Ferrara, Dept Life Sci &amp; Biotechnol, Borsari St 46, I-44121 Ferrara, Italy.</t>
  </si>
  <si>
    <t>angela.pluchinotta@unife.it</t>
  </si>
  <si>
    <t>Fano, Elisa/M-6731-2015; Giari, Luisa/F-5909-2015; Milardi, Marco/ACZ-4214-2022; Lanzoni, Mattia/AAL-5938-2021; Fano, Elisa Anna/M-6731-2015; Castaldelli, Giuseppe/Q-8301-2016</t>
  </si>
  <si>
    <t>Giari, Luisa/0000-0003-1058-0910; Milardi, Marco/0000-0001-6104-294X; Fano, Elisa Anna/0000-0001-8552-9621; Castaldelli, Giuseppe/0000-0001-5954-1133</t>
  </si>
  <si>
    <t>Province of Ferrara</t>
  </si>
  <si>
    <t>This study was made possible by a long-term programme financed by the Province of Ferrara. The authors thank the Director of the Bureau for Wildlife Conservation and Management of the Province of Ferrara, Dr Elisabetta Mantovani, for support and constructive cooperation and Dr Raffaele Barbirati, Dr Ivan Zucconelli, and Dr Elena Rizzati for their work in the sampling campaigns. Dr Roberto Spaggiari and Dr Silvia Franceschini, of the Emilia-Romagna Region Environmental Protection Agency (ARPA-EMR) and Dr Silvia Bignami, of the Division of Ferrara (ARPA-FE) are also thanked for sharing their water quality database. Special thanks go to all the volunteers of the sport angling association ARCI Ferrara who worked in the fishing campaigns, and to its late president, Mr Adriano Zucchini, who recently left us for a better place. Finally, The Lucidus Consultancy is acknowledged for English correction of the manuscript.</t>
  </si>
  <si>
    <t>10.1002/aqc.2345</t>
  </si>
  <si>
    <t>157CQ</t>
  </si>
  <si>
    <t>WOS:000319873700007</t>
  </si>
  <si>
    <t>Ohlberger, J; Otero, J; Edeline, E; Winfield, IJ; Stenseth, NC; Vollestad, LA</t>
  </si>
  <si>
    <t>Ohlberger, Jan; Otero, Jaime; Edeline, Eric; Winfield, Ian J.; Stenseth, Nils Chr; Vollestad, L. Asbjorn</t>
  </si>
  <si>
    <t>Biotic and abiotic effects on cohort size distributions in fish</t>
  </si>
  <si>
    <t>OIKOS</t>
  </si>
  <si>
    <t>PERCA-FLUVIATILIS L; DEPENDENT LIFE-HISTORY; BODY-SIZE; COMMUNITY STRUCTURE; CLASS STRENGTHS; CLIMATE-CHANGE; WINDERMERE; DYNAMICS; POPULATIONS; FOOD</t>
  </si>
  <si>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</si>
  <si>
    <t>[Ohlberger, Jan; Otero, Jaime; Stenseth, Nils Chr; Vollestad, L. Asbjorn] Univ Oslo, Dept Biol, Ctr Ecol &amp; Evolutionary Synth, NO-0316 Oslo, Norway; [Edeline, Eric] Univ Paris 06, UMR 7618, CNRS, Lab Biogeochim &amp; Ecol Milieux Continent, FR-75230 Paris 05, France; [Winfield, Ian J.] Lancaster Environm Ctr, Ctr Ecol &amp; Hydrol, Lancaster LA1 4AP, Lancs, England</t>
  </si>
  <si>
    <t>University of Oslo; AgroParisTech; Centre National de la Recherche Scientifique (CNRS); Institut de Recherche pour le Developpement (IRD); Sorbonne Universite; Universite Paris-Est-Creteil-Val-de-Marne (UPEC); Lancaster University; UK Centre for Ecology &amp; Hydrology (UKCEH)</t>
  </si>
  <si>
    <t>Ohlberger, J (corresponding author), Univ Oslo, Dept Biol, Ctr Ecol &amp; Evolutionary Synth, POB 1066 Blindern, NO-0316 Oslo, Norway.</t>
  </si>
  <si>
    <t>jan.ohlberger@bio.uio.no</t>
  </si>
  <si>
    <t>Otero, Jaime/C-4848-2015; Ohlberger, Jan/H-3262-2019; Stenseth, Nils/G-5212-2016; Vøllestad, Leif/H-7305-2019; Stenseth, Nils Christian/G-5212-2016; Winfield, Ian/I-6085-2012</t>
  </si>
  <si>
    <t>Ohlberger, Jan/0000-0001-6795-240X; Stenseth, Nils Christian/0000-0002-1591-5399; Vøllestad, Leif Asbjørn/0000-0002-9389-7982;</t>
  </si>
  <si>
    <t>Research Council of Norway; Natural Environment Research Council of the UK</t>
  </si>
  <si>
    <t>Research Council of Norway(Research Council of Norway); Natural Environment Research Council of the UK(UK Research &amp; Innovation (UKRI)Natural Environment Research Council (NERC))</t>
  </si>
  <si>
    <t>We thank Janice Fletcher, Ben James and other colleagues for undertaking the field and laboratory work of the Windermere monitoring programme. We are also grateful to the Freshwater Biological Association for their joint stewardship of the long-term Windermere data. Geir Ottersen and Bruno Ernande provided constructive comments that helped to improve the manuscript. The Research Council of Norway and the Natural Environment Research Council of the UK supported this work.</t>
  </si>
  <si>
    <t>0030-1299</t>
  </si>
  <si>
    <t>1600-0706</t>
  </si>
  <si>
    <t>Oikos</t>
  </si>
  <si>
    <t>10.1111/j.1600-0706.2012.19858.x</t>
  </si>
  <si>
    <t>150RJ</t>
  </si>
  <si>
    <t>WOS:000319408300004</t>
  </si>
  <si>
    <t>Suárez, E; Zapata-Ríos, G; Utreras, V; Strindberg, S; Vargas, J</t>
  </si>
  <si>
    <t>Suarez, E.; Zapata-Rios, G.; Utreras, V.; Strindberg, S.; Vargas, J.</t>
  </si>
  <si>
    <t>Controlling access to oil roads protects forest cover, but not wildlife communities: a case study from the rainforest of Yasuni Biosphere Reserve (Ecuador)</t>
  </si>
  <si>
    <t>Hunting; oil extraction; roads; indirect impacts; Amazon; Ecuador; indigenous groups</t>
  </si>
  <si>
    <t>HABITAT FRAGMENTATION; AMAZON; IMPACT; DEFORESTATION; MAMMALS; POPULATIONS; DIVERSITY; PRIMATE; SUSTAINABILITY; VERTEBRATES</t>
  </si>
  <si>
    <t>Through the analysis of a case study from Amazonian Ecuador, this paper evaluates the impacts of two oil-road management approaches on the structure and composition of wildlife communities (large- or medium-sized mammals and game bird species). In a free-access road, where forest has been cleared and fragmented by colonists, fewer species were found, together with wildlife density estimates that were almost 80% lower than on a control site without human disturbance. In contrast, on the road where access control has been enforced, habitat destruction has been minimal, but several wildlife species showed reductions in their populations, apparently related to changes in the subsistence practices of local Waorani hunters that settled along the road after its construction. In this area, economic subsidies and free transportation from the oil companies, access to the road, more efficient hunting technologies, and market incentives have increased the impacts of hunting by the Waorani, resulting in depletion of the local wildlife populations. Our research suggests that construction of roads in oil extraction areas must be avoided if at all possible. The alternative management of controlling access can be effective for short-term habitat protection, but not for wildlife conservation, especially when oil industry practices alter the social dynamics of local indigenous groups.</t>
  </si>
  <si>
    <t>[Suarez, E.] Univ San Francisco de Quito, Colegio Ciencias Biol &amp; Ambientales, Quito, Ecuador; [Zapata-Rios, G.] Univ Florida, Dept Wildlife Ecol &amp; Conservat, Gainesville, FL USA; [Zapata-Rios, G.; Utreras, V.] Wildlife Conservat Soc, Programa Ecuador, Quito, Ecuador; [Strindberg, S.] Wildlife Conservat Soc, Bronx, NY USA; [Vargas, J.] Minist Ambiente Ecuador, Quito, Ecuador</t>
  </si>
  <si>
    <t>Universidad San Francisco de Quito; State University System of Florida; University of Florida; Wildlife Conservation Society</t>
  </si>
  <si>
    <t>Suárez, E (corresponding author), Univ San Francisco de Quito, Colegio Ciencias Biol &amp; Ambientales, Ave Diego de Robles S-N &amp; Interocean, Quito, Ecuador.</t>
  </si>
  <si>
    <t>esuarez@usfq.edu.ec</t>
  </si>
  <si>
    <t>Zapata-Ríos, Galo/H-8722-2019; Suarez, Esteban/AAP-7440-2020</t>
  </si>
  <si>
    <t>Suarez, Esteban/0000-0003-0425-8933; Zapata-Ríos, Galo/0000-0003-3508-5078</t>
  </si>
  <si>
    <t>Betty and Gordon Moore Foundation</t>
  </si>
  <si>
    <t>Betty and Gordon Moore Foundation(Gordon &amp; Betty Moore Foundation)</t>
  </si>
  <si>
    <t>We thank the Ministry of the Environment of Ecuador for permission to conduct this research in Yasuni National Park and the Yasuni Scientific Station for their logistical support during our work along the Maxus road. This study would not have been possible without the field assistance of Eduardo Toral, Javier Torres, Walter Prado and Efren Tenorio. Support for this project was provided by the Betty and Gordon Moore Foundation. This paper was greatly improved with insightful comments by Kelly Swing, Diego Mosquera and two anonymous reviewers.</t>
  </si>
  <si>
    <t>10.1111/j.1469-1795.2012.00592.x</t>
  </si>
  <si>
    <t>154VI</t>
  </si>
  <si>
    <t>WOS:000319703600005</t>
  </si>
  <si>
    <t>Effiom, EO; Nuñez-Iturri, G; Smith, HG; Ottosson, U; Olsson, O</t>
  </si>
  <si>
    <t>Effiom, Edu O.; Nunez-Iturri, Gabriela; Smith, Henrik G.; Ottosson, Ulf; Olsson, Ola</t>
  </si>
  <si>
    <t>Bushmeat hunting changes regeneration of African rainforests</t>
  </si>
  <si>
    <t>PROCEEDINGS OF THE ROYAL SOCIETY B-BIOLOGICAL SCIENCES</t>
  </si>
  <si>
    <t>bushmeat hunting; seedling community; seed dispersal</t>
  </si>
  <si>
    <t>SEED DISPERSAL; DENSITY-DEPENDENCE; TROPICAL FORESTS; RECRUITMENT; COMMUNITY; CONSEQUENCES; LIMITATION; DIVERSITY; PREDATION; ABUNDANCE</t>
  </si>
  <si>
    <t>To assess ecological consequences of bushmeat hunting in African lowland rainforests, we compared paired sites, with high and low hunting pressure, in three areas of southeastern Nigeria. In hunted sites, populations of important seed dispersers-both small and large primates (including the Cross River gorilla, Gorilla gorilla diehli)-were drastically reduced. Large rodents were more abundant in hunted sites, even though they are hunted. Hunted and protected sites had similar mature tree communities dominated by primate-dispersed species. In protected sites, seedling communities were similar in composition to the mature trees, but in hunted sites species with other dispersal modes dominated among seedlings. Seedlings emerging 1 year after clearing of all vegetation in experimental plots showed a similar pattern to the standing seedlings. This study thus verifies the transforming effects of bushmeat hunting on plant communities of tropical forests and is one of the first studies to do so for the African continent.</t>
  </si>
  <si>
    <t>[Effiom, Edu O.; Smith, Henrik G.; Olsson, Ola] Lund Univ, Dept Biol, Biodivers Unit, S-22362 Lund, Sweden; [Effiom, Edu O.] Cross River State Forestry Commiss, Calabar, Nigeria; [Nunez-Iturri, Gabriela] Univ Illinois, Dept Biol Sci, Chicago, IL 60680 USA; [Smith, Henrik G.] Lund Univ, Ctr Environm &amp; Climate Res, S-22362 Lund, Sweden; [Ottosson, Ulf] AP Leventis Ornithol Res Inst, Jos, Nigeria</t>
  </si>
  <si>
    <t>Lund University; University of Illinois System; University of Illinois Chicago; University of Illinois Chicago Hospital; Lund University</t>
  </si>
  <si>
    <t>Olsson, O (corresponding author), Lund Univ, Dept Biol, Biodivers Unit, Ecol Bldg, S-22362 Lund, Sweden.</t>
  </si>
  <si>
    <t>Olsson, Ola/0000-0003-0789-1064; Smith, Henrik/0000-0002-2289-889X</t>
  </si>
  <si>
    <t>We thank two anonymous reviewers for very valuable comments on previous versions of this manuscript. This study was supported by grant no. SWE-2011-030 from Sida to O.O., grants from Kungliga Fysiografiska Sallskapet to E. E. and by grants from Formas to O.O. and H. G. S. E. E. is employed by the Cross River State Forestry Commission and is a PhD student at Lund University. This is contribution no. 62 from A. P. Leventis Ornithological Research Institute.</t>
  </si>
  <si>
    <t>0962-8452</t>
  </si>
  <si>
    <t>1471-2954</t>
  </si>
  <si>
    <t>P ROY SOC B-BIOL SCI</t>
  </si>
  <si>
    <t>Proc. R. Soc. B-Biol. Sci.</t>
  </si>
  <si>
    <t>MAY 22</t>
  </si>
  <si>
    <t>10.1098/rspb.2013.0246</t>
  </si>
  <si>
    <t>124RA</t>
  </si>
  <si>
    <t>WOS:000317482100017</t>
  </si>
  <si>
    <t>Moyle, PB; Kiernan, JD; Crain, PK; Quiñones, RM</t>
  </si>
  <si>
    <t>Moyle, Peter B.; Kiernan, Joseph D.; Crain, Patrick K.; Quinones, Rebecca M.</t>
  </si>
  <si>
    <t>Climate Change Vulnerability of Native and Alien Freshwater Fishes of California: A Systematic Assessment Approach</t>
  </si>
  <si>
    <t>SAN-FRANCISCO ESTUARY; BIODIVERSITY; IMPACTS; DECLINE; THREATS</t>
  </si>
  <si>
    <t>Freshwater fishes are highly vulnerable to human-caused climate change. Because quantitative data on status and trends are unavailable for most fish species, a systematic assessment approach that incorporates expert knowledge was developed to determine status and future vulnerability to climate change of freshwater fishes in California, USA. The method uses expert knowledge, supported by literature reviews of status and biology of the fishes, to score ten metrics for both (1) current status of each species (baseline vulnerability to extinction) and (2) likely future impacts of climate change (vulnerability to extinction). Baseline and climate change vulnerability scores were derived for 121 native and 43 alien fish species. The two scores were highly correlated and were concordant among different scorers. Native species had both greater baseline and greater climate change vulnerability than did alien species. Fifty percent of California's native fish fauna was assessed as having critical or high baseline vulnerability to extinction whereas all alien species were classified as being less or least vulnerable. For vulnerability to climate change, 82% of native species were classified as highly vulnerable, compared with only 19% for aliens. Predicted climate change effects on freshwater environments will dramatically change the fish fauna of California. Most native fishes will suffer population declines and become more restricted in their distributions; some will likely be driven to extinction. Fishes requiring cold water (&lt;22 degrees C) are particularly likely to go extinct. In contrast, most alien fishes will thrive, with some species increasing in abundance and range. However, a few alien species will likewise be negatively affected through loss of aquatic habitats during severe droughts and physiologically stressful conditions present in most waterways during summer. Our method has high utility for predicting vulnerability to climate change of diverse fish species. It should be useful for setting conservation priorities in many different regions.</t>
  </si>
  <si>
    <t>[Moyle, Peter B.; Kiernan, Joseph D.; Crain, Patrick K.; Quinones, Rebecca M.] Univ Calif Davis, Ctr Watershed Sci, Davis, CA 95616 USA; [Moyle, Peter B.; Kiernan, Joseph D.; Crain, Patrick K.; Quinones, Rebecca M.] Univ Calif Davis, Dept Wildlife Fish &amp; Conservat Biol, Davis, CA 95616 USA; [Kiernan, Joseph D.] NOAA, Fisheries Ecol Div, Southwest Fisheries Sci Ctr, Natl Marine Fisheries Serv, Santa Cruz, CA USA; [Crain, Patrick K.] ICF Int, Sacramento, CA USA; [Quinones, Rebecca M.] Tech Univ Munich, Lehrstuhl Aquat Systembiol, Freising Weihenstephan, Germany</t>
  </si>
  <si>
    <t>University of California System; University of California Davis; University of California System; University of California Davis; National Oceanic Atmospheric Admin (NOAA) - USA; Technical University of Munich</t>
  </si>
  <si>
    <t>Moyle, PB (corresponding author), Univ Calif Davis, Ctr Watershed Sci, Davis, CA 95616 USA.</t>
  </si>
  <si>
    <t>pbmoyle@ucdavis.edu</t>
  </si>
  <si>
    <t>Kiernan, Joseph/S-3613-2019</t>
  </si>
  <si>
    <t>California Energy Commission</t>
  </si>
  <si>
    <t>Funding for this work was provided by the California Energy Commission. The funder had no role in study design, data collection and analysis, decision to publish, or preparation of the manuscript. An earlier version of the manuscript is available as a report (CEC-500-2012-028) at http://www.energy.ca.gov/publications.</t>
  </si>
  <si>
    <t>e63883</t>
  </si>
  <si>
    <t>10.1371/journal.pone.0063883</t>
  </si>
  <si>
    <t>163UP</t>
  </si>
  <si>
    <t>WOS:000320362700075</t>
  </si>
  <si>
    <t>Boreux, V; Kushalappa, CG; Vaast, P; Ghazoul, J</t>
  </si>
  <si>
    <t>Boreux, Virginie; Kushalappa, Cheppudira G.; Vaast, Philippe; Ghazoul, Jaboury</t>
  </si>
  <si>
    <t>Interactive effects among ecosystem services and management practices on crop production: Pollination in coffee agroforestry systems</t>
  </si>
  <si>
    <t>Apis; Coffea canephora; India; Tetragonula</t>
  </si>
  <si>
    <t>BIODIVERSITY CONSERVATION; ARABICA; CHALLENGES; LANDSCAPES; CANEPHORA; DIVERSITY; PLANT</t>
  </si>
  <si>
    <t>Crop productivity is improved by ecosystem services, including pollination, but this should be set in the context of trade-offs among multiple management practices. We investigated the impact of pollination services on coffee production, considering variation in fertilization, irrigation, shade cover, and environmental variables such as rainfall (which stimulates coffee flowering across all plantations), soil pH, and nitrogen availability. After accounting for management interventions, bee abundance improved coffee production (number of berries harvested). Some management interventions, such as irrigation, used once to trigger asynchronous flowering, dramatically increased bee abundance at coffee trees. Others, such as the extent and type of tree cover, revealed interacting effects on pollination and, ultimately, crop production. The effects of management interventions, notably irrigation and addition of lime, had, however, far more substantial positive effects on coffee production than tree cover. These results suggest that pollination services matter, but managing the asynchrony of flowering was a more effective tool for securing good pollination than maintaining high shade tree densities as pollinator habitat. Complex interactions across farm and landscape scales, including both management practices and environmental conditions, shape pollination outcomes. Effective production systems therefore require the integrated consideration of management practices in the context of the surrounding habitat structure. This paper points toward a more strategic use of ecosystem services in agricultural systems, where ecosystem services are shaped by the coupling of management interventions and environmental variables.</t>
  </si>
  <si>
    <t>[Boreux, Virginie; Ghazoul, Jaboury] ETH, Inst Terr Ecosyst, Dept Environm Syst Sci, CH-8092 Zurich, Switzerland; [Kushalappa, Cheppudira G.] Univ Agr Sci Bangalore, Coll Forestry, Ponnampet 571216, Kodagu, India; [Vaast, Philippe] Ctr Cooperat Rech Agron Dev, Unite Mixte Rech Ecol Fonct &amp; Biogeochim Sols &amp; A, F-34060 Montpellier 2, France</t>
  </si>
  <si>
    <t>Swiss Federal Institutes of Technology Domain; ETH Zurich; University of Agricultural Sciences Bangalore</t>
  </si>
  <si>
    <t>Ghazoul, J (corresponding author), ETH, Inst Terr Ecosyst, Dept Environm Syst Sci, CH-8092 Zurich, Switzerland.</t>
  </si>
  <si>
    <t>jaboury.ghazoul@env.ethz.ch</t>
  </si>
  <si>
    <t>Kushalappa, Cheppudira/AAY-8491-2020; Ghazoul, Jaboury/B-2121-2018</t>
  </si>
  <si>
    <t>Ghazoul, Jaboury/0000-0002-8319-1636</t>
  </si>
  <si>
    <t>Swiss Centre for International Agriculture; French Institute of Pondicherry</t>
  </si>
  <si>
    <t>We thank the Swiss Centre for International Agriculture and the French Institute of Pondicherry for supporting this study. We thank Prof. Uma Shaanker and Dr. Claude Garcia, who contributed through discussions and comments to the study. This study would not have been possible without the collaboration of the many farmers as well as the many field assistants who worked relentlessly to collect the data, in particular Lavin Madappa. Statistical advice was provided by Christian Cilas and Ernest Hennig.</t>
  </si>
  <si>
    <t>MAY 21</t>
  </si>
  <si>
    <t>10.1073/pnas.1210590110</t>
  </si>
  <si>
    <t>163IE</t>
  </si>
  <si>
    <t>WOS:000320328700029</t>
  </si>
  <si>
    <t>Bioenergy and land use change-state of the art</t>
  </si>
  <si>
    <t>WILEY INTERDISCIPLINARY REVIEWS-ENERGY AND ENVIRONMENT</t>
  </si>
  <si>
    <t>Review</t>
  </si>
  <si>
    <t>Bioenergy projects can lead to direct and indirect land use change (LUC), which can substantially affect greenhouse gas balances with both beneficial and adverse outcomes for bioenergy's contribution to climate change mitigation. The causes behind LUC are multiple, complex, interlinked, and change over time. This makes quantification uncertain and sensitive to many factors that can develop in different directions-including land use productivity, trade patterns, prices and elasticities, and use of by-products associated with biofuels production. Quantifications reported so far vary substantially and do not support the ranking of bioenergy options with regard to LUC and associated emissions. There are however several options for mitigating these emissions, which can be implemented despite the uncertainties. Long-rotation forest management is associated with carbon emissions and sequestration that are not in temporal balance with each other and this leads to mitigation trade-offs between biomass extraction for energy use and the alternative to leave the biomass in the forest. Bioenergy's contribution to climate change mitigation needs to reflect a balance between near-term targets and the long-term objective to hold the increase in global temperature below 2 degrees C (Copenhagen Accord). Although emissions from LUC can be significant in some circumstances, the reality of such emissions is not sufficient reason to exclude bioenergy from the list of worthwhile technologies for climate changemitigation. Policy measures to minimize the negative impacts of LUC should be based on a holistic perspective recognizing the multiple drivers and effects of LUC. (C) 2012 John Wiley &amp; Sons, Ltd.</t>
  </si>
  <si>
    <t>[Berndes, Goran; Borjesson, Pal] Chalmers Univ Technol, Environm &amp; Energy Dept, S-41296 Gothenburg, Sweden; [Ahlgren, Serina] Lund Univ, Dept Technol &amp; Soc, Lund, Sweden; [Cowie, Annette L.] Univ New England, Rural Climate Solut, Armidale, NSW 2351, Australia</t>
  </si>
  <si>
    <t>Berndes, G (corresponding author), Chalmers Univ Technol, Environm &amp; Energy Dept, S-41296 Gothenburg, Sweden.</t>
  </si>
  <si>
    <t>Cowie, Annette/0000-0002-3858-959X; Ahlgren, Serina/0000-0002-0086-8059</t>
  </si>
  <si>
    <t>WILEY PERIODICALS, INC</t>
  </si>
  <si>
    <t>ONE MONTGOMERY ST, SUITE 1200, SAN FRANCISCO, CA 94104 USA</t>
  </si>
  <si>
    <t>2041-8396</t>
  </si>
  <si>
    <t>2041-840X</t>
  </si>
  <si>
    <t>WIRES ENERGY ENVIRON</t>
  </si>
  <si>
    <t>Wiley Interdiscip. Rev. Energy Environ.</t>
  </si>
  <si>
    <t>MAY-JUN</t>
  </si>
  <si>
    <t>Energy &amp; Fuels</t>
  </si>
  <si>
    <t>AQ9WI</t>
  </si>
  <si>
    <t>WOS:000343208300003</t>
  </si>
  <si>
    <t>Dalton, CM; Mokiao-Lee, A; Sakihara, TS; Weber, MG; Roco, CA; Han, Z; Dudley, B; MacKenzie, RA; Hairston, NG</t>
  </si>
  <si>
    <t>Dalton, C. M.; Mokiao-Lee, A.; Sakihara, T. S.; Weber, M. G.; Roco, C. A.; Han, Z.; Dudley, B.; MacKenzie, R. A.; Hairston, N. G., Jr.</t>
  </si>
  <si>
    <t>Density- and trait-mediated top-down effects modify bottom-up control of a highly endemic tropical aquatic food web</t>
  </si>
  <si>
    <t>SHRIMP HALOCARIDINA-RUBRA; FRESH-WATER; GAMBUSIA-AFFINIS; NUTRIENT STOICHIOMETRY; STRUCTURAL COMPLEXITY; PREDATION MORTALITY; FORAGING EFFICIENCY; VERTICAL MIGRATION; STREAM PERIPHYTON; TROPHIC STRUCTURE</t>
  </si>
  <si>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</si>
  <si>
    <t>[Dalton, C. M.; Weber, M. G.; Han, Z.; Hairston, N. G., Jr.] Cornell Univ, Dept Ecol &amp; Evolutionary Biol, Ithaca, NY 14853 USA; [Mokiao-Lee, A.; Sakihara, T. S.] Univ Hawaii, Trop Conservat Biol &amp; Environm Sci Grad Program, Hilo, HI 96720 USA; [Sakihara, T. S.] Dept Land &amp; Nat Resources, Div Aquat Resources, Hilo, HI 96720 USA; [Roco, C. A.] Cornell Univ, Dept Microbiol, Ithaca, NY 14853 USA; [Dudley, B.] Univ Hawaii, Dept Biol, Hilo, HI 96720 USA; [MacKenzie, R. A.] US Forest Serv, USDA, Pacific Southwest Res Stn, Inst Pacific Isl Forestry, Hilo, HI 96720 USA</t>
  </si>
  <si>
    <t>Cornell University; University of Hawaii System; University Hawaii Hilo; Cornell University; University of Hawaii System; University Hawaii Hilo; United States Department of Agriculture (USDA); United States Forest Service</t>
  </si>
  <si>
    <t>Dalton, CM (corresponding author), Cornell Univ, Dept Ecol &amp; Evolutionary Biol, Ithaca, NY 14853 USA.</t>
  </si>
  <si>
    <t>cmd273@cornell.edu</t>
  </si>
  <si>
    <t>Dudley, Bruce/0000-0002-8937-4310; Sakihara, Troy/0000-0002-8944-7153; Roco, Constance Armanda/0000-0001-7748-3846</t>
  </si>
  <si>
    <t>National Science Foundation Centers of Research Excellence in Science and Technology [0833211]; Cornell Univ.</t>
  </si>
  <si>
    <t>National Science Foundation Centers of Research Excellence in Science and Technology; Cornell Univ.</t>
  </si>
  <si>
    <t>We thank M. Takabayashi for collaboration, and L. Mead and T. Holitzki at UHH Analytical Laboratory for water quality sample analysis. We thank C. M. Kearns for assistance analyzing CN samples, J. P. Friel for assistance identifying poeciliids and J. L. Simonis and G. Hooker for assistance with statistical analyses. We thank the instructors and students of the Cornell graduate Hawai'i field course for feedback on methods and the interpretation of results. We also thank Hawai'i Preparatory Academy for accommodations, Cornell Univ. for accommodations of Univ. of Hawai'i, Hilo students, and the Experimental Program to Stimulate Competitive Research Hawai'i for providing travel assistance. We thank D. Chai and Aunty Lei for assistance at the Hualalai Four Seasons and Kona Village Resorts, and the resorts themselves for permitting us access to their properties. This work was partly funded by National Science Foundation Centers of Research Excellence in Science and Technology grant 0833211 and Cornell Univ.</t>
  </si>
  <si>
    <t>10.1111/j.1600-0706.2012.20696.x</t>
  </si>
  <si>
    <t>131GS</t>
  </si>
  <si>
    <t>WOS:000317981400015</t>
  </si>
  <si>
    <t>Khanum, R; Mumtaz, AS; Kumar, S</t>
  </si>
  <si>
    <t>Khanum, Rizwana; Mumtaz, A. S.; Kumar, Sunil</t>
  </si>
  <si>
    <t>Predicting impacts of climate change on medicinal asclepiads of Pakistan using Maxent modeling</t>
  </si>
  <si>
    <t>Climate change; Niche modeling; Maxent; Species distribution modeling; Species vulnerability; Risk analysis</t>
  </si>
  <si>
    <t>SPECIES DISTRIBUTIONS; DISPERSAL; RANGE; BIODIVERSITY; LANDSCAPE; MIGRATION; FUTURE; FOREST; WEST; L.</t>
  </si>
  <si>
    <t>Maximum entropy (Maxent) modeling was used to predict the potential climatic niches of three medicinally important Asclepiad species: Pentatropis spiralis, Tylophora hirsuta, and Vincetoxicum arnottianum. All three species are members of the Asclepiad plant family, yet they differ in ecological requirements, biogeographic importance, and conservation value. Occurrence data were collected from herbarium specimens held in major herbaria of Pakistan and two years (2010 and 2011) of field surveys. The Maxent model performed better than random for the three species with an average test AUC value of 0.74 for P. spiralis, 0.84 for V. arnottianum, and 0.59 for T. hirsuta. Under the future climate change scenario, the Maxent model predicted habitat gains for P. spiralis in southern Punjab and Balochistan, and loss of habitat in south-eastern Sindh. Vincetoxicum arnottianum as well as T hirsuta would gain habitat in upper Peaks of northern parts of Pakistan. T hirsuta is predicted to lose most of the habitats in northern Punjab and in parches from lower peaks of Galliat, Zhob, Qalat etc. The predictive modeling approach presented here may be applied to other rare Asclepiad species, especially those under constant extinction threat. (C) 2013 Elsevier Masson SAS. All rights reserved.</t>
  </si>
  <si>
    <t>[Khanum, Rizwana; Mumtaz, A. S.] Quiad I Azam Univ, Islamabad 44000, Pakistan; [Kumar, Sunil] Colorado State Univ, Nat Resource Ecol Lab, Ft Collins, CO 80523 USA</t>
  </si>
  <si>
    <t>Quaid I Azam University; Colorado State University System; Colorado State University Fort Collins</t>
  </si>
  <si>
    <t>Khanum, R (corresponding author), Quiad I Azam Univ, Islamabad 44000, Pakistan.</t>
  </si>
  <si>
    <t>rizvana.khan@gmail.com; asmumtaz@qau.edu.pk; sunil.kumar@colostate.edu</t>
  </si>
  <si>
    <t>Mumtaz, Abdul/A-1565-2019; Mumtaz, Abdul Samad/A-1565-2019; Kumar, Sunil/A-6730-2009</t>
  </si>
  <si>
    <t>Mumtaz, Abdul Samad/0000-0002-7034-9203;</t>
  </si>
  <si>
    <t>10.1016/j.actao.2013.02.007</t>
  </si>
  <si>
    <t>152NP</t>
  </si>
  <si>
    <t>WOS:000319538700005</t>
  </si>
  <si>
    <t>Van Dijk, TC; Van Staalduinen, MA; Van der Sluijs, JP</t>
  </si>
  <si>
    <t>Van Dijk, Tessa C.; Van Staalduinen, Marja A.; Van der Sluijs, Jeroen P.</t>
  </si>
  <si>
    <t>Macro-Invertebrate Decline in Surface Water Polluted with Imidacloprid</t>
  </si>
  <si>
    <t>ACUTE TOXICITY; NEONICOTINOID INSECTICIDES; SYSTEMIC INSECTICIDE; RISK-ASSESSMENT; HONEY-BEES; PESTICIDES; EXPOSURE; FIPRONIL; ECOSYSTEMS</t>
  </si>
  <si>
    <t>Imidacloprid is one of the most widely used insecticides in the world. Its concentration in surface water exceeds the water quality norms in many parts of the Netherlands. Several studies have demonstrated harmful effects of this neonicotinoid to a wide range of non-target species. Therefore we expected that surface water pollution with imidacloprid would negatively impact aquatic ecosystems. Availability of extensive monitoring data on the abundance of aquatic macro-invertebrate species, and on imidacloprid concentrations in surface water in the Netherlands enabled us to test this hypothesis. Our regression analysis showed a significant negative relationship (P&lt;0.001) between macro-invertebrate abundance and imidacloprid concentration for all species pooled. A significant negative relationship was also found for the orders Amphipoda, Basommatophora, Diptera, Ephemeroptera and Isopoda, and for several species separately. The order Odonata had a negative relationship very close to the significance threshold of 0.05 (P &lt;0.051). However, in accordance with previous research, a positive relationship was found for the order Actinedida. We used the monitoring field data to test whether the existing three water quality norms for imidacloprid in the Netherlands are protective in real conditions. Our data show that macrofauna abundance drops sharply between 13 and 67 ng l(-1). For aquatic ecosystem protection, two of the norms are not protective at all while the strictest norm of 13 ng l(-1) (MTR) seems somewhat protective. In addition to the existing experimental evidence on the negative effects of imidacloprid on invertebrate life, our study, based on data from large-scale field monitoring during multiple years, shows that serious concern about the far-reaching consequences of the abundant use of imidacloprid for aquatic ecosystems is justified.</t>
  </si>
  <si>
    <t>[Van Dijk, Tessa C.; Van Staalduinen, Marja A.; Van der Sluijs, Jeroen P.] Univ Utrecht, Utrecht, Netherlands</t>
  </si>
  <si>
    <t>Utrecht University</t>
  </si>
  <si>
    <t>Van der Sluijs, JP (corresponding author), Univ Utrecht, Utrecht, Netherlands.</t>
  </si>
  <si>
    <t>j.p.vandersluijs@uu.nl</t>
  </si>
  <si>
    <t>van der Sluijs, Jeroen P/B-6302-2008; van der Sluijs, Jeroen/B-6302-2008</t>
  </si>
  <si>
    <t>van der Sluijs, Jeroen P/0000-0002-1346-5953;</t>
  </si>
  <si>
    <t>TVD; MVS; Triodos Foundation's Support Fund for Independent Research on Bee Decline and Systemic Pesticides; Adessium Foundation (The Netherlands); Act Beyond Trust (Japan); Universiteit Utrecht (Netherlands); Stichting Triodos Foundation (The Netherlands); Gesellschaft fur Schmetterlingsschutz (Germany); Gravin van Bylandt Stichting (The Netherlands); Zukunft Stiftung Landwirtschaft (Germany); Beekeepers Union ABTB (Netherlands); Study Association Storm (Student Association Environmental Sciences Utrecht University)</t>
  </si>
  <si>
    <t>TVD; MVS; Triodos Foundation's Support Fund for Independent Research on Bee Decline and Systemic Pesticides; Adessium Foundation (The Netherlands)(Netherlands Government); Act Beyond Trust (Japan); Universiteit Utrecht (Netherlands); Stichting Triodos Foundation (The Netherlands)(Netherlands Government); Gesellschaft fur Schmetterlingsschutz (Germany); Gravin van Bylandt Stichting (The Netherlands)(Netherlands Government); Zukunft Stiftung Landwirtschaft (Germany); Beekeepers Union ABTB (Netherlands); Study Association Storm (Student Association Environmental Sciences Utrecht University)</t>
  </si>
  <si>
    <t>Financial support was given to TVD and MVS by the Triodos Foundation's Support Fund for Independent Research on Bee Decline and Systemic Pesticides. This Support Fund has been created from donations by Adessium Foundation (The Netherlands), Act Beyond Trust (Japan), Universiteit Utrecht (Netherlands), Stichting Triodos Foundation (The Netherlands), Gesellschaft fur Schmetterlingsschutz (Germany), M.A.O.C. Gravin van Bylandt Stichting (The Netherlands), Zukunft Stiftung Landwirtschaft (Germany), Beekeepers Union ABTB (Netherlands), Study Association Storm (Student Association Environmental Sciences Utrecht University) and citizens. The funders had no role in study design, data collection and analysis, decision to publish, or preparation of the manuscript.</t>
  </si>
  <si>
    <t>MAY 1</t>
  </si>
  <si>
    <t>e62374</t>
  </si>
  <si>
    <t>10.1371/journal.pone.0062374</t>
  </si>
  <si>
    <t>147KY</t>
  </si>
  <si>
    <t>WOS:000319167000043</t>
  </si>
  <si>
    <t>Cabral, JS; Jeltsch, F; Thuiller, W; Higgins, S; Midgley, GF; Rebelo, AG; Rouget, M; Schurr, FM</t>
  </si>
  <si>
    <t>Cabral, Juliano Sarmento; Jeltsch, Florian; Thuiller, Wilfried; Higgins, Steven; Midgley, Guy F.; Rebelo, Anthony G.; Rouget, Mathieu; Schurr, Frank M.</t>
  </si>
  <si>
    <t>Impacts of past habitat loss and future climate change on the range dynamics of South African Proteaceae</t>
  </si>
  <si>
    <t>biodiversity refugia; CFR Proteaceae; climate change; demographic properties; habitat loss; local abundances; process-based range models; range filling; range size; species distribution models</t>
  </si>
  <si>
    <t>CAPE FLORISTIC REGION; PLANT MIGRATION RATES; SPECIES DISTRIBUTIONS; BIODIVERSITY HOTSPOT; GLOBAL BIODIVERSITY; EXTINCTION RISK; LAND-USE; DISPERSAL; PERSISTENCE; SHIFTS</t>
  </si>
  <si>
    <t>Aim To assess how habitat loss and climate change interact in affecting the range dynamics of species and to quantify how predicted range dynamics depend on demographic properties of species and the severity of environmental change. Location South African Cape Floristic Region. Methods We use data-driven demographic models to assess the impacts of past habitat loss and future climate change on range size, range filing and abundances of eight species of woody plants (Proteaceae). The species-specific models employ a hybrid approach that simulates population dynamics and long-distance dispersal on top of expected spatio-temporal dynamics of suitable habitat. Results Climate change was mainly predicted to reduce range size and range filling (because of a combination of strong habitat shifts with low migration ability). In contrast, habitat loss mostly decreased mean local abundance. For most species and response measures, the combination of habitat loss and climate change had the most severe effect. Yet, this combined effect was mostly smaller than expected from adding or multiplying effects of the individual environmental drivers. This seems to be because climate change shifts suitable habitats to regions less affected by habitat loss. Interspecific variation in range size responses depended mostly on the severity of environmental change, whereas responses in range filling and local abundance depended mostly on demographic properties of species. While most surviving populations concentrated in areas that remain climatically suitable, refugia for multiple species were overestimated by simply overlying habitat models and ignoring demography. Main conclusions Demographic models of range dynamics can simultaneously predict the response of range size, abundance and range filling to multiple drivers of environmental change. Demographic knowledge is particularly needed to predict abundance responses and to identify areas that can serve as biodiversity refugia under climate change. These findings highlight the need for data-driven, demographic assessments in conservation biogeography.</t>
  </si>
  <si>
    <t>[Cabral, Juliano Sarmento; Jeltsch, Florian; Schurr, Frank M.] Univ Potsdam, Inst Biochem &amp; Biol, D-14469 Potsdam, Germany; [Cabral, Juliano Sarmento] Univ Gottingen, D-37077 Gottingen, Germany; [Thuiller, Wilfried] Univ Grenoble 1, Lab Ecol Alpine, UMR CNRS 5553, F-38041 Grenoble 9, France; [Higgins, Steven] Goethe Univ Frankfurt, Inst Phys Geog, D-60438 Frankfurt, Germany; [Midgley, Guy F.; Rebelo, Anthony G.] South African Natl Biodivers Inst, ZA-7735 Cape Town, South Africa; [Midgley, Guy F.] Univ Kwazulu Natal, Sch Agr Earth &amp; Environm Sci, ZA-3209 Scottsville, South Africa; [Rouget, Mathieu] South African Natl Biodivers Inst, Biodivers Planning Unit, Pretoria, South Africa; [Schurr, Frank M.] Univ Montpellier 2, Inst Sci Evolut, UMR 5554, Montpellier 5, France</t>
  </si>
  <si>
    <t>University of Potsdam; University of Gottingen; Communaute Universite Grenoble Alpes; Universite Grenoble Alpes (UGA); Centre National de la Recherche Scientifique (CNRS); Universite Savoie Mont Blanc; CNRS - Institute of Ecology &amp; Environment (INEE); Goethe University Frankfurt; South African National Biodiversity Institute; University of Kwazulu Natal; South African National Biodiversity Institute; Centre National de la Recherche Scientifique (CNRS); Institut de Recherche pour le Developpement (IRD); Universite de Montpellier</t>
  </si>
  <si>
    <t>Cabral, JS (corresponding author), Univ Gottingen, Busgenweg 2, D-37077 Gottingen, Germany.</t>
  </si>
  <si>
    <t>jsarmen@uni-goettingen.de</t>
  </si>
  <si>
    <t>Schurr, Frank/O-6575-2016; Midgley, Guy/H-3585-2014; Sarmento Cabral, Juliano/K-3973-2012; Higgins, Steven/A-5138-2012; Sarmento Cabral, Juliano/K-3973-2012; Rouget, Mathieu/B-7249-2008; Thuiller, Wilfried/G-3283-2010</t>
  </si>
  <si>
    <t>Higgins, Steven/0000-0001-5695-9665; Midgley, Guy/0000-0001-8264-0869; Sarmento Cabral, Juliano/0000-0002-0116-220X; Jeltsch, Florian/0000-0002-4670-6469; Sarmento Cabral, Juliano/0000-0002-0116-220X; Rouget, Mathieu/0000-0002-6172-3152;</t>
  </si>
  <si>
    <t>German Academic Exchange Service (DAAD); German Ministry of Education and Research (BMBF) through Biota Southern Africa [FKZ: 54419938]; Potsdam Graduate School (PoGS); University of Potsdam Graduate Initiative in Ecological Modelling (UPGradE); European Union through Marie Curie Transfer of Knowledge Project FEMMES [MTKD-CT-2006-042261]; German Research Foundation [SCHU 2259/3-1]</t>
  </si>
  <si>
    <t>German Academic Exchange Service (DAAD)(Deutscher Akademischer Austausch Dienst (DAAD)); German Ministry of Education and Research (BMBF) through Biota Southern Africa(Federal Ministry of Education &amp; Research (BMBF)); Potsdam Graduate School (PoGS); University of Potsdam Graduate Initiative in Ecological Modelling (UPGradE); European Union through Marie Curie Transfer of Knowledge Project FEMMES(European Union (EU)); German Research Foundation(German Research Foundation (DFG))</t>
  </si>
  <si>
    <t>We thank David Richardson, William Bond, Jorn Pagel, Carsten Buchmann and three anonymous referees for discussions and comments. J.S.C. was funded by the German Academic Exchange Service (DAAD). We acknowledge support from the German Ministry of Education and Research (BMBF) through Biota Southern Africa (FKZ: 54419938), the Potsdam Graduate School (PoGS), the University of Potsdam Graduate Initiative in Ecological Modelling (UPGradE), the European Union through Marie Curie Transfer of Knowledge Project FEMMES (MTKD-CT-2006-042261) and the German Research Foundation (SCHU 2259/3-1). This is publication ISEM 2012-126 of the Institut des Sciences de l'Evolution de Montpellier. WT thanks the International Research Network (GDRI) project France South Africa -Dynamics of Biodiversity in Southern African Ecosystems and Sustainable Use in the Context of Global Change: Processes and mechanisms involved.</t>
  </si>
  <si>
    <t>10.1111/ddi.12011</t>
  </si>
  <si>
    <t>108VR</t>
  </si>
  <si>
    <t>WOS:000316324800001</t>
  </si>
  <si>
    <t>Gabriel, D; Sait, SM; Kunin, WE; Benton, TG</t>
  </si>
  <si>
    <t>Gabriel, Doreen; Sait, Steven M.; Kunin, William E.; Benton, Tim G.</t>
  </si>
  <si>
    <t>Food production vs. biodiversity: comparing organic and conventional agriculture</t>
  </si>
  <si>
    <t>agri-environment schemes; agro-ecology; conservation; diversity; land sharing; land sparing; landscape; organic farming; wheat; yield</t>
  </si>
  <si>
    <t>DIFFERENT SPATIAL SCALES; FARMLAND BIODIVERSITY; EUROPEAN FARMLAND; LANDSCAPE CONTEXT; FARMING SYSTEMS; LAND; DIVERSITY; YIELD; INTENSIFICATION; COMMUNITIES</t>
  </si>
  <si>
    <t>A substantial proportion of the global land surface is used for agricultural production. Agricultural land serves multiple societal purposes; it provides food, fuel and fibre and also acts as habitat for organisms and supports the services they provide. Biodiversity conservation and food production need to be balanced: production needs to be sustainable, while conservation cannot be totally at the expense of crop yield. To identify the benefits (in terms of biodiversity conservation) and costs (in terms of reduction in yields) of agricultural management, we examined the relationship between crop yield and abundance and species density of important taxa in winter cereal fields on both organic and conventional farms in lowland England. Of eight species groups examined, five (farmland plants, bumblebees, butterflies, solitary bees and epigeal arthropods) were negatively associated with crop yield, but the shape of this relationship varied between taxa. It was linear for the abundance of bumblebees and species density of butterflies, concave up for the abundance of epigeal arthropods and butterflies and concave down for species density of plants and bumblebees. Grain production per unit area was 54% lower in organic compared with conventional fields. When controlling for yield, diversity of bumblebees, butterflies, hoverflies and epigeal arthropods did not differ between farming systems, indicating that observed differences in biodiversity between organic and conventional fields are explained by lower yields in organic fields and not by different management practices per se. Only percentage cover and species density of plants were increased by organic field management after controlling for yield. The abundance of solitary wild bees and hoverflies was increased in landscapes with high amount of organic land. Synthesis and applications. Our results indicate that considerable gains in biodiversity require roughly proportionate reductions in yield in highly productive agricultural systems. They suggest that conservation efforts may be more cost effective in low-productivity agricultural systems or on non-agricultural land. In less productive agricultural landscapes, biodiversity benefit can be gained by concentrating organic farms into hotspots without a commensurate reduction in yield.</t>
  </si>
  <si>
    <t>[Gabriel, Doreen; Sait, Steven M.; Kunin, William E.; Benton, Tim G.] Univ Leeds, Sch Biol, Leeds LS2 9JT, W Yorkshire, England; [Gabriel, Doreen] Fed Res Ctr Cultivated Plants, Julius Kuhn Inst, Inst Crop &amp; Soil Sci, D-38116 Braunschweig, Germany; [Gabriel, Doreen] Fed Res Inst Rural Areas Fisheries &amp; Forestry, Thunen Inst, Inst Biodivers, D-38116 Braunschweig, Germany</t>
  </si>
  <si>
    <t>University of Leeds; Julius Kuhn-Institut; Johann Heinrich von Thunen Institute</t>
  </si>
  <si>
    <t>Gabriel, D (corresponding author), Univ Leeds, Sch Biol, Leeds LS2 9JT, W Yorkshire, England.</t>
  </si>
  <si>
    <t>Doreen.Gabriel@jki.bund.de</t>
  </si>
  <si>
    <t>; Benton, Tim/C-6493-2009; Kunin, William/ADG-8874-2022</t>
  </si>
  <si>
    <t>Sait, Steven/0000-0002-7208-8617; Benton, Tim/0000-0002-7448-1973;</t>
  </si>
  <si>
    <t>UK Research Councils' Rural Economy and Land Use Programme (RELU) [RES-227-25-0006]; British Ecological Society; UKPopNet; Economic and Social Research Council [RES-227-25-0006] Funding Source: researchfish</t>
  </si>
  <si>
    <t>UK Research Councils' Rural Economy and Land Use Programme (RELU); British Ecological Society; UKPopNet; Economic and Social Research Council(UK Research &amp; Innovation (UKRI)Economic &amp; Social Research Council (ESRC))</t>
  </si>
  <si>
    <t>We thank the farmers, the field and laboratory assistants and the RELU SCALE team for collaboration, J. Hodgson for the 2008 butterfly data, U. Schmutz for farm economics data and R. Morris, F. Burger and A. Dietzsch for pollinator ID. Thanks to Janne Bengtsson and one anonymous referee for their critical and helpful comments. The research was funded as part of the UK Research Councils' Rural Economy and Land Use Programme (RELU) (RES-227-25-0006). D. G. was supported by the British Ecological Society and the UKPopNet.</t>
  </si>
  <si>
    <t>10.1111/1365-2664.12035</t>
  </si>
  <si>
    <t>117QX</t>
  </si>
  <si>
    <t>WOS:000316969300009</t>
  </si>
  <si>
    <t>Gallardo, B; Aldridge, DC</t>
  </si>
  <si>
    <t>Gallardo, Belinda; Aldridge, David C.</t>
  </si>
  <si>
    <t>Evaluating the combined threat of climate change and biological invasions on endangered species</t>
  </si>
  <si>
    <t>BIOMOD; Ensemble distribution models; Europe; Random forest; Species distribution models; Species translocation</t>
  </si>
  <si>
    <t>MUSSEL DREISSENA-POLYMORPHA; CRAYFISH PACIFASTACUS-LENIUSCULUS; DEPRESSED-RIVER-MUSSEL; ZEBRA MUSSEL; SIGNAL CRAYFISH; PSEUDANODONTA-COMPLANATA; EXTINCTION RISK; MODELS; DISTRIBUTIONS; UNIONIDAE</t>
  </si>
  <si>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</si>
  <si>
    <t>[Gallardo, Belinda; Aldridge, David C.] Univ Cambridge, Dept Zool, Aquat Ecol Grp, Cambridge CB2 3EJ, England</t>
  </si>
  <si>
    <t>University of Cambridge</t>
  </si>
  <si>
    <t>Gallardo, B (corresponding author), Univ Cambridge, Dept Zool, Aquat Ecol Grp, Downing St, Cambridge CB2 3EJ, England.</t>
  </si>
  <si>
    <t>bg3062@cam.ac.uk</t>
  </si>
  <si>
    <t>Gallardo, Belinda/H-9038-2013</t>
  </si>
  <si>
    <t>Gallardo, Belinda/0000-0002-1552-8233; Alidge, David/0000-0001-9067-8592</t>
  </si>
  <si>
    <t>European Commission [251785]</t>
  </si>
  <si>
    <t>European Commission(European Union (EU)European Commission Joint Research Centre)</t>
  </si>
  <si>
    <t>The research leading to these results has received funding from the European Commission (FP7/2007-2013, Marie Curie IEF program) under Grant agreement No. 251785.</t>
  </si>
  <si>
    <t>10.1016/j.biocon.2013.02.001</t>
  </si>
  <si>
    <t>168DA</t>
  </si>
  <si>
    <t>WOS:000320684700025</t>
  </si>
  <si>
    <t>Mudrák, O; Dolezal, J; Hájek, M; Dancák, M; Klimes, L; Klimesová, J</t>
  </si>
  <si>
    <t>Mudrak, Ondrej; Dolezal, Jiri; Hajek, Michal; Dancak, Martin; Klimes, Leos; Klimesova, Jitka</t>
  </si>
  <si>
    <t>Plant seedlings in a species-rich meadow: effect of management, vegetation type and functional traits</t>
  </si>
  <si>
    <t>APPLIED VEGETATION SCIENCE</t>
  </si>
  <si>
    <t>Bile Karpaty Mountains; Bromus erectus; Calamagrostis epigejos; Litter; Molinia arundinacea; Mowing; Wooded grasslands</t>
  </si>
  <si>
    <t>LITTER; RECRUITMENT; GRASSLANDS; DYNAMICS; DATABASE; PRODUCTIVITY; DISPERSAL</t>
  </si>
  <si>
    <t>Questions (1) How do various mowing regimes used for the preservation of diverse meadow biota affect the occurrence of plant seedlings? (2) Does the effect of mowing regime on seedlings differ among vegetation types? (3) Are the seedlings occurring under a particular management type characterized by distinct functional traits? (4) Do the traits of seedlings differ from those of resident adult plant species? Location White Carpathians (Bile Karpaty) Mountains, Czech Republic. Methods In a species-rich meadow, seedlings (non-graminoids only) were identified to species and counted in an experiment that included management cessation and five mowing regimes in three types of vegetation for 2yr. The abundance-weighted averages of functional traits were compared between seedling and adult plant communities. Results Seedling occurrence was suppressed by management cessation (abandonment) but differences among the five mowing treatments were small for all vegetation types. Seedling density and species richness were highest in vegetation dominated by Bromus erectus, intermediate in vegetation dominated by Molinia arundinacea, and lowest in vegetation dominated by Calamagrostis epigejos. Comparison of functional trait composition of seedlings with that of adult plants revealed that seedlings were largely produced by species with no or limited clonal growth and with low stature, and therefore with lower competitive ability. Conclusions The results indicate that short-term alteration of the mowing regime does not change conditions conducive to seedling occurrence, but even short-term abandonment hinders the establishment of small, non-clonal species. Rapid changes in species composition after abandonment in temperate meadows are therefore due not only to competitive exclusion of subordinate plant species, but also to their inability to establish from seeds.</t>
  </si>
  <si>
    <t>[Mudrak, Ondrej; Dolezal, Jiri; Klimes, Leos; Klimesova, Jitka] Acad Sci Czech Republ, Inst Bot, Sect Plant Ecol, CZ-37982 Trebon, Czech Republic; [Hajek, Michal] Masaryk Univ, Dept Bot &amp; Zool, CZ-61137 Brno, Czech Republic; [Dancak, Martin] Palacky Univ, Fac Sci, Dept Ecol &amp; Environm Sci, CZ-78371 Olomouc, Czech Republic; [Dolezal, Jiri] Univ South Bohemia, Fac Sci, CZ-37005 Ceske Budejovice, Czech Republic</t>
  </si>
  <si>
    <t>Czech Academy of Sciences; Institute of Botany of the Czech Academy of Sciences; Masaryk University; Palacky University Olomouc; University of South Bohemia Ceske Budejovice</t>
  </si>
  <si>
    <t>Mudrák, O (corresponding author), Acad Sci Czech Republ, Inst Bot, Sect Plant Ecol, Dukelska 135, CZ-37982 Trebon, Czech Republic.</t>
  </si>
  <si>
    <t>ondrej.mudrak@centrum.cz; dolezal@butbn.cas.cz; hajek@sci.muni.cz; martin.dancak@upol.cz; klimes@butbn.cas.cz; klimesova@butbn.cas.cz</t>
  </si>
  <si>
    <t>Hájek, Michal/H-1648-2014; Mudrák, Ondřej/H-1614-2014; Doležal, Jiří/H-1583-2014; Klimešová, Jitka/ABC-6307-2020; Dančák, Martin/AAB-9537-2019</t>
  </si>
  <si>
    <t>Hájek, Michal/0000-0002-5201-2682; Mudrák, Ondřej/0000-0001-7775-0414; Dančák, Martin/0000-0002-3851-4969; Dolezal, Jiri/0000-0002-5829-4051;</t>
  </si>
  <si>
    <t>long-term research development project [RVO 67 985 939]; Czech Science Foundation [GA CR 526/09/0963]</t>
  </si>
  <si>
    <t>long-term research development project; Czech Science Foundation(Grant Agency of the Czech Republic)</t>
  </si>
  <si>
    <t>This study was supported by a long-term research development project (no. RVO 67 985 939) and Czech Science Foundation (GA CR 526/09/0963). We thank Dr. B. Jaffee (JaffeeRevises, Bellingham, WA, USA) and J. W. Jongepier for improving the language. This work would not have been possible without cooperation and logistic support of the Bile Karpaty Protected Landscape Area Authority, namely Ivana Jongepierova.</t>
  </si>
  <si>
    <t>1402-2001</t>
  </si>
  <si>
    <t>1654-109X</t>
  </si>
  <si>
    <t>APPL VEG SCI</t>
  </si>
  <si>
    <t>Appl. Veg. Sci.</t>
  </si>
  <si>
    <t>10.1111/avsc.12001</t>
  </si>
  <si>
    <t>100HZ</t>
  </si>
  <si>
    <t>WOS:000315690500013</t>
  </si>
  <si>
    <t>Pia, MV; Renison, D; Mangeaud, A; De Angelo, C; Haro, JG</t>
  </si>
  <si>
    <t>Pia, M. V.; Renison, D.; Mangeaud, A.; De Angelo, C.; Haro, J. G.</t>
  </si>
  <si>
    <t>Occurrence of top carnivores in relation to land protection status, human settlements and rock outcrops in the high mountains of central Argentina</t>
  </si>
  <si>
    <t>JOURNAL OF ARID ENVIRONMENTS</t>
  </si>
  <si>
    <t>Culpeo fox; Generalized linear models; Land use; Poaching; Protected area; Puma; Sign survey</t>
  </si>
  <si>
    <t>JAGUARS PANTHERA-ONCA; MAMMALIAN CARNIVORES; PSEUDALOPEX-CULPAEUS; LANDSCAPE ANALYSIS; FOREST LANDSCAPE; PUMA-CONCOLOR; HABITAT USE; LIVESTOCK; CONSERVATION; ABUNDANCE</t>
  </si>
  <si>
    <t>We evaluated puma (Puma concolor) and culpeo fox (Pseudalopex culpaeus smithersi) occurrence in relation to a national park where livestock was reduced and hunting banned, and in relation to human presence and landscape features. In the high mountains of central Argentina puma signs were about 3.5 times less frequent than culpeo signs. Puma and culpeo signs were 33 and 19 times, respectively, more abundant within than outside the park. Puma signs increased with distance to settlements within the park but no trend was detected outside the park where signs were scarce. Culpeos were abundant all throughout the park with no relation with distance to settlements while outside the park signs increased with distance from settlements. Rock outcrops had a positive effect on pumas, which used this habitat frequently, and negative effect on culpeos, whose presence decreased slightly at sites with the highest proportion of rock outcrops inside the park and sharply at sites with presence of rock outcrops outside the park. We conclude that top carnivores were positively affected by the park creation and encourage the creation of more protected areas with connectivity in the region to better assure the long-term conservation of top predators. (C) 2012 Elsevier Ltd. All rights reserved.</t>
  </si>
  <si>
    <t>[Pia, M. V.] Univ Nacl Cordoba, Fac Ciencias Exactas Fis &amp; Nat, Catedra Estadist &amp; Biometria, Natl Res Council CONICET, RA-5000 Cordoba, Argentina; [Renison, D.] UNC, FCEFyN, Ctr Ecol &amp; Recursos Nat Renovables Dr Ricardo Lut, Cordoba, Argentina; [Renison, D.] Consejo Nacl Invest Cient &amp; Tecn, Inst Invest Biol &amp; Tecnol IIByT, Cordoba, Argentina; [Mangeaud, A.] Univ Nacl Cordoba, Fac Ciencias Exactas Fis &amp; Nat, Catedra Estadist &amp; Biometria, RA-5000 Cordoba, Argentina; [Haro, J. G.] Univ Nacl Cordoba, Fac Ciencias Exactas Fis &amp; Nat, Museo Zool, RA-5000 Cordoba, Argentina</t>
  </si>
  <si>
    <t>National University of Cordoba; National University of Cordoba; Consejo Nacional de Investigaciones Cientificas y Tecnicas (CONICET); National University of Cordoba; National University of Cordoba</t>
  </si>
  <si>
    <t>Pia, MV (corresponding author), Los Pinos 47,X5153AAA San Antonio de Arredondo, Cordoba, Argentina.</t>
  </si>
  <si>
    <t>monicavpia@yahoo.com.ar; drenison@conicet.gov.ar; amangeaud@yahoo.com.ar; carlos.deangelo@conicet.gov.ar; jgharo@yahoo.com</t>
  </si>
  <si>
    <t>; De Angelo, Carlos/JNR-6977-2023; RENISON, DANIEL/AAG-8927-2021</t>
  </si>
  <si>
    <t>Renison, Daniel/0000-0002-1817-6552; Mangeaud, Arnaldo Peo/0000-0002-7370-7256; De Angelo, Carlos/0000-0002-7759-3321;</t>
  </si>
  <si>
    <t>CONICET; Rufford Foundation; Idea Wild; National Parks Administration of Argentina</t>
  </si>
  <si>
    <t>CONICET(Consejo Nacional de Investigaciones Cientificas y Tecnicas (CONICET)); Rufford Foundation; Idea Wild; National Parks Administration of Argentina</t>
  </si>
  <si>
    <t>We are very grateful to the park rangers of Condorito National Park, Carolina Esbry, Susana Dell'Ana and Cristina Pia, who assisted us in the field surveys. National Parks authorities provided permits to conduct the study. Financial support was provided by CONICET, Rufford Foundation, Idea Wild, and National Parks Administration of Argentina. We also thank anonymous reviewers for help and comments on the manuscript.</t>
  </si>
  <si>
    <t>0140-1963</t>
  </si>
  <si>
    <t>1095-922X</t>
  </si>
  <si>
    <t>J ARID ENVIRON</t>
  </si>
  <si>
    <t>J. Arid. Environ.</t>
  </si>
  <si>
    <t>10.1016/j.jaridenv.2012.11.004</t>
  </si>
  <si>
    <t>132GO</t>
  </si>
  <si>
    <t>WOS:000318056100005</t>
  </si>
  <si>
    <t>Sircely, J; Naeem, S</t>
  </si>
  <si>
    <t>Sircely, Jason; Naeem, Shahid</t>
  </si>
  <si>
    <t>Relationships of overstory trees and shrubs with forage species portray ecosystem service interactions in smallholder fallows</t>
  </si>
  <si>
    <t>Ecosystem service interaction; Synergy; Trade-off; Forage quality; Improved fallow; Grazed fallow</t>
  </si>
  <si>
    <t>SOIL FERTILITY MANAGEMENT; TROPICAL AGROECOSYSTEMS; FUNCTIONAL DIVERSITY; RESOURCE QUALITY; ORGANIC-MATTER; PLANTS; FACILITATION; COMMUNITY; FRAMEWORK; RICHNESS</t>
  </si>
  <si>
    <t>Interactions among ecosystem services are increasingly perceived as important to ecosystem service delivery. Synergies and trade-offs among ecosystem services arise through direct ecological interactions or indirectly through correlated responses to other factors. To investigate whether and how interactions of overstory trees and shrubs with livestock forage species growing beneath generate ecosystem service interactions, overstory and forage species were examined in smallholder fallows in western Kenya. In 18 grazed and 21 improved fallows, we estimated biomass and quantified soil properties. We assessed whether the overstory reduces forage biomass and quality through competition, and whether overstory niche complementarity ameliorates competition or enhances facilitation. In improved fallows, forage biomass declined with overstory biomass, indicating competition and a wood-forage trade-off. In grazed fallows, biomass of higher quality forage species increased with overstory biomass, indicating a synergy, likely indirect. Niche complementarity, quantified as taxonomic and functional diversity, did not appear influential. Forage quality was not associated with overstory characteristics, but declined with grazing intensity. The contrasting relationships between overstory and forage species among fallow types appear ultimately attributable to the presence and intensity of grazing and the dense overstory in improved fallows.</t>
  </si>
  <si>
    <t>[Sircely, Jason; Naeem, Shahid] Columbia Univ, Dept Ecol Evolut &amp; Environm Biol, New York, NY 10027 USA</t>
  </si>
  <si>
    <t>Columbia University</t>
  </si>
  <si>
    <t>Sircely, J (corresponding author), Columbia Univ, Dept Ecol Evolut &amp; Environm Biol, 10th Floor Schermerhorn Extens,1200 Amsterdam Ave, New York, NY 10027 USA.</t>
  </si>
  <si>
    <t>jas2162@columbia.edu</t>
  </si>
  <si>
    <t>10.1007/s10457-012-9566-9</t>
  </si>
  <si>
    <t>104PL</t>
  </si>
  <si>
    <t>WOS:000316006500019</t>
  </si>
  <si>
    <t>Zhuravleva, I; Turubanova, S; Potapov, P; Hansen, M; Tyukavina, A; Minnemeyer, S; Laporte, N; Goetz, S; Verbelen, F; Thies, C</t>
  </si>
  <si>
    <t>Zhuravleva, I.; Turubanova, S.; Potapov, P.; Hansen, M.; Tyukavina, A.; Minnemeyer, S.; Laporte, N.; Goetz, S.; Verbelen, F.; Thies, C.</t>
  </si>
  <si>
    <t>Satellite-based primary forest degradation assessment in the Democratic Republic of the Congo, 2000-2010</t>
  </si>
  <si>
    <t>primary forests; intact forest landscapes; deforestation; forest degradation; remote sensing; Landsat; Democratic Republic of the Congo</t>
  </si>
  <si>
    <t>CENTRAL-AFRICA; DEFORESTATION; WORLDS; COVER; CONSERVATION; LANDSCAPES; ECOSYSTEMS; INTACT</t>
  </si>
  <si>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</si>
  <si>
    <t>[Zhuravleva, I.] Greenpeace Russia, Moscow 125040, Russia; [Turubanova, S.; Potapov, P.; Hansen, M.; Tyukavina, A.] Univ Maryland, Dept Geog Sci, College Pk, MD 20742 USA; [Minnemeyer, S.] World Resources Inst, Washington, DC 20002 USA; [Laporte, N.; Goetz, S.] Woods Hole Res Ctr, Falmouth, MA 02540 USA; [Verbelen, F.; Thies, C.] Greenpeace Int, NL-1066 AZ Amsterdam, Netherlands</t>
  </si>
  <si>
    <t>Greenpeace; University System of Maryland; University of Maryland College Park; Woodwell Climate Research Center; Greenpeace</t>
  </si>
  <si>
    <t>Zhuravleva, I (corresponding author), Greenpeace Russia, Leningradsky Prospekt 26-1, Moscow 125040, Russia.</t>
  </si>
  <si>
    <t>ilona.zhuravleva@greenpeace.org</t>
  </si>
  <si>
    <t>; Tyukavina, Alexandra/AGW-0785-2022; Hansen, Matthew/ABE-7226-2020; Goetz, Scott/A-3393-2015; Potapov, Peter/AAE-7388-2019</t>
  </si>
  <si>
    <t>Tyukavina, Alexana/0000-0003-3872-9844; Goetz, Scott/0000-0002-6326-4308; Potapov, Peter/0000-0003-3977-0021; Zhuravleva, Ilona/0000-0001-7897-281X</t>
  </si>
  <si>
    <t>APR-JUN</t>
  </si>
  <si>
    <t>10.1088/1748-9326/8/2/024034</t>
  </si>
  <si>
    <t>178DU</t>
  </si>
  <si>
    <t>WOS:000321425100038</t>
  </si>
  <si>
    <t>Albouy, C; Guilhaumon, F; Leprieur, F; Lasram, FB; Somot, S; Aznar, R; Velez, L; Le Loc'h, F; Mouillot, D</t>
  </si>
  <si>
    <t>Albouy, Camille; Guilhaumon, Francois; Leprieur, Fabien; Lasram, Frida Ben Rais; Somot, Samuel; Aznar, Roland; Velez, Laure; Le Loc'h, Francois; Mouillot, David</t>
  </si>
  <si>
    <t>Projected climate change and the changing biogeography of coastal Mediterranean fishes</t>
  </si>
  <si>
    <t>Body size; climate change; commercial fishing; Mediterranean fish; recreational fishing; species distribution modelling</t>
  </si>
  <si>
    <t>SPECIES DISTRIBUTION MODELS; RANGE SHIFTS; BODY-SIZE; PATTERNS; SEA; DIVERSITY; ASSEMBLAGE; ABUNDANCE; BIOLOGY; FOOD</t>
  </si>
  <si>
    <t>Aim To forecast the potential effects of climate change in the Mediterranean Sea on the species richness and mean body size of coastal fish assemblages. Location The Mediterranean Sea. Methods Using an ensemble forecasting approach, we used species distribution modelling to project the potential distribution of 288 coastal fish species by the middle and end of the 21st century based on the IPCC A2 scenario implemented with the Mediterranean climatic model NEMOMED8. Results A mean rise of 1.4 degrees C was projected for the Mediterranean Sea by the middle of the 21st century and 2.8 degrees C by the end of the 21st century. Projections for the end of the century suggest that: (1) 54 species are expected to lose their climatically suitable habitat, (2) species richness was predicted to decrease across 70.4% of the continental shelf area, especially in the western Mediterranean Sea and several parts of the Aegean Sea, and (3) mean fish body size would increase over 74.8% of the continental shelf area. Small-bodied species that are not targeted by either commercial or recreational fleets presented, on average, the highest predicted decrease in geographic range size. Main conclusions Projected climate change in the Mediterranean Sea may have deleterious effects on coastal fish diversity, including a significant loss of climatically suitable habitat for endemic fish species. In addition, climate change may contribute to the loss of small and low trophic-level fishes, which may have ecosystem-wide impacts by reducing food supply to larger and higher trophic-level species. Fishing pressure is already selectively removing large-bodied species from marine ecosystems, and so fishing and climatic change might act in tandem to drive both direct and secondary extinctions.</t>
  </si>
  <si>
    <t>[Albouy, Camille; Guilhaumon, Francois; Leprieur, Fabien; Velez, Laure; Mouillot, David] CNRS, IRD, IFREMER, Lab Ecol Syst Marins Cotiers,UMR 5119,UM2,ECOSYM, F-34095 Montpellier 5, France; [Albouy, Camille; Le Loc'h, Francois] IFREMER, IRD, Lab Ecosyst Marins Exploites, UMR EME 212,UM2, Sete, France; [Guilhaumon, Francois] Univ Evora, CIBIO, Rui Nabeiro Biodivers Chair, Evora, Portugal; [Lasram, Frida Ben Rais] Inst Natl Agron Tunisie, Lab Ecosyst &amp; Ressources Aquat UR03AGRO1, Tunis, Tunisia; [Somot, Samuel] Meteo France, Ctr Natl Rech Meteorol CNRM GAME, Toulouse, France; [Aznar, Roland] Organismo Publ Puertos Estado, Area Medio Fis, Madrid, Spain; [Mouillot, David] James Cook Univ, ARC Ctr Excellence Coral Reef Studies, Townsville, Qld 4811, Australia</t>
  </si>
  <si>
    <t>Institut de Recherche pour le Developpement (IRD); Centre National de la Recherche Scientifique (CNRS); Ifremer; Universite de Montpellier; Ifremer; Institut de Recherche pour le Developpement (IRD); Universite de Montpellier; University of Evora; Universite de Carthage; Meteo France; Puertos del Estado; James Cook University; ARC Centre of Excellence for Coral Reef Studies</t>
  </si>
  <si>
    <t>Albouy, C (corresponding author), CNRS, IRD, IFREMER, Lab Ecol Syst Marins Cotiers,UMR 5119,UM2,ECOSYM, Pl E Bataillon, F-34095 Montpellier 5, France.</t>
  </si>
  <si>
    <t>albouycamille@gmail.com</t>
  </si>
  <si>
    <t>Guilhaumon, François/C-3240-2009; Le Loc'h, François/A-5038-2008; Leprieur, Fabien/ABA-4433-2020; Mouillot, David/HCH-5670-2022; Somot, Samuel/A-7585-2008; albouy, camille/H-9317-2012</t>
  </si>
  <si>
    <t>Le Loc'h, François/0000-0002-3372-6997; Ben Rais Lasram, Frida/0000-0003-3327-908X; Aznar, Roland/0000-0002-9793-1834; Somot, Samuel/0000-0002-5066-2921; velez, laure/0000-0001-9555-6770; albouy, camille/0000-0003-1629-2389; Guilhaumon, François/0000-0003-4707-8932</t>
  </si>
  <si>
    <t>Total Foundation; 'Fondation pour la Recherche sur la Biodiversite' (project BIODIVMED); Marie Curie International Outgoing Fellowship (FISHECO) [IOF-GA-2009-236316]; project PERSEUS (Policy-oriented marine Environmental Research for the Southern European Seas) [FP7-287600]; Fundacao para a Ciencia e a Tecnologia (Portugal) [PTDC/AAC-AMB/098163/2008]; European Social Fund; Delta Cafes; Fundação para a Ciência e a Tecnologia [PTDC/AAC-AMB/098163/2008] Funding Source: FCT</t>
  </si>
  <si>
    <t>Total Foundation(Total SA); 'Fondation pour la Recherche sur la Biodiversite' (project BIODIVMED); Marie Curie International Outgoing Fellowship (FISHECO)(European Union (EU)); project PERSEUS (Policy-oriented marine Environmental Research for the Southern European Seas); Fundacao para a Ciencia e a Tecnologia (Portugal)(Fundacao para a Ciencia e a Tecnologia (FCT)); European Social Fund(European Social Fund (ESF)); Delta Cafes; Fundação para a Ciência e a Tecnologia(Fundacao para a Ciencia e a Tecnologia (FCT))</t>
  </si>
  <si>
    <t>We thank Regan Early for her constructive comments on the manuscript and language editing. We are grateful to the three anonymous referees for all the remarks and suggestions that improved the manuscript. This work was partly funded by the Total Foundation, the 'Fondation pour la Recherche sur la Biodiversite' (project BIODIVMED). D. M. was supported by a Marie Curie International Outgoing Fellowship (FISHECO) with agreement number IOF-GA-2009-236316. This work was financially supported by project PERSEUS (FP7-287600 - Policy-oriented marine Environmental Research for the Southern European Seas). F. G. was supported by the 'Range Shift' project (PTDC/AAC-AMB/098163/2008) from Fundacao para a Ciencia e a Tecnologia (Portugal), co-financed by the European Social Fund. The 'Rui Nabeiro' Biodiversity Chair is financed by Delta Cafes. The regional climate change scenario of the Mediterranean Sea physics was carried out within the framework of the Spanish PLAYA DEL PALMAT project.</t>
  </si>
  <si>
    <t>10.1111/jbi.12013</t>
  </si>
  <si>
    <t>089PM</t>
  </si>
  <si>
    <t>WOS:000314922500011</t>
  </si>
  <si>
    <t>Domisch, S; Araújo, MB; Bonada, N; Pauls, SU; Jähnig, SC; Haase, P</t>
  </si>
  <si>
    <t>Domisch, Sami; Araujo, Miguel B.; Bonada, Nuria; Pauls, Steffen U.; Jaehnig, Sonja C.; Haase, Peter</t>
  </si>
  <si>
    <t>Modelling distribution in European stream macroinvertebrates under future climates</t>
  </si>
  <si>
    <t>bioclimatic envelope model; BIOMOD; climatically suitable area; endemic species; invertebrates; range shift; river</t>
  </si>
  <si>
    <t>SPECIES DISTRIBUTION MODELS; FRESH-WATER ECOSYSTEMS; GLOBAL BIODIVERSITY; EXTINCTION RATES; COUPLED MODEL; RANGE SHIFTS; LAND-USE; COMMUNITY; IMPACTS; TRENDS</t>
  </si>
  <si>
    <t>Climate change is predicted to have profound effects on freshwater organisms due to rising temperatures and altered precipitation regimes. Using an ensemble of bioclimatic envelope models (BEMs), we modelled the climatic suitability of 191 stream macroinvertebrate species from 12 orders across Europe under two climate change scenarios for 2080 on a spatial resolution of 5 arc minutes. Analyses included assessments of relative changes in species climatically suitable areas as well as their potential shifts in latitude and longitude with respect to species thermal preferences. Climate-change effects were also analysed regarding species ecological and biological groupings, namely (1) endemicity and (2) rarity within European ecoregions, (3) life cycle, (4) stream zonation preference and (5) current preference. The BEMs projected that suitable climate conditions would persist in Europe in the year 2080 for nearly 99% of the modelled species regardless of the climate scenario. Nevertheless, a decrease in the amount of climatically suitable areas was projected for 5759% of the species. Depending on the scenario, losses could be of 3844% on average. The suitable areas for species were projected to shift, on average, 4.76.6 degrees north and 3.95.4 degrees east. Cold-adapted species were projected to lose climatically suitable areas, while gains were expected for warm-adapted species. When projections were analysed for different species groupings, only endemics stood out as a particular group. That is, endemics were projected to lose significantly larger amounts of suitable climatic areas than nonendemic species. Despite the uncertainties involved in modelling exercises such as this, the extent of projected distributional changes reveals further the vulnerability of freshwater organisms to climate change and implies a need to understand the consequences for ecological function and biodiversity conservation.</t>
  </si>
  <si>
    <t>[Domisch, Sami; Pauls, Steffen U.; Jaehnig, Sonja C.; Haase, Peter] Biodivers &amp; Climate Res Ctr BiK F, D-60325 Frankfurt, Germany; [Domisch, Sami; Jaehnig, Sonja C.; Haase, Peter] Senckenberg Res Inst, D-63571 Gelnhausen, Germany; [Domisch, Sami; Jaehnig, Sonja C.; Haase, Peter] Nat Hist Museum Frankfurt, Dept River Ecol &amp; Conservat, D-63571 Gelnhausen, Germany; [Araujo, Miguel B.] CSIC, Natl Museum Nat Sci, Dept Biogeog &amp; Global Change, E-28006 Madrid, Spain; [Araujo, Miguel B.] Univ Copenhagen, Ctr Macroecol Evolut &amp; Climate, DK-2100 Copenhagen, Denmark; [Araujo, Miguel B.] Univ Evora, Rui Nabeiro Biodivers Chair, CIBIO, P-7000 Evora, Portugal; [Bonada, Nuria] Univ Barcelona, Fac Biol, Dept Ecol, Grup Recerca Freshwater Ecol &amp; Management FEM, E-08028 Barcelona, Catalonia, Spain</t>
  </si>
  <si>
    <t>Senckenberg Biodiversitat &amp; Klima- Forschungszentrum (BiK-F); Leibniz Association; Senckenberg Gesellschaft fur Naturforschung (SGN); Leibniz Association; Senckenberg Gesellschaft fur Naturforschung (SGN); Consejo Superior de Investigaciones Cientificas (CSIC); University of Copenhagen; University of Evora; University of Barcelona</t>
  </si>
  <si>
    <t>Domisch, S (corresponding author), Biodivers &amp; Climate Res Ctr BiK F, Senckenberganlage 25, D-60325 Frankfurt, Germany.</t>
  </si>
  <si>
    <t>sami.domisch@senckenberg.de</t>
  </si>
  <si>
    <t>Domisch, Sami/E-5745-2011; Jähnig, Sonja/D-7126-2011; Bonada, Núria/L-5137-2015; Jähnig, Sonja C/D-7126-2011; Haase, Peter/A-5644-2011; Bastos Araújo, Miguel/B-6117-2008; Pauls, Steffen/C-2192-2011; Araújo, Miguel/B-6117-2008</t>
  </si>
  <si>
    <t>Bonada, Núria/0000-0002-2983-3335; Jähnig, Sonja C/0000-0002-6349-9561; Bastos Araújo, Miguel/0000-0002-5107-7265; Domisch, Sami/0000-0002-8127-9335; Pauls, Steffen/0000-0002-6451-3425;</t>
  </si>
  <si>
    <t>research funding programme LOEWE - Landes-Offensive zur Entwicklung Wissenschaftlich-okonomischer Exzellenz of Hesse's Ministry of Higher Education, Research; Arts; German Academic Exchange Service (DAAD); German Research Foundation DFG [HA3431/2-1]; FCT [PTDC/AAC-AMB/98163/2008]; Spanish Research Council (CSIC); 'Rui Nabeiro' Biodiversity Chair; Danish NSF; GUADALMED project [HID98-0323-C05, REN2001-3438-C07]; Spanish Ministry of Science and Technology [70/04/P/E]; Spanish Ministry of Foreign Affairs and Cooperation; BioFresh EU [226874]</t>
  </si>
  <si>
    <t>research funding programme LOEWE - Landes-Offensive zur Entwicklung Wissenschaftlich-okonomischer Exzellenz of Hesse's Ministry of Higher Education, Research; Arts; German Academic Exchange Service (DAAD)(Deutscher Akademischer Austausch Dienst (DAAD)); German Research Foundation DFG(German Research Foundation (DFG)); FCT(Fundacao para a Ciencia e a Tecnologia (FCT)); Spanish Research Council (CSIC)(Consejo Superior de Investigaciones Cientificas (CSIC)); 'Rui Nabeiro' Biodiversity Chair; Danish NSF; GUADALMED project; Spanish Ministry of Science and Technology(Spanish GovernmentMinistry of Science &amp; Innovation, Spain (MICINN)); Spanish Ministry of Foreign Affairs and Cooperation(Spanish Government); BioFresh EU(European Union (EU))</t>
  </si>
  <si>
    <t>The authors wish to thank all species' collectors as well as contributors to the Limnofauna Europaea and the freshwaterecology.info database. S. D., S. U. P., S. C. J. and P. H. acknowledge support from the research funding programme LOEWE - Landes-Offensive zur Entwicklung Wissenschaftlich-okonomischer Exzellenz of Hesse's Ministry of Higher Education, Research, and the Arts. Research by S. U. P. was financially assisted by the German Academic Exchange Service (DAAD) and the German Research Foundation DFG (grant HA3431/2-1). Research by M. B. A. was funded through the FCT PTDC/AAC-AMB/98163/2008 project. M. B. A. also acknowledges the Spanish Research Council (CSIC), the 'Rui Nabeiro' Biodiversity Chair, and the Danish NSF for support of his research. N. B. acknowledges the GUADALMED project (HID98-0323-C05 and REN2001-3438-C07) funded by the Spanish Ministry of Science and Technology, an international cooperation project between Spain and Morocco (70/04/P/E) funded by the Spanish Ministry of Foreign Affairs and Cooperation, and the BioFresh EU funded project- Biodiversity of Freshwater Ecosystems: Status, Trends, Pressures, and Conservation Priorities (7th FWP contract No 226874). Steve Ormerod and three anonymous referees made valuable comments and improvements on an earlier version of the manuscript.</t>
  </si>
  <si>
    <t>10.1111/gcb.12107</t>
  </si>
  <si>
    <t>080CV</t>
  </si>
  <si>
    <t>WOS:000314219700008</t>
  </si>
  <si>
    <t>Gao, ZQ; Cao, XM; Gao, W</t>
  </si>
  <si>
    <t>Gao, Zhiqiang; Cao, Xiaoming; Gao, Wei</t>
  </si>
  <si>
    <t>The spatio-temporal responses of the carbon cycle to climate and land use/land cover changes between 1981-2000 in China</t>
  </si>
  <si>
    <t>FRONTIERS OF EARTH SCIENCE</t>
  </si>
  <si>
    <t>carbon cycle; climate changes; LULC; remote sensing; Earth system modeling</t>
  </si>
  <si>
    <t>ANNUAL NET FLUX; TERRESTRIAL ECOSYSTEMS; INTERANNUAL VARIATIONS; PRIMARY PRODUCTIVITY; DYNAMIC-RESPONSES; ATMOSPHERIC CO2; SATELLITE DATA; BALANCE; STORAGE; PATTERNS</t>
  </si>
  <si>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</si>
  <si>
    <t>[Gao, Zhiqiang] Chinese Acad Sci, Yantai Inst Coastal Zone Res, Yantai 264003, Peoples R China; [Cao, Xiaoming] Chinese Acad Sci, Inst Geog Sci &amp; Nat Resources Res, Beijing 100101, Peoples R China; [Gao, Zhiqiang; Gao, Wei] Colorado State Univ, Nat Resource Ecol Lab, USDA UV B Monitoring &amp; Res Program, Ft Collins, CO 80521 USA</t>
  </si>
  <si>
    <t>Chinese Academy of Sciences; Yantai Institute of Coastal Zone Research, CAS; Chinese Academy of Sciences; Institute of Geographic Sciences &amp; Natural Resources Research, CAS; United States Department of Agriculture (USDA); Colorado State University System; Colorado State University Fort Collins</t>
  </si>
  <si>
    <t>Cao, XM (corresponding author), Chinese Acad Sci, Inst Geog Sci &amp; Nat Resources Res, Beijing 100101, Peoples R China.</t>
  </si>
  <si>
    <t>caoxm@lreis.ac.cn</t>
  </si>
  <si>
    <t>Xiaoming, Cao/JRW-3576-2023</t>
  </si>
  <si>
    <t>National Natural Science Foundation of China [41171334, 41071278]; USDA NIFA Project [2010-34263-21075]</t>
  </si>
  <si>
    <t>National Natural Science Foundation of China(National Natural Science Foundation of China (NSFC)); USDA NIFA Project</t>
  </si>
  <si>
    <t>This work was supported by the National Natural Science Foundation of China (Grant Nos. 41171334 and 41071278) and USDA NIFA Project (No. 2010-34263-21075). The authors acknowledge all the financial support gratefully.</t>
  </si>
  <si>
    <t>2095-0195</t>
  </si>
  <si>
    <t>2095-0209</t>
  </si>
  <si>
    <t>FRONT EARTH SCI-PRC</t>
  </si>
  <si>
    <t>Front. Earth Sci.</t>
  </si>
  <si>
    <t>10.1007/s11707-012-0335-x</t>
  </si>
  <si>
    <t>080YD</t>
  </si>
  <si>
    <t>WOS:000314279400009</t>
  </si>
  <si>
    <t>Ausubel, JH; Wernick, IK; Waggoner, PE</t>
  </si>
  <si>
    <t>Ausubel, Jesse H.; Wernick, Iddo K.; Waggoner, Paul E.</t>
  </si>
  <si>
    <t>Peak Farmland and the Prospect for Land Sparing</t>
  </si>
  <si>
    <t>POPULATION AND DEVELOPMENT REVIEW</t>
  </si>
  <si>
    <t>[Ausubel, Jesse H.; Wernick, Iddo K.] Rockefeller Univ, Program Human Environm, New York, NY 10021 USA; [Waggoner, Paul E.] Connecticut Agr Expt Stn, New Haven, CT 06504 USA</t>
  </si>
  <si>
    <t>Rockefeller University; Connecticut Agricultural Experiment Station</t>
  </si>
  <si>
    <t>Ausubel, JH (corresponding author), Rockefeller Univ, Program Human Environm, 1230 York Ave, New York, NY 10021 USA.</t>
  </si>
  <si>
    <t>Wernick, Iddo/JVD-9269-2023</t>
  </si>
  <si>
    <t>0098-7921</t>
  </si>
  <si>
    <t>1728-4457</t>
  </si>
  <si>
    <t>POPUL DEV REV</t>
  </si>
  <si>
    <t>Popul. Dev. Rev.</t>
  </si>
  <si>
    <t>10.1111/j.1728-4457.2013.00561.x</t>
  </si>
  <si>
    <t>Demography; Sociology</t>
  </si>
  <si>
    <t>093WT</t>
  </si>
  <si>
    <t>WOS:000315224500015</t>
  </si>
  <si>
    <t>Boch, S; Prati, D; Hessenmöller, D; Schulze, ED; Fischer, M</t>
  </si>
  <si>
    <t>Boch, Steffen; Prati, Daniel; Hessenmoeller, Dominik; Schulze, Ernst-Detlef; Fischer, Markus</t>
  </si>
  <si>
    <t>Richness of Lichen Species, Especially of Threatened Ones, Is Promoted by Management Methods Furthering Stand Continuity</t>
  </si>
  <si>
    <t>EPIPHYTIC LICHENS; OLD-GROWTH; BRYOPHYTE COMMUNITIES; BEECH FORESTS; DIVERSITY; CONSERVATION; BIODIVERSITY; DISPERSAL; INDICATOR; QUALITY</t>
  </si>
  <si>
    <t>Lichens are a key component of forest biodiversity. However, a comprehensive study analyzing lichen species richness in relation to several management types, extending over different regions and forest stages and including information on site conditions is missing for temperate European forests. In three German regions (Schwabische Alb, Hainich-Dun, Schorfheide-Chorin), the so-called Biodiversity Exploratories, we studied lichen species richness in 631 forest plots of 400 m(2) comprising different management types (unmanaged, selection cutting, deciduous and coniferous age-class forests resulting from clear cutting or shelterwood logging), various stand ages, and site conditions, typical for large parts of temperate Europe. We analyzed how lichen species richness responds to management and habitat variables (standing biomass, cover of deadwood, cover of rocks). We found strong regional differences with highest lichen species richness in the Schwabische Alb, probably driven by regional differences in former air pollution, and in precipitation and habitat variables. Overall, unmanaged forests harbored 22% more threatened lichen species than managed age-class forests. In general, total, corticolous, and threatened lichen species richness did not differ among management types of deciduous forests. However, in the Schwabische-Alb region, deciduous forests had 61% more lichen species than coniferous forests and they had 279% more threatened and 76% more corticolous lichen species. Old deciduous age classes were richer in corticolous lichen species than young ones, while old coniferous age-classes were poorer than young ones. Overall, our findings highlight the importance of stand continuity for conservation. To increase total and threatened lichen species richness we suggest (1) conserving unmanaged forests, (2) promoting silvicultural methods assuring stand continuity, (3) conserving old trees in managed forests, (4) promoting stands of native deciduous tree species instead of coniferous plantations, and (5) increasing the amount of deadwood in forests.</t>
  </si>
  <si>
    <t>[Boch, Steffen; Prati, Daniel; Fischer, Markus] Univ Bern, Inst Plant Sci, Bern, Switzerland; [Boch, Steffen; Prati, Daniel; Fischer, Markus] Univ Bern, Bot Gardens, Bern, Switzerland; [Boch, Steffen; Prati, Daniel; Fischer, Markus] Univ Bern, Oeschger Ctr, Bern, Switzerland; [Hessenmoeller, Dominik; Schulze, Ernst-Detlef] Max Planck Inst Biogeochem, D-07745 Jena, Germany</t>
  </si>
  <si>
    <t>University of Bern; University of Bern; University of Bern; Max Planck Society</t>
  </si>
  <si>
    <t>Boch, S (corresponding author), Univ Bern, Inst Plant Sci, Bern, Switzerland.</t>
  </si>
  <si>
    <t>Boch, Steffen/L-5436-2016; Fischer, Markus/C-6411-2008; Schulze, Ernst-Detlef/K-9627-2014</t>
  </si>
  <si>
    <t>Schulze, Ernst-Detlef/0000-0001-6188-9219; Boch, Steffen/0000-0003-2814-5343</t>
  </si>
  <si>
    <t>DFG (German Research Foundation) in the framework of the Biodiversity Exploratories Infrastructure-Biodiversity-Exploratories [SSP 1374, FI 1246/6-1, FI 1246/9-1]</t>
  </si>
  <si>
    <t>DFG (German Research Foundation) in the framework of the Biodiversity Exploratories Infrastructure-Biodiversity-Exploratories(German Research Foundation (DFG))</t>
  </si>
  <si>
    <t>The DFG (German Research Foundation; http://www.dfg.de/en/index.jsp) funded the study in the framework of the Biodiversity Exploratories SSP 1374 Infrastructure-Biodiversity-Exploratories (FI 1246/6-1, FI 1246/9-1). The funders had no role in study design, data collection and analysis, decision to publish, or preparation of the manuscript.</t>
  </si>
  <si>
    <t>JAN 29</t>
  </si>
  <si>
    <t>e55461</t>
  </si>
  <si>
    <t>10.1371/journal.pone.0055461</t>
  </si>
  <si>
    <t>097OK</t>
  </si>
  <si>
    <t>WOS:000315483200052</t>
  </si>
  <si>
    <t>Batáry, P; Sutcliffe, L; Dormann, CF; Tscharntke, T</t>
  </si>
  <si>
    <t>Batary, Perer; Sutcliffe, Laura; Dormann, Carsten F.; Tscharntke, Teja</t>
  </si>
  <si>
    <t>Organic Farming Favours Insect-Pollinated over Non-Insect Pollinated Forbs in Meadows and Wheat Fields</t>
  </si>
  <si>
    <t>AGRI-ENVIRONMENT SCHEMES; FARMLAND BIODIVERSITY; CEREAL CROPS; LANDSCAPE; PLANT; DIVERSITY; BEES; MANAGEMENT; WEED; CONSERVATION</t>
  </si>
  <si>
    <t>The aim of this study was to determine the relative effects of landscape-scale management intensity, local management intensity and edge effect on diversity patterns of insect-pollinated vs. non-insect pollinated forbs in meadows and wheat fields. Nine landscapes were selected differing in percent intensively used agricultural area (IAA), each with a pair of organic and conventional winter wheat fields and a pair of organic and conventional meadows. Within fields, forbs were surveyed at the edge and in the interior. Both diversity and cover of forbs were positively affected by organic management in meadows and wheat fields. This effect, however, differed significantly between pollination types for species richness in both agroecosystem types (i.e. wheat fields and meadows) and for cover in meadows. Thus, we show for the first time in a comprehensive analysis that insect-pollinated plants benefit more from organic management than non-insect pollinated plants regardless of agroecosystem type and landscape complexity. These benefits were more pronounced in meadows than wheat fields. Finally, the community composition of insect-pollinated and non-insect-pollinated forbs differed considerably between management types. In summary, our findings in both agroecosystem types indicate that organic management generally supports a higher species richness and cover of insect-pollinated plants, which is likely to be favourable for the density and diversity of bees and other pollinators.</t>
  </si>
  <si>
    <t>[Batary, Perer; Sutcliffe, Laura; Tscharntke, Teja] Univ Gottingen, D-37073 Gottingen, Germany; [Batary, Perer] MTA ELTE MTM Ecol Res Grp, Budapest, Hungary; [Dormann, Carsten F.] UFZ Helmholtz Ctr Environm Res, Leipzig, Germany; [Dormann, Carsten F.] Univ Freiburg, D-79106 Freiburg, Germany</t>
  </si>
  <si>
    <t>University of Gottingen; HUN-REN; Office for Supported Research Groups (ELKH); Helmholtz Association; Helmholtz Center for Environmental Research (UFZ); University of Freiburg</t>
  </si>
  <si>
    <t>Batáry, P (corresponding author), Univ Gottingen, D-37073 Gottingen, Germany.</t>
  </si>
  <si>
    <t>pbatary@gmail.com</t>
  </si>
  <si>
    <t>Tscharntke, Teja/N-5123-2014; Dormann, Carsten/AFN-0998-2022; Batary, Peter/A-2349-2008; Sutcliffe, Laura/AAF-6241-2020</t>
  </si>
  <si>
    <t>Dormann, Carsten F/0000-0002-9835-1794; Batary, Peter/0000-0002-1017-6996; Tscharntke, Teja/0000-0002-4482-3178; Sutcliffe, Laura/0000-0002-3610-0017</t>
  </si>
  <si>
    <t>Alexander von Humboldt Foundation; Deutsche Forschungsgemeinschaft [DFG BA 4438/1-1]; University of Gottingen</t>
  </si>
  <si>
    <t>Alexander von Humboldt Foundation(Alexander von Humboldt FoundationUniversity of Maryland Baltimore); Deutsche Forschungsgemeinschaft(German Research Foundation (DFG)); University of Gottingen</t>
  </si>
  <si>
    <t>P.B. was supported by the Alexander von Humboldt Foundation and during the preparation of the paper by the Deutsche Forschungsgemeinschaft (DFG BA 4438/1-1). The publication was funded by the University of Gottingen in the funding programme Open Access Publishing. The funders had no role in study design, data collection and analysis, decision to publish, or preparation of the manuscript.</t>
  </si>
  <si>
    <t>JAN 28</t>
  </si>
  <si>
    <t>e54818</t>
  </si>
  <si>
    <t>10.1371/journal.pone.0054818</t>
  </si>
  <si>
    <t>093SF</t>
  </si>
  <si>
    <t>WOS:000315211500031</t>
  </si>
  <si>
    <t>Jones, MC; Dye, SR; Fernandes, JA; Frölicher, TL; Pinnegar, JK; Warren, R; Cheung, WWL</t>
  </si>
  <si>
    <t>Jones, Miranda C.; Dye, Stephen R.; Fernandes, Jose A.; Froelicher, Thomas L.; Pinnegar, John K.; Warren, Rachel; Cheung, William W. L.</t>
  </si>
  <si>
    <t>Predicting the Impact of Climate Change on Threatened Species in UK Waters</t>
  </si>
  <si>
    <t>POTENTIAL IMPACTS; FISH ASSEMBLAGE; MARINE FISHES; DISTRIBUTIONS; MODELS; AREAS; PROJECTIONS; FUTURE; SHIFTS; SCALE</t>
  </si>
  <si>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</si>
  <si>
    <t>[Jones, Miranda C.; Fernandes, Jose A.; Warren, Rachel] Univ E Anglia, Sch Environm Sci, Norwich NR4 7TJ, Norfolk, England; [Jones, Miranda C.; Dye, Stephen R.; Pinnegar, John K.] Ctr Environm Fisheries &amp; Aquaculture Sci, Lowestoft, Suffolk, England; [Jones, Miranda C.; Warren, Rachel] Tyndall Ctr Climate Change Res, Norwich, Norfolk, England; [Froelicher, Thomas L.] Princeton Univ, Atmospher &amp; Ocean Sci Program, Princeton, NJ 08544 USA; [Cheung, William W. L.] Univ British Columbia, Fisheries Ctr, Changing Ocean Res Unit, Vancouver, BC V5Z 1M9, Canada</t>
  </si>
  <si>
    <t>University of East Anglia; Centre for Environment Fisheries &amp; Aquaculture Science; University of East Anglia; National Oceanic Atmospheric Admin (NOAA) - USA; Princeton University; University of British Columbia</t>
  </si>
  <si>
    <t>Jones, MC (corresponding author), Univ E Anglia, Sch Environm Sci, Norwich NR4 7TJ, Norfolk, England.</t>
  </si>
  <si>
    <t>miranda.jones@uea.ac.uk</t>
  </si>
  <si>
    <t>Dye, Stephen/C-9456-2011; Pinnegar, John/C-4400-2012; Salvador, Jose/AAH-7939-2019; Frölicher, Thomas/E-5137-2015; Warren, Rachel/G-9997-2011; Cheung, William/F-5104-2013; , William/F-5104-2013</t>
  </si>
  <si>
    <t>Dye, Stephen/0000-0002-4182-8475; Frölicher, Thomas/0000-0003-2348-7854; Pinnegar, John/0000-0001-5061-9520; Warren, Rachel/0000-0002-0122-1599; , William/0000-0003-3626-1045</t>
  </si>
  <si>
    <t>UK Department for Environment, Food and Rural Affairs (DEFRA)/Centre for Environment, Fisheries and Aquaculture Science (CEFAS) [ME5102-ACME]; National Geographic Society; Natural Sciences and Engineering Research Council of Canada; NF-UBC Nereus Program; European project EURO-BASIN; EU; Natural Environment Research Council [NE/F016107/1] Funding Source: researchfish; NERC [NE/F016107/1] Funding Source: UKRI</t>
  </si>
  <si>
    <t>UK Department for Environment, Food and Rural Affairs (DEFRA)/Centre for Environment, Fisheries and Aquaculture Science (CEFAS); National Geographic Society(National Geographic Society); Natural Sciences and Engineering Research Council of Canada(Natural Sciences and Engineering Research Council of Canada (NSERC)CGIAR); NF-UBC Nereus Program; European project EURO-BASIN; EU(European Union (EU)); Natural Environment Research Council(UK Research &amp; Innovation (UKRI)Natural Environment Research Council (NERC)); NERC(UK Research &amp; Innovation (UKRI)Natural Environment Research Council (NERC))</t>
  </si>
  <si>
    <t>This work was supported by the UK Department for Environment, Food and Rural Affairs (DEFRA)/Centre for Environment, Fisheries and Aquaculture Science (CEFAS) under project ME5102-ACME. WWLC acknowledges funding support from the National Geographic Society and Natural Sciences and Engineering Research Council of Canada. The authors also thank the EU Vectors project for supporting time for JKP. TLF is partly supported by NF-UBC Nereus Program. JAF is funded by the European project EURO-BASIN. The funders had no role in study design, data collection and analysis, decision to publish, or preparation of the manuscript.</t>
  </si>
  <si>
    <t>JAN 22</t>
  </si>
  <si>
    <t>e54216</t>
  </si>
  <si>
    <t>10.1371/journal.pone.0054216</t>
  </si>
  <si>
    <t>077HS</t>
  </si>
  <si>
    <t>WOS:000314019100051</t>
  </si>
  <si>
    <t>Adekunle, VAJ; Olagoke, AO; Ogundare, LF</t>
  </si>
  <si>
    <t>Adekunle, V. A. J.; Olagoke, A. O.; Ogundare, L. F.</t>
  </si>
  <si>
    <t>TIMBER EXPLOITATION RATE IN TROPICAL RAINFOREST ECOSYSTEM OF SOUTHWEST NIGERIA AND ITS IMPLICATIONS ON SUSTAINABLE FOREST MANAGEMENT</t>
  </si>
  <si>
    <t>APPLIED ECOLOGY AND ENVIRONMENTAL RESEARCH</t>
  </si>
  <si>
    <t>Timber exploitation; log removal; illegal logging; forest estate; Sustainable Forest Management; Conservation measures</t>
  </si>
  <si>
    <t>DIVERSITY</t>
  </si>
  <si>
    <t>Timber exploitation data that are very essential for sustainable management of the forest resources, where available in Nigeria, are not analyzed and studied to provide information on the rate of log removal from the forest estate. Timber exploitation rate in Nigeria using Ondo State as a case study was examined in this study. Secondary data on the volume and number of economic timber species exploited from the reserved and free areas forests in four forest administrative zones on monthly basis between 2003 and 2005 were collected from the state department of forestry. Analysis was done with student t-test and two-way analysis of variance. The result revealed that the highest number of species, families and stems was exploited in the free areas when compared with what was exploited from the reserves for the three-year period. During the study period, a total of 60 and 57 species were exploited from the free areas and the reserves respectively from the four administrative zones. The total number of stems exploited from both the free areas and reserves totaled 111377 with an estimated volume of 295089.67m(3). A steady increase was recorded in logging activities between year 2003 and 2004 but there was a decline in year 2005. This reveals how fast economic timbers are disappearing from the forests and consequently, how the ecosystem is seriously disturbed during logging activities. Principles for achieving the goals of sustainable forest management (SFM) and urgent conservation measures to mitigate these consequences were suggested.</t>
  </si>
  <si>
    <t>[Adekunle, V. A. J.; Olagoke, A. O.] Fed Univ Technol Akure, Dept Forestry &amp; Wood Technol, Akure 340001, Ondo State, Nigeria; [Ogundare, L. F.] Forestry &amp; Wildlife Serv, Ondo State Minist Agr Forestry &amp; Fisheries, Akure, Nigeria</t>
  </si>
  <si>
    <t>Olagoke, AO (corresponding author), Fed Univ Technol Akure, Dept Forestry &amp; Wood Technol, PMB 704, Akure 340001, Ondo State, Nigeria.</t>
  </si>
  <si>
    <t>woleola@justice.com</t>
  </si>
  <si>
    <t>; Olagoke, Adewole/F-9913-2013</t>
  </si>
  <si>
    <t>Olagoke, Adewole/0000-0002-0869-329X;</t>
  </si>
  <si>
    <t>CORVINUS UNIV BUDAPEST</t>
  </si>
  <si>
    <t>BUDAPEST</t>
  </si>
  <si>
    <t>VILLANYI UT 29/43, BUDAPEST, H-1118, HUNGARY</t>
  </si>
  <si>
    <t>1589-1623</t>
  </si>
  <si>
    <t>1785-0037</t>
  </si>
  <si>
    <t>APPL ECOL ENV RES</t>
  </si>
  <si>
    <t>Appl. Ecol. Environ. Res.</t>
  </si>
  <si>
    <t>10.15666/aeer/1101_123136</t>
  </si>
  <si>
    <t>172IG</t>
  </si>
  <si>
    <t>WOS:000320994600008</t>
  </si>
  <si>
    <t>Klimont, Z; Smith, SJ; Cofala, J</t>
  </si>
  <si>
    <t>Klimont, Z.; Smith, S. J.; Cofala, J.</t>
  </si>
  <si>
    <t>The last decade of global anthropogenic sulfur dioxide: 2000-2011 emissions</t>
  </si>
  <si>
    <t>sulfur dioxide; global emissions; RCP; anthropogenic</t>
  </si>
  <si>
    <t>BIOMASS BURNING EMISSIONS; AEROSOL OPTICAL DEPTH; AIR-QUALITY; CHINA; PROJECTIONS; POLLUTANTS; SCENARIOS; GASES</t>
  </si>
  <si>
    <t>The evolution of global and regional anthropogenic SO2 emissions in the last decade has been estimated through a bottom-up calculation. After increasing until about 2006, we estimate a declining trend continuing until 2011. However, there is strong spatial variability, with North America and Europe continuing to reduce emissions, with an increasing role of Asia and international shipping. China remains a key contributor, but the introduction of stricter emission limits followed by an ambitious program of installing flue gas desulfurization on power plants resulted in a significant decline in emissions from the energy sector and stabilization of total Chinese SO2 emissions. Comparable mitigation strategies are not yet present in several other Asian countries and industrial sectors in general, while emissions from international shipping are expected to start declining soon following an international agreement to reduce the sulfur content of fuel oil. The estimated trends in global SO2 emissions are within the range of representative concentration pathway (RCP) projections and the uncertainty previously estimated for the year 2005.</t>
  </si>
  <si>
    <t>[Klimont, Z.; Cofala, J.] Int Inst Appl Syst Anal, A-2361 Laxenburg, Austria; [Smith, S. J.] Pacific NW Natl Lab, Joint Global Change Res Inst, College Pk, MD 20740 USA</t>
  </si>
  <si>
    <t>International Institute for Applied Systems Analysis (IIASA); United States Department of Energy (DOE); Pacific Northwest National Laboratory</t>
  </si>
  <si>
    <t>Klimont, Z (corresponding author), Int Inst Appl Syst Anal, Schlosspl 1, A-2361 Laxenburg, Austria.</t>
  </si>
  <si>
    <t>klimont@iiasa.ac.at</t>
  </si>
  <si>
    <t>Klimont, Zbigniew/O-6683-2019; Klimont, Zbigniew/P-7641-2015; Smith, Steven/F-4502-2010</t>
  </si>
  <si>
    <t>Klimont, Zbigniew/0000-0003-2630-198X;</t>
  </si>
  <si>
    <t>ECLIPSE European Union [282688, 265148]; Office of Biological and Environmental Research of the US Department of Energy</t>
  </si>
  <si>
    <t>ECLIPSE European Union; Office of Biological and Environmental Research of the US Department of Energy(United States Department of Energy (DOE))</t>
  </si>
  <si>
    <t>Z Klimont and J Cofala acknowledge the support of the ECLIPSE European Union's Seventh Framework Programme (FP7/2007-2013) under Grant Agreement no. 282688 and the FP7 PEGASOS project, under Grant Agreement 265148. S Smith's work on this paper was supported by the Office of Biological and Environmental Research of the US Department of Energy as part of the Earth System Modeling Program. The authors would like to thank Stephen Dessel for assistance with data processing and Chris Heyes and Wolfgang Schopp for gridding of emissions.</t>
  </si>
  <si>
    <t>JAN-MAR</t>
  </si>
  <si>
    <t>10.1088/1748-9326/8/1/014003</t>
  </si>
  <si>
    <t>118BV</t>
  </si>
  <si>
    <t>WOS:000316998300011</t>
  </si>
  <si>
    <t>Hof, AR; Jansson, R; Nilsson, C</t>
  </si>
  <si>
    <t>Hof, Anouschka R.; Jansson, Roland; Nilsson, Christer</t>
  </si>
  <si>
    <t>Future Climate Change Will Favour Non-Specialist Mammals in the (Sub)Arctics</t>
  </si>
  <si>
    <t>BIOTIC INTERACTIONS; SPECIES DISTRIBUTIONS; DIVERSITY; RESPONSES; BIODIVERSITY; BUTTERFLIES; EXTINCTION; PATTERNS; RECOVERY; IMPACTS</t>
  </si>
  <si>
    <t>Arctic and subarctic (i.e., [sub] arctic) ecosystems are predicted to be particularly susceptible to climate change. The area of tundra is expected to decrease and temperate climates will extend further north, affecting species inhabiting northern environments. Consequently, species at high latitudes should be especially susceptible to climate change, likely experiencing significant range contractions. Contrary to these expectations, our modelling of species distributions suggests that predicted climate change up to 2080 will favour most mammals presently inhabiting (sub) arctic Europe. Assuming full dispersal ability, most species will benefit from climate change, except for a few cold-climate specialists. However, most resident species will contract their ranges if they are not able to track their climatic niches, but no species is predicted to go extinct. If climate would change far beyond current predictions, however, species might disappear. The reason for the relative stability of mammalian presence might be that arctic regions have experienced large climatic shifts in the past, filtering out sensitive and range-restricted taxa. We also provide evidence that for most (sub) arctic mammals it is not climate change per se that will threaten them, but possible constraints on their dispersal ability and changes in community composition. Such impacts of future changes in species communities should receive more attention in literature.</t>
  </si>
  <si>
    <t>[Hof, Anouschka R.; Jansson, Roland; Nilsson, Christer] Umea Univ, Landscape Ecol Grp, Dept Ecol &amp; Environm Sci, Umea, Sweden; [Hof, Anouschka R.] Swedish Univ Agr Sci SLU, Dept Wildlife Fish &amp; Environm Studies, Umea, Sweden</t>
  </si>
  <si>
    <t>Umea University; Swedish University of Agricultural Sciences</t>
  </si>
  <si>
    <t>Hof, AR (corresponding author), Umea Univ, Landscape Ecol Grp, Dept Ecol &amp; Environm Sci, Umea, Sweden.</t>
  </si>
  <si>
    <t>Anouschka.Hof@emg.umu.se</t>
  </si>
  <si>
    <t>Nilsson, Christer/I-9407-2012; Nilsson, Christer/AAI-1354-2019; Hof, Anouschka/V-5994-2019; Jansson, Roland/B-7972-2013</t>
  </si>
  <si>
    <t>Nilsson, Christer/0000-0003-1186-8115; Jansson, Roland/0000-0003-1767-7010</t>
  </si>
  <si>
    <t>Nordic Council of Ministers [91228]</t>
  </si>
  <si>
    <t>Nordic Council of Ministers</t>
  </si>
  <si>
    <t>This project was funded by the Nordic Council of Ministers (http://www.norden.org/en/nordic-council-of-ministers), Project number: 91228. The funders had no role in study design, data collection and analysis, decision to publish, or preparation of the manuscript.</t>
  </si>
  <si>
    <t>DEC 20</t>
  </si>
  <si>
    <t>e52574</t>
  </si>
  <si>
    <t>10.1371/journal.pone.0052574</t>
  </si>
  <si>
    <t>060RA</t>
  </si>
  <si>
    <t>WOS:000312794500202</t>
  </si>
  <si>
    <t>Clark, KL; Skowronski, N; Gallagher, M; Renninger, H; Schäfer, K</t>
  </si>
  <si>
    <t>Clark, Kenneth L.; Skowronski, Nicholas; Gallagher, Michael; Renninger, Heidi; Schaefer, Karina</t>
  </si>
  <si>
    <t>Effects of invasive insects and fire on forest energy exchange and evapotranspiration in the New Jersey pinelands</t>
  </si>
  <si>
    <t>Evapotranspiration; Leaf area index; Eddy covariance; Gypsy moth defoliation; Prescribed fire; Disturbance</t>
  </si>
  <si>
    <t>WATER FLUXES; PINE FORESTS; CARBON; CHRONOSEQUENCE; MATURE; VAPOR</t>
  </si>
  <si>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</si>
  <si>
    <t>[Clark, Kenneth L.; Skowronski, Nicholas; Gallagher, Michael] US Forest Serv, USDA, No Res Stn, New Lisbon, NJ 08064 USA; [Renninger, Heidi; Schaefer, Karina] Rutgers State Univ, Dept Biol Sci, Newark, NJ 07102 USA</t>
  </si>
  <si>
    <t>United States Department of Agriculture (USDA); United States Forest Service; Rutgers University System; Rutgers University New Brunswick; Rutgers University Newark</t>
  </si>
  <si>
    <t>Clark, KL (corresponding author), POB 232, New Lisbon, NJ 08064 USA.</t>
  </si>
  <si>
    <t>kennethclark@fs.fed.us</t>
  </si>
  <si>
    <t>Skowronski, Nicholas/N-4417-2013; Renninger, Heidi/E-5237-2015</t>
  </si>
  <si>
    <t>Skowronski, Nicholas/0000-0002-5801-5614; Renninger, Heidi/0000-0002-2485-9835</t>
  </si>
  <si>
    <t>DEC 15</t>
  </si>
  <si>
    <t>10.1016/j.agrformet.2012.07.007</t>
  </si>
  <si>
    <t>070AV</t>
  </si>
  <si>
    <t>WOS:000313479100007</t>
  </si>
  <si>
    <t>Müller, J; Klaus, VH; Kleinebecker, T; Prati, D; Hölzel, N; Fischer, M</t>
  </si>
  <si>
    <t>Mueller, Joerg; Klaus, Valentin H.; Kleinebecker, Till; Prati, Daniel; Hoelzel, Norbert; Fischer, Markus</t>
  </si>
  <si>
    <t>Impact of Land-Use Intensity and Productivity on Bryophyte Diversity in Agricultural Grasslands</t>
  </si>
  <si>
    <t>MONTANE CALCAREOUS FENS; PLANT-SPECIES RICHNESS; VASCULAR PLANTS; CHALK GRASSLAND; FERTILIZER APPLICATION; SEEDLING EMERGENCE; COMMUNITY BIOMASS; INDICATOR VALUES; NITROGEN; VEGETATION</t>
  </si>
  <si>
    <t>While bryophytes greatly contribute to plant diversity of semi-natural grasslands, little is known about the relationships between land-use intensity, productivity, and bryophyte diversity in these habitats. We recorded vascular plant and bryophyte vegetation in 85 agricultural used grasslands in two regions in northern and central Germany and gathered information on land-use intensity. To assess grassland productivity, we harvested aboveground vascular plant biomass and analyzed nutrient concentrations of N, P, K, Ca and Mg. Further we calculated mean Ellenberg indicator values of vascular plant vegetation. We tested for effects of land-use intensity and productivity on total bryophyte species richness and on the species richness of acrocarpous (small &amp; erect) and pleurocarpous (creeping, including liverworts) growth forms separately. Bryophyte species were found in almost all studied grasslands, but species richness differed considerably between study regions in northern Germany (2.8 species per 16 m(2)) and central Germany (6.4 species per 16 m(2)) due environmental differences as well as land-use history. Increased fertilizer application, coinciding with high mowing frequency, reduced bryophyte species richness significantly. Accordingly, productivity estimates such as plant biomass and nitrogen concentration were strongly negatively related to bryophyte species richness, although productivity decreased only pleurocarpous species. Ellenberg indicator values for nutrients proved to be useful indicators of species richness and productivity. In conclusion, bryophyte composition was strongly dependent on productivity, with smaller bryophytes that were likely negatively affected by greater competition for light. Intensive land-use, however, can also indirectly decrease bryophyte species richness by promoting grassland productivity. Thus, increasing productivity is likely to cause a loss of bryophyte species and a decrease in species diversity.</t>
  </si>
  <si>
    <t>[Mueller, Joerg; Fischer, Markus] Univ Potsdam, Inst Biochem &amp; Biol, Potsdam, Germany; [Klaus, Valentin H.; Kleinebecker, Till; Hoelzel, Norbert] Univ Munster, Inst Landscape Ecol, D-48149 Munster, Germany; [Prati, Daniel; Fischer, Markus] Univ Bern, Inst Plant Sci, Bern, Switzerland</t>
  </si>
  <si>
    <t>University of Potsdam; University of Munster; University of Bern</t>
  </si>
  <si>
    <t>Müller, J (corresponding author), Univ Potsdam, Inst Biochem &amp; Biol, Potsdam, Germany.</t>
  </si>
  <si>
    <t>muellerj@uni-potsdam.de</t>
  </si>
  <si>
    <t>Fischer, Markus/C-6411-2008; Hölzel, Norbert/H-8753-2013; Klaus, Valentin H/JBJ-7038-2023</t>
  </si>
  <si>
    <t>Hölzel, Norbert/0000-0002-6367-3400; Klaus, Valentin H/0000-0002-7469-6800; Kleinebecker, Till/0000-0003-1121-2861</t>
  </si>
  <si>
    <t>DFG (German Research Foundation) [SSP 1374 (FI 1246/6-1)]; DFG [FI 1246/6-1, FI 1246/9-1, HO 3830/2-1]</t>
  </si>
  <si>
    <t>DFG (German Research Foundation)(German Research Foundation (DFG)); DFG(German Research Foundation (DFG))</t>
  </si>
  <si>
    <t>The DFG (German Research Foundation; http://www.dfg.de/en/index.jsp) funded the study in the framework of the Biodiversity Exploratories SSP 1374 (FI 1246/6-1). The funders had no role in study design, data collection and analysis, decision to publish, or preparation of the manuscript. We thank all project members, field teams and managers of the Exploratories, Sonja Gockel, Andreas Hemp and Martin Gorke and Simone Pfeiffer for their work in maintaining the plot and project infrastructure. Furthermore, we thank Franc, ois Buscot, Dominik Hessenmoller, the late Elisabeth Kalko, Eduard Linsenmair, Jens Nieschulze, Ingo Schoning, Ernst-Detlef Schulze and Wolfgang W. Weisser for their role in setting up the Biodiversity Exploratories. Further we thank Ariel Bergamini and Ewald Weber for review and critical remarks on an earlier draft of this manuscript. The work has been funded by the DFG Priority Program 1374 Infrastructure-Biodiversity-Exploratories (grants FI 1246/ 6-1, FI 1246/9-1, HO 3830/2-1). Field work permits were obtained from the responsible state environmental offices of Thuringia and Brandenburg (according to 1 72 BbgNatSchG).</t>
  </si>
  <si>
    <t>DEC 12</t>
  </si>
  <si>
    <t>e51520</t>
  </si>
  <si>
    <t>10.1371/journal.pone.0051520</t>
  </si>
  <si>
    <t>066QV</t>
  </si>
  <si>
    <t>WOS:000313236200129</t>
  </si>
  <si>
    <t>Bell, RJ; Collie, JS; Jamu, D; Banda, M</t>
  </si>
  <si>
    <t>Bell, Richard J.; Collie, Jeremy S.; Jamu, Daniel; Banda, Moses</t>
  </si>
  <si>
    <t>Changes in the biomass of chambo in the southeast arm of Lake Malawi: A stock assessment of Oreochromis spp.</t>
  </si>
  <si>
    <t>Lake Malawi; Oreochromis; Chambo; Cichlid; Lake height; Stock assessment</t>
  </si>
  <si>
    <t>TRAWL FISHERY; LAND-USE; FLUCTUATIONS; VARIABILITY; LIMNOLOGY; AFRICA; IMPACT; LEVEL</t>
  </si>
  <si>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</si>
  <si>
    <t>[Bell, Richard J.; Collie, Jeremy S.] Univ Rhode Isl, Grad Sch Oceanog, Narragansett, RI 02882 USA; [Jamu, Daniel] WorldFish Ctr, Zomba, Malawi; [Banda, Moses] Malawi Dept Fisheries, Fisheries Res Unit, Monkey Bay, Malawi</t>
  </si>
  <si>
    <t>University of Rhode Island; CGIAR; Worldfish</t>
  </si>
  <si>
    <t>Bell, RJ (corresponding author), Univ Rhode Isl, Grad Sch Oceanog, Narragansett, RI 02882 USA.</t>
  </si>
  <si>
    <t>rbell@gso.uri.edu</t>
  </si>
  <si>
    <t>USAid</t>
  </si>
  <si>
    <t>USAid(United States Agency for International Development (USAID))</t>
  </si>
  <si>
    <t>We would like to thanks the World Fish Center for initiating this work and facilitating the project. We would also like to thank all the members of the Malawi Fisheries Department for their assistance, advice and use of their data. In particular we would like to thank George Sodzapanja for working late nights sorting through thousands of files to retrieve all the catch and effort data. The original manuscript was improved by two anonymous reviewers. Thank you to the crew of the Ndunduma and to USAid for funding the project through the USAid CGIAR Linkage Fund.</t>
  </si>
  <si>
    <t>10.1016/j.jglr.2012.09.022</t>
  </si>
  <si>
    <t>052FM</t>
  </si>
  <si>
    <t>WOS:000312183100013</t>
  </si>
  <si>
    <t>Hanafiah, MM; Hendriks, AJ; Huijbregts, MAJ</t>
  </si>
  <si>
    <t>Hanafiah, Marlia M.; Hendriks, A. Jan; Huijbregts, Mark A. J.</t>
  </si>
  <si>
    <t>Comparing the ecological footprint with the biodiversity footprint of products</t>
  </si>
  <si>
    <t>Mean species abundance; Land use; Ecoinvent; Life cycle assessment</t>
  </si>
  <si>
    <t>LIFE-CYCLE ASSESSMENT; LAND-USE IMPACTS; DIVERSITY</t>
  </si>
  <si>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</si>
  <si>
    <t>[Hanafiah, Marlia M.; Hendriks, A. Jan; Huijbregts, Mark A. J.] Radboud Univ Nijmegen, Fac Sci, Dept Environm Sci, NL-6500 GL Nijmegen, Netherlands; [Hanafiah, Marlia M.] Natl Univ Malaysia, Dept Environm Sci, Fac Sci &amp; Technol, Sch Environm &amp; Nat Resource Sci, Ukm Bangi 43600, Selangor, Malaysia</t>
  </si>
  <si>
    <t>Radboud University Nijmegen; Universiti Kebangsaan Malaysia</t>
  </si>
  <si>
    <t>Huijbregts, MAJ (corresponding author), Radboud Univ Nijmegen, Fac Sci, Dept Environm Sci, NL-6500 GL Nijmegen, Netherlands.</t>
  </si>
  <si>
    <t>M.Huijbregts@science.ru.nl</t>
  </si>
  <si>
    <t>Hendriks, Aalbert/C-6767-2013; Hanafiah, Marlia/AAN-4611-2020; Huijbregts, Mark/B-8971-2011; Huijbregts, Mark/LSL-2248-2024</t>
  </si>
  <si>
    <t>Huijbregts, Mark/0000-0002-7037-680X;</t>
  </si>
  <si>
    <t>Ministry of Higher Education Malaysia; National University of Malaysia</t>
  </si>
  <si>
    <t>Ministry of Higher Education Malaysia(Ministry of Education, Malaysia); National University of Malaysia</t>
  </si>
  <si>
    <t>We thank the anonymous reviewers for their useful suggestions. Marlia Mohd Hanafiah was financed by the Ministry of Higher Education Malaysia and the National University of Malaysia.</t>
  </si>
  <si>
    <t>10.1016/j.jclepro.2012.06.016</t>
  </si>
  <si>
    <t>014KS</t>
  </si>
  <si>
    <t>WOS:000309375200010</t>
  </si>
  <si>
    <t>Mastrangelo, ME; Gavin, MC</t>
  </si>
  <si>
    <t>Mastrangelo, Matias E.; Gavin, Michael C.</t>
  </si>
  <si>
    <t>Trade-Offs between Cattle Production and Bird Conservation in an Agricultural Frontier of the Gran Chaco of Argentina</t>
  </si>
  <si>
    <t>dry forests; food production; land-use planning; silvopastoral systems</t>
  </si>
  <si>
    <t>BIODIVERSITY CONSERVATION; GLOBAL CHANGE; AGROECOSYSTEMS; QUESTIONS; WOODLAND; FORESTS; POLICY</t>
  </si>
  <si>
    <t>Intensification of food production in tropical landscapes in the absence of land-use planning can pose a major threat to biological diversity. Decisions on whether to spatially integrate or segregate lands for production and conservation depend in part on the functional relations between biological diversity and agricultural productivity. We measured diversity, density, and species composition of birds along a gradient of production intensification on an agricultural frontier of the Argentine Chaco, where dry tropical forests are cleared for cattle production. Bird species diversity in intact forests was higher than in any type of cattle-production system. Bird species richness decreased nonlinearly as cattle yield increased. Intermediate-intensity silvopastoral systems, those in which forest understory is selectively cleared to grow pastures of non-native plants beneath the tree canopy, produced 80% of the mean cattle yield obtained in pastures on cleared areas and were occupied by 70-90% of the number of bird species present in the nearest forest fragments. Densities of &gt;50% of bird species were significantly lower in open pastures than in silvopastoral systems. Therefore, intermediate-intensity silvopastoral systems may have the greatest potential to sustain cattle yield and conserve a large percentage of bird species. However, compared with low-intensity production systems, in which forest structure and extent were intact, intermediate-intensity silvopastoral systems supported significantly fewer forest-restricted bird species and fewer frugivorous birds. These data suggest that the integration of production and conservation through intermediate-intensity silvopastoral systems combined with the protection of forest fragments may be required to maintain cattle yield, bird diversity, and conservation of forest-restricted species in this agricultural frontier.</t>
  </si>
  <si>
    <t>[Mastrangelo, Matias E.; Gavin, Michael C.] Victoria Univ Wellington, Sch Geog Environm &amp; Earth Sci, Wellington 6140, New Zealand</t>
  </si>
  <si>
    <t>Victoria University Wellington</t>
  </si>
  <si>
    <t>Mastrangelo, ME (corresponding author), Univ Nacl Mar del Plata, Fac Ciencias Agr, Unidad Integrada INTA Balcarce, POB 276, RA-7620 Balcarce, Argentina.</t>
  </si>
  <si>
    <t>matias.mastrangelo@vuw.ac.nz</t>
  </si>
  <si>
    <t>Mastrangelo, Matias/0000-0002-3049-3534; Gavin, Michael/0000-0002-2169-4668</t>
  </si>
  <si>
    <t>New Zealand Agency for International Development (NZAID)</t>
  </si>
  <si>
    <t>We are grateful to cattle ranchers and rural extension agents who contributed to this research in the field. This study was possible thanks to a postgraduate scholarship granted by the New Zealand Agency for International Development (NZAID).</t>
  </si>
  <si>
    <t>10.1111/j.1523-1739.2012.01904.x</t>
  </si>
  <si>
    <t>033LQ</t>
  </si>
  <si>
    <t>WOS:000310798400011</t>
  </si>
  <si>
    <t>Sallenger, AH; Doran, KS; Howd, PA</t>
  </si>
  <si>
    <t>Sallenger, Asbury H., Jr.; Doran, Kara S.; Howd, Peter A.</t>
  </si>
  <si>
    <t>Hotspot of accelerated sea-level rise on the Atlantic coast of North America</t>
  </si>
  <si>
    <t>GREENLAND</t>
  </si>
  <si>
    <t>Climate warming does not force sea-level rise (SLR) at the same rate everywhere. Rather, there are spatial variations of SLR superimposed on a global average rise. These variations are forced by dynamic processes(1-4), arising from circulation and variations in temperature and/or salinity, and by static equilibrium processes(5), arising from mass redistributions changing gravity and the Earth's rotation and shape. These sea-level variations form unique spatial patterns, yet there are very few observations verifying predicted patterns or fingerprints(6). Here, we present evidence of recently accelerated SLR in a unique 1,000-km-long hotspot on the highly populated North American Atlantic coast north of Cape Hatteras and show that it is consistent with a modelled fingerprint of dynamic SLR. Between 1950-1979 and 1980-2009, SLR rate increases in this northeast hotspot were similar to 3-4 times higher than the global average. Modelled dynamic plus steric SLR by 2100 at New York City ranges with Intergovernmental Panel on Climate Change scenario from 36 to 51 cm (ref. 3); lower emission scenarios project 24-36 cm (ref. 7). Extrapolations from data herein range from 20 to 29 cm. SLR superimposed on storm surge, wave run-up and set-up will increase the vulnerability of coastal cities to flooding, and beaches and wetlands to deterioration.</t>
  </si>
  <si>
    <t>[Sallenger, Asbury H., Jr.; Doran, Kara S.; Howd, Peter A.] US Geol Survey, St Petersburg Coastal &amp; Marine Sci Ctr, St Petersburg, FL 33701 USA</t>
  </si>
  <si>
    <t>United States Department of the Interior; United States Geological Survey</t>
  </si>
  <si>
    <t>Sallenger, AH (corresponding author), US Geol Survey, St Petersburg Coastal &amp; Marine Sci Ctr, 600 4th St S, St Petersburg, FL 33701 USA.</t>
  </si>
  <si>
    <t>asallenger@usgs.gov</t>
  </si>
  <si>
    <t>Doran, Kara/0000-0001-8050-5727</t>
  </si>
  <si>
    <t>USGS Coastal and Marine Geology Program</t>
  </si>
  <si>
    <t>The USGS Coastal and Marine Geology Program provided the financial support for this work. We thank the following for providing comments on our manuscript before submission: K. A. Holman, J. Boon, C. Fletcher, N. Plant, E. R. Thieler, L. Robbins and J. List. We also thank G. Mitchum, P. Thompson and J. Haines for useful discussions about dynamic SLR and results presented in this paper. K. Morgan assisted with preparation of the final figures.</t>
  </si>
  <si>
    <t>10.1038/NCLIMATE1597</t>
  </si>
  <si>
    <t>055RF</t>
  </si>
  <si>
    <t>WOS:000312433700023</t>
  </si>
  <si>
    <t>Seiwa, K; Eto, Y; Hishita, M; Masaka, K</t>
  </si>
  <si>
    <t>Seiwa, Kenji; Eto, Yukino; Hishita, Masahiro; Masaka, Kazuhiko</t>
  </si>
  <si>
    <t>Effects of thinning intensity on species diversity and timber production in a conifer (Cryptomeria japonica) plantation in Japan</t>
  </si>
  <si>
    <t>JOURNAL OF FOREST RESEARCH</t>
  </si>
  <si>
    <t>Hardwood-conifer mixed forest; Management goal; Net primary production; Timber production; Trade-off</t>
  </si>
  <si>
    <t>BROAD-LEAVED FORESTS; UNDERSTORY VEGETATION; MANAGED FORESTS; SEEDLING MORTALITY; BROADLEAVED TREES; SPATIAL-PATTERNS; LEAF SURVIVAL; WOODY-PLANTS; BIODIVERSITY; LIGHT</t>
  </si>
  <si>
    <t>In conifer plantations, enhancement of species diversity has become an important management goal. Although thinning is a useful method to enhance diversity, determining optimum thinning intensities may be rather complicated because of potential trade-offs among a broad array of management goals (e.g., recovery of biodiversity, increasing individual tree sizes, increasing net primary production, saving management costs). To evaluate the optimum thinning intensity by analyzing these relationships, we conducted a thinning experiment with three different thinning intensities-unthinned, 33% thinned, and 67% thinned-in a Cryptomeria japonica plantation in 2003, and investigated the number, diameter at breast height (DBH), and diversity of hardwoods (height &gt; 1.5 m) in 2008, and the growth of conifers over five years. In hardwoods, the number of individuals, number of species, mean DBH, and total basal area were greatest in the 67% thinned treatment, irrespective of successional status. However, Shannon's diversity index did not differ among the three treatments due to a disproportionate increase with thinning intensity in the abundance of a mid-successional species, Cornus controversa. Diameter growth of conifers was also highest in the 67% thinned and lowest in the unthinned treatment, whereas the reverse was true for stand volume increment. These results suggest that intensive thinning is a reliable method to convert conifer plantations into conifer-hardwood mixed forests at canopy level much more quickly and consistently than weak thinning, although primary production is to some extent reduced. If forest managers prefer sustainable timber production of conifers rather than full recovery of diversity, weak thinning may be suitable.</t>
  </si>
  <si>
    <t>[Seiwa, Kenji; Eto, Yukino; Hishita, Masahiro] Tohoku Univ, Grad Sch Agr Sci, Lab Forest Ecol, Osaki, Miyagi 9896711, Japan; [Masaka, Kazuhiko] Forestry Res Inst Koshunai, Bibai, Hokkaido 0790198, Japan</t>
  </si>
  <si>
    <t>Tohoku University</t>
  </si>
  <si>
    <t>Seiwa, K (corresponding author), Tohoku Univ, Grad Sch Agr Sci, Lab Forest Ecol, Osaki, Miyagi 9896711, Japan.</t>
  </si>
  <si>
    <t>seiwa@bios.tohoku.ac.jp</t>
  </si>
  <si>
    <t>Ministry of Education, Culture, Sports, Science and Technology, Japan [20380084]; Grants-in-Aid for Scientific Research [23380079] Funding Source: KAKEN</t>
  </si>
  <si>
    <t>Ministry of Education, Culture, Sports, Science and Technology, Japan(Ministry of Education, Culture, Sports, Science and Technology, Japan (MEXT)); Grants-in-Aid for Scientific Research(Ministry of Education, Culture, Sports, Science and Technology, Japan (MEXT)Japan Society for the Promotion of ScienceGrants-in-Aid for Scientific Research (KAKENHI))</t>
  </si>
  <si>
    <t>We thank Yoich Hasegawa, Miki Yamazaki, Aya Imaji, Mikio Terabaru, Naoto Numano, Hiroshi Kanno, Naoto Ueno, Megumi Kimura, Kenichi Kano, Fumihiro Yusa, Noboru Igarashi, and Tomoyuki Umetsu for help with the field observations. This work was supported by a grant from the Ministry of Education, Culture, Sports, Science and Technology, Japan (no. 20380084).</t>
  </si>
  <si>
    <t>TAYLOR &amp; FRANCIS LTD</t>
  </si>
  <si>
    <t>ABINGDON</t>
  </si>
  <si>
    <t>2-4 PARK SQUARE, MILTON PARK, ABINGDON OR14 4RN, OXON, ENGLAND</t>
  </si>
  <si>
    <t>1341-6979</t>
  </si>
  <si>
    <t>1610-7403</t>
  </si>
  <si>
    <t>J FOREST RES-JPN</t>
  </si>
  <si>
    <t>J. For. Res.</t>
  </si>
  <si>
    <t>10.1007/s10310-011-0316-z</t>
  </si>
  <si>
    <t>035OW</t>
  </si>
  <si>
    <t>WOS:000310957800003</t>
  </si>
  <si>
    <t>Miettinen, J; Hooijer, A; Shi, CH; Tollenaar, D; Vernimmen, R; Liew, SC; Malins, C; Page, SE</t>
  </si>
  <si>
    <t>Miettinen, Jukka; Hooijer, Aljosja; Shi, Chenghua; Tollenaar, Daniel; Vernimmen, Ronald; Liew, Soo Chin; Malins, Chris; Page, Susan E.</t>
  </si>
  <si>
    <t>Extent of industrial plantations on Southeast Asian peatlands in 2010 with analysis of historical expansion and future projections</t>
  </si>
  <si>
    <t>GLOBAL CHANGE BIOLOGY BIOENERGY</t>
  </si>
  <si>
    <t>oil palm; peatland carbon emissions; peatland conversion; plantation development; pulp wood production; tropical peatland</t>
  </si>
  <si>
    <t>PEAT SWAMP FOREST; KALIMANTAN; EMISSIONS; SUMATRA</t>
  </si>
  <si>
    <t>Tropical peatlands cover over 25 Mha in Southeast Asia and are estimated to contain around 70 Gt of carbon. Peat swamp forest ecosystems are an important part of the region's natural resources supporting unique flora and fauna endemic to Southeast Asia. Over recent years, industrial plantation development on peatland, especially for oil palm cultivation, has created intense debate due to its potentially adverse social and environmental effects. The lack of objective up-to-date information on the extent of industrial plantations has complicated quantification of their regional and global environmental consequences, both in terms of loss of forest and biodiversity as well as increases in carbon emissions. Based on visual interpretation of high-resolution (30 m) satellite images, we find that industrial plantations covered over 3.1 Mha (20%) of the peatlands of Peninsular Malaysia, Sumatra and Borneo in 2010, surpassing the area of Belgium and causing an annual carbon emission from peat decomposition of 230310 Mt CO2e. The majority (62%) of the plantations were located on the island of Sumatra, and over two-thirds (69%) of all industrial plantations were developed for oil palm cultivation, with the remainder mostly being Acacia plantations for paper pulp production. Historical analysis shows strong acceleration of plantation development in recent years: 70% of all industrial plantations have been established since 2000 and only 4% of the current plantation area existed in 1990. Business-as-usual projections of future conversion rates, based on historical rates over the past two decades, indicate that 69 Mha of peatland in insular Southeast Asia may be converted to plantations by the year 2020, unless land use planning policies or markets for products change. This would increase the annual carbon emission to somewhere between 380 and 920 Mt CO2e by 2020 depending on water management practices and the extent of plantations.</t>
  </si>
  <si>
    <t>[Miettinen, Jukka; Shi, Chenghua; Liew, Soo Chin] Natl Univ Singapore, Ctr Remote Imaging Sensing &amp; Proc, Singapore 119076, Singapore; [Hooijer, Aljosja; Tollenaar, Daniel; Vernimmen, Ronald] Stichting Deltares, NL-2629 HD Delft, Netherlands; [Malins, Chris] Int Council Clean Transportat, Washington, DC 20005 USA; [Page, Susan E.] Univ Leicester, Dept Geog, Leicester LE1 7HR, Leics, England</t>
  </si>
  <si>
    <t>National University of Singapore; Deltares; University of Leicester</t>
  </si>
  <si>
    <t>Miettinen, J (corresponding author), Natl Univ Singapore, Ctr Remote Imaging Sensing &amp; Proc, 10 Lower Kent Ridge Rd,Blk S17,Level 2, Singapore 119076, Singapore.</t>
  </si>
  <si>
    <t>crsjim@nus.edu.sg</t>
  </si>
  <si>
    <t>Malins, Chris/AAL-7901-2021; Liew, Soo Chin/C-9187-2011; Liew, Soo/C-9187-2011</t>
  </si>
  <si>
    <t>Liew, Soo Chin/0000-0001-8342-4682; Vernimmen, Ronald/0000-0002-9899-3826; Page, Susan/0000-0002-3392-9241; Miettinen, Jukka/0000-0001-8510-1553</t>
  </si>
  <si>
    <t>International Council on Clean Transportation (ICCT); Agency for Science, Technology and Research (A*STAR) of Singapore</t>
  </si>
  <si>
    <t>International Council on Clean Transportation (ICCT); Agency for Science, Technology and Research (A*STAR) of Singapore(Agency for Science Technology &amp; Research (A*STAR))</t>
  </si>
  <si>
    <t>This research was mainly funded by the International Council on Clean Transportation (ICCT). J.M., C. S. and S. C. L. also acknowledge financial support from the Agency for Science, Technology and Research (A*STAR) of Singapore to the Centre for Remote Imaging, Sensing and Processing (CRISP).</t>
  </si>
  <si>
    <t>1757-1693</t>
  </si>
  <si>
    <t>1757-1707</t>
  </si>
  <si>
    <t>GCB BIOENERGY</t>
  </si>
  <si>
    <t>GCB Bioenergy</t>
  </si>
  <si>
    <t>10.1111/j.1757-1707.2012.01172.x</t>
  </si>
  <si>
    <t>Agronomy; Biotechnology &amp; Applied Microbiology; Energy &amp; Fuels</t>
  </si>
  <si>
    <t>Agriculture; Biotechnology &amp; Applied Microbiology; Energy &amp; Fuels</t>
  </si>
  <si>
    <t>015MK</t>
  </si>
  <si>
    <t>WOS:000309450100028</t>
  </si>
  <si>
    <t>Abraham, RK; Kelkar, N</t>
  </si>
  <si>
    <t>Abraham, Robin Kurian; Kelkar, Nachiket</t>
  </si>
  <si>
    <t>Do terrestrial protected areas conserve freshwater fish diversity? Results from the Western Ghats of India</t>
  </si>
  <si>
    <t>Diversity; fish; freshwater; India; Western Ghats</t>
  </si>
  <si>
    <t>RIVER-BASIN; SRI-LANKA; BIODIVERSITY; NETWORKS; LANDSCAPE; PATTERNS; FORESTS; RESERVE; THREATS; RANGE</t>
  </si>
  <si>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</si>
  <si>
    <t>Tata Inst Fundamental Res, Natl Ctr Biol Sci, Bangalore, Karnataka, India</t>
  </si>
  <si>
    <t>Tata Institute of Fundamental Research (TIFR); National Centre for Biological Sciences (NCBS)</t>
  </si>
  <si>
    <t>Kelkar, N (corresponding author), TC 11-1123,Kowdiar PO, Thiruvananthapuram 695003, Kerala, India.</t>
  </si>
  <si>
    <t>rainmaker.nsk@gmail.com</t>
  </si>
  <si>
    <t>Conservation Leadership Programme</t>
  </si>
  <si>
    <t>We thank the Conservation Leadership Programme for funding, and the Kerala Forest Department for research permits and logistic support, and two anonymous reviewers and Geoff Hyde of the National Centre for Biological Sciences (NCBS), Bangalore, for constructive comments that greatly enhanced this article. We are also grateful to Uma Ramakrishnan of NCBS, and Ajith Kumar and Jagdish Krishnaswamy of the Wildlife Conservation Society-India for their continuous support, R. Rajesh, Chacko, Chandrankutty, Francis, Sukumaran and Thomas Ammavan for field assistance and logistic support, and A. Bijukumar, C. P. Shaji and Kurian Mathew Abraham who shared vital information and provided logistic support.</t>
  </si>
  <si>
    <t>EDINBURGH BLDG, SHAFTESBURY RD, CB2 8RU CAMBRIDGE, ENGLAND</t>
  </si>
  <si>
    <t>10.1017/S0030605311000937</t>
  </si>
  <si>
    <t>015UT</t>
  </si>
  <si>
    <t>WOS:000309472600015</t>
  </si>
  <si>
    <t>Hosonuma, N; Herold, M; De Sy, V; De Fries, RS; Brockhaus, M; Verchot, L; Angelsen, A; Romijn, E</t>
  </si>
  <si>
    <t>Hosonuma, Noriko; Herold, Martin; De Sy, Veronique; De Fries, Ruth S.; Brockhaus, Maria; Verchot, Louis; Angelsen, Arild; Romijn, Erika</t>
  </si>
  <si>
    <t>An assessment of deforestation and forest degradation drivers in developing countries</t>
  </si>
  <si>
    <t>deforestation; forest degradation; tropics; drivers; proximate causes; REDD; developing countries; forest transition model</t>
  </si>
  <si>
    <t>LAND</t>
  </si>
  <si>
    <t>Countries are encouraged to identify drivers of deforestation and forest degradation in the development of national strategies and action plans for REDD+. In this letter we provide an assessment of proximate drivers of deforestation and forest degradation by synthesizing empirical data reported by countries as part of their REDD+ readiness activities, CIFOR country profiles, UNFCCC national communications and scientific literature. Based on deforestation rate and remaining forest cover 100 (sub) tropical non-Annex I countries were grouped into four forest transition phases. Driver data of 46 countries were summarized for each phase and by continent, and were used as a proxy to estimate drivers for the countries with missing data. The deforestation drivers are similar in Africa and Asia, while degradation drivers are more similar in Latin America and Asia. Commercial agriculture is the most important driver of deforestation, followed by subsistence agriculture. Timber extraction and logging drives most of the degradation, followed by fuelwood collection and charcoal production, uncontrolled fire and livestock grazing. The results reflect the most up to date and comprehensive overview of current national-level data availability on drivers, which is expected to improve over time within the frame of the UNFCCC REDD+ process.</t>
  </si>
  <si>
    <t>[Herold, Martin; De Sy, Veronique] Wageningen Univ, Lab Geoinformat Sci &amp; Remote Sensing, NL-6708 PB Wageningen, Netherlands; [De Fries, Ruth S.] Columbia Univ, Dept Ecol Evolut &amp; Environm Biol E3B, New York, NY 10027 USA; [Brockhaus, Maria; Verchot, Louis; Angelsen, Arild; Romijn, Erika] Jl CIFOR, Ctr Int Forestry Res, Bogor 16115, Indonesia; [Angelsen, Arild] Norwegian Univ Life Sci UMB, Sch Business &amp; Econ, NO-1432 As, Norway</t>
  </si>
  <si>
    <t>Wageningen University &amp; Research; Columbia University; CGIAR; Center for International Forestry Research (CIFOR); Norwegian University of Life Sciences</t>
  </si>
  <si>
    <t>niki.desy@wur.nl</t>
  </si>
  <si>
    <t>; DeFries, Ruth/AFJ-8022-2022; De Sy, Veronique/P-6526-2014; Verchot, Louis/C-4537-2008; Herold, Martin/F-8553-2012</t>
  </si>
  <si>
    <t>Brockhaus, Maria/0000-0001-7348-4921; De Sy, Veronique/0000-0003-3647-7866; Herold, Martin/0000-0003-0246-6886; Angelsen, Arild/0000-0002-6037-6849; Verchot, Louis/0000-0001-8309-6754</t>
  </si>
  <si>
    <t>NORAD; Ministry of Education, Culture, Sports, Science and Technology (MEXT) in Japan</t>
  </si>
  <si>
    <t>NORAD(CGIAR); Ministry of Education, Culture, Sports, Science and Technology (MEXT) in Japan(Ministry of Education, Culture, Sports, Science and Technology, Japan (MEXT))</t>
  </si>
  <si>
    <t>The authors gratefully acknowledge the support of NORAD for the CIFOR Global Comparative Study on REDD, under which parts of this research were carried out. N Hosonuma gratefully acknowledges support from the overseas fellowship for space development by the Ministry of Education, Culture, Sports, Science and Technology (MEXT) in Japan.</t>
  </si>
  <si>
    <t>10.1088/1748-9326/7/4/044009</t>
  </si>
  <si>
    <t>059IA</t>
  </si>
  <si>
    <t>WOS:000312696400013</t>
  </si>
  <si>
    <t>Otto, R; García-del-Rey, E; Méndez, J; Fernández-Palacios, JM</t>
  </si>
  <si>
    <t>Otto, Ruediger; Garcia-del-Rey, Eduardo; Mendez, Javier; Maria Fernandez-Palacios, Jose</t>
  </si>
  <si>
    <t>Effects of thinning on seed rain, regeneration and understory vegetation in a Pinus canariensis plantation (Tenerife, Canary Islands)</t>
  </si>
  <si>
    <t>Thinning; Regeneration; Diversity; GLMM; MRPP; Conservation</t>
  </si>
  <si>
    <t>MIXED-CONIFER FOREST; CONE PRODUCTION; PONDEROSA PINE; RESTORATION TREATMENTS; SPECIES-DIVERSITY; GAP SIZE; GROWTH; ESTABLISHMENT; FIRE; RESPONSES</t>
  </si>
  <si>
    <t>Stand density management in even-aged coniferous plantations may increase biodiversity and enhance natural tree regeneration. Thinning of pine plantations has only recently been started on the Canary Islands, yet the ecological effects of this treatment are relatively unknown. Our objective was to investigate the impact of thinning on pine seed rain, natural pine regeneration and diversity of understory vegetation in Pinus canariensis plantations. Seven years after thinning, we sampled 60-year old plantations thinned by 60% of basal area, unthinned stands and adjacent semi-natural old-growth forests. Thinning significantly increased pine seed rain to levels similar to semi-natural stands. This is probably a result of fast crown development and enhanced cone production due to the immediate release of resources and reduction in competition. In contrast, plantations with the highest tree densities had very low seed production, limiting pine regeneration. Seed rain showed seasonal fluctuations with clear summer peaks of seed release. Thinning also significantly increased seedling, sapling and juvenile densities. However, thinned plantations still differed from old-growth forests in seedling and juvenile densities. Thinning promoted understory plant diversity, including typical endemic pine forest species, without triggering plant invasion, which is of great conservation interest. This study provides evidence that heavy thinning represents an important management tool to enhance naturalization and local biodiversity of Canary pine plantations, common in large areas of this Archipelago. (C) 2012 Elsevier B.V. All rights reserved.</t>
  </si>
  <si>
    <t>[Otto, Ruediger; Garcia-del-Rey, Eduardo; Mendez, Javier; Maria Fernandez-Palacios, Jose] Univ La Laguna, Dept Ecol, Fac Biol, E-38206 Tenerife, Canary Islands, Spain</t>
  </si>
  <si>
    <t>Universidad de la Laguna</t>
  </si>
  <si>
    <t>Otto, R (corresponding author), Univ La Laguna, Dept Ecol, Fac Biol, E-38206 Tenerife, Canary Islands, Spain.</t>
  </si>
  <si>
    <t>rudiotto@ull.es</t>
  </si>
  <si>
    <t>Fernández-Palacios, José María/H-2054-2015</t>
  </si>
  <si>
    <t>Fernández-Palacios, José María/0000-0001-9741-6878</t>
  </si>
  <si>
    <t>Cabildo Insular de Tenerife; Area de Medio Ambiente; Sostenibilidad Territorial y Aguas</t>
  </si>
  <si>
    <t>We thank the local authorities (Cabildo Insular de Tenerife, Area de Medio Ambiente, Sostenibilidad Territorial y Aguas) for funding the investigation and Pascual Gil Munoz for his excellent collaboration. We are grateful to Silvia Fernandez Lugo, Celia Garcia Dominguez and Maruxa Aguilar Garcia for field data collection and to Cristina Blandino for the help with the statistical program R.</t>
  </si>
  <si>
    <t>10.1016/j.foreco.2012.05.027</t>
  </si>
  <si>
    <t>991HZ</t>
  </si>
  <si>
    <t>WOS:000307693400009</t>
  </si>
  <si>
    <t>Alcantara, C; Kuemmerle, T; Prishchepov, AV; Radeloff, VC</t>
  </si>
  <si>
    <t>Alcantara, Camilo; Kuemmerle, Tobias; Prishchepov, Alexander V.; Radeloff, Volker C.</t>
  </si>
  <si>
    <t>Mapping abandoned agriculture with multi-temporal MODIS satellite data</t>
  </si>
  <si>
    <t>REMOTE SENSING OF ENVIRONMENT</t>
  </si>
  <si>
    <t>Agricultural abandonment; Change detection; Eastern Europe and the former Soviet Union; Fallow land; Farmland; Landsat; Land use and land cover change; MODIS; Phenology; Support vector machines; SVM; Time series</t>
  </si>
  <si>
    <t>GLOBAL LAND-COVER; TIME-SERIES; LANDSCAPE STRUCTURE; FOREST TRANSITIONS; CLASSIFICATION; DYNAMICS; CONSERVATION; CONSEQUENCES; VEGETATION; ACCURACY</t>
  </si>
  <si>
    <t>Agriculture is expanding and intensifying in many areas of the world, but abandoned agriculture is also becoming more widespread. Unfortunately, data and methods to monitor abandoned agriculture accurately over large areas are lacking. Remote sensing methods may be able to fill this gap though, especially with the frequent observations provided by coarser-resolution sensors and new classification techniques. Past efforts to map abandoned agriculture relied mainly on Landsat data, making it hard to map large regions, and precluding the use of phenology information to identify abandoned agriculture. Our objective here was to test methods to map abandoned agriculture at broad scales with coarse-resolution satellite imagery and phenology data. We classified abandoned agriculture for one Moderate Resolution Imaging Spectroradiometer (MODIS) tile in Eastern Europe (-1,236,000 km(2)) where abandoned agriculture was widespread. Input data included Normalized Difference Vegetation Index (NDVI) and reflectance bands (NASA Global MODIS Terra and Aqua 16-Day Vegetation Indices for the years 2003 through 2008, -250-m resolution), as well as phenology metrics calculated with TIMESAT. The data were classified with Support Vector Machines (SVM). Training data were derived from several Landsat classifications of agricultural abandonment in the study area. A validation was conducted based on independently collected data. Our results showed that it is possible to map abandoned agriculture for large areas from MODIS data with an overall classification accuracy of 65%. Abandoned agriculture was widespread in our study area (15.1% of the total area, compared to 29.6% agriculture). We found strong differences in the MODIS data quality for different years, with data from 2005 resulting in the highest classification accuracy for the abandoned agriculture class (42.8% producer's accuracy). Classifications of MODIS NDVI data were almost as accurate as classifications based on a combination of both red and near-infrared reflectance data. MODIS NDVI data only from the growing-season resulted in similar classification accuracy as data for the full year. Using multiple years of MODIS data did not increase classification accuracy. Six phenology metrics derived with TIMESAT from the NDVI time series (2003-2008) alone were insufficient to detect abandoned agriculture, but phenology metrics improved classification accuracies when used in conjunction with NDVI time series by more than 8% over the use of NDVI data alone. The approach that we identified here is promising and suggests that it is possible to map abandoned agriculture at broad scales, which is relevant to gain a better understanding of this important land use change process. (C) 2012 Elsevier Inc. All rights reserved.</t>
  </si>
  <si>
    <t>[Alcantara, Camilo] Univ Autonoma Queretaro, Fac Ciencias, Queretaro 76140, Mexico; [Kuemmerle, Tobias] Humboldt Univ, Dept Geog, D-10099 Berlin, Germany; [Kuemmerle, Tobias] Potsdam Inst Climate Impact Res PIK, D-14412 Potsdam, Germany; [Prishchepov, Alexander V.; Radeloff, Volker C.] Univ Wisconsin, Dept Forest &amp; Wildlife Ecol, Madison, WI 53706 USA</t>
  </si>
  <si>
    <t>Universidad Autonoma de Queretaro; Humboldt University of Berlin; Potsdam Institut fur Klimafolgenforschung; University of Wisconsin System; University of Wisconsin Madison</t>
  </si>
  <si>
    <t>Alcantara, C (corresponding author), Univ Autonoma Queretaro, Fac Ciencias, Carr Chichimequillas S-N, Queretaro 76140, Mexico.</t>
  </si>
  <si>
    <t>alcantara@wisc.edu</t>
  </si>
  <si>
    <t>Kuemmerle, Tobias/B-4340-2008; Radeloff, Volker/B-6124-2016; Prishchepov, Alexander/H-6708-2012; Alcántara Concepción, Peo Camilo/C-9250-2011; Alcántara Concepción, Pedro Camilo/C-9250-2011</t>
  </si>
  <si>
    <t>Kuemmerle, Tobias/0000-0002-9775-142X; Radeloff, Volker/0000-0001-9004-221X; Prishchepov, Alexander/0000-0003-2375-1651; Alcántara Concepción, Peo Camilo/0000-0001-5820-5365;</t>
  </si>
  <si>
    <t>Consejo Nacional de Ciencia y Tecnologia (CONACyT, Mexico); NASA Land-Cover and Land-Use Change Program; Einstein Foundation; European Commission [FP7-ENV-2010-265104]; University of Wisconsin-Madison</t>
  </si>
  <si>
    <t>Consejo Nacional de Ciencia y Tecnologia (CONACyT, Mexico)(Consejo Nacional de Ciencia y Tecnologia (CONACyT)); NASA Land-Cover and Land-Use Change Program(National Aeronautics &amp; Space Administration (NASA)); Einstein Foundation; European Commission(European Union (EU)European Commission Joint Research Centre); University of Wisconsin-Madison(University of Wisconsin Madison)</t>
  </si>
  <si>
    <t>We gratefully acknowledge support by Consejo Nacional de Ciencia y Tecnologia (CONACyT, Mexico), the NASA Land-Cover and Land-Use Change Program, the Einstein Foundation, the European Commission (VOLANTE, FP7-ENV-2010-265104), and the University of Wisconsin-Madison. Two anonymous reviewers provided helpful comments, which greatly improved the manuscript. P. Hostert and A. Sieber from Humboldt-University Berlin generously shared their classification of abandonment near Chernobyl. We also express our gratitude to University of Wisconsin-Madison SILVIS lab fellows, especially to M. Dubinin and M. Baumann, for their technical assistance and fruitful discussions.</t>
  </si>
  <si>
    <t>ELSEVIER SCIENCE INC</t>
  </si>
  <si>
    <t>STE 800, 230 PARK AVE, NEW YORK, NY 10169 USA</t>
  </si>
  <si>
    <t>0034-4257</t>
  </si>
  <si>
    <t>1879-0704</t>
  </si>
  <si>
    <t>REMOTE SENS ENVIRON</t>
  </si>
  <si>
    <t>Remote Sens. Environ.</t>
  </si>
  <si>
    <t>10.1016/j.rse.2012.05.019</t>
  </si>
  <si>
    <t>Environmental Sciences; Remote Sensing; Imaging Science &amp; Photographic Technology</t>
  </si>
  <si>
    <t>Environmental Sciences &amp; Ecology; Remote Sensing; Imaging Science &amp; Photographic Technology</t>
  </si>
  <si>
    <t>039LQ</t>
  </si>
  <si>
    <t>WOS:000311247700029</t>
  </si>
  <si>
    <t>Imai, N; Seino, T; Aiba, S; Takyu, M; Titin, J; Kitayama, K</t>
  </si>
  <si>
    <t>Imai, Nobuo; Seino, Tatsuyuki; Aiba, Shin-ichiro; Takyu, Masaaki; Titin, Jupiri; Kitayama, Kanehiro</t>
  </si>
  <si>
    <t>Effects of selective logging on tree species diversity and composition of Bornean tropical rain forests at different spatial scales</t>
  </si>
  <si>
    <t>PLANT ECOLOGY</t>
  </si>
  <si>
    <t>Borneo; Forest heterogeneity; Nonmetric multidimensional scaling (NMDS); PERMANOVA; Species-accumulation curves</t>
  </si>
  <si>
    <t>REDUCED-IMPACT; BIODIVERSITY CONSERVATION; FLORISTIC COMPOSITION; HABITAT MODIFICATION; WOOD DENSITY; DISTURBANCE; MANAGEMENT; SECONDARY; KALIMANTAN; RICHNESS</t>
  </si>
  <si>
    <t>Reduced-impact logging (RIL) is known to be beneficial in biodiversity conservation, but its effects on tree diversity remain unknown. Pattern of tree diversity following disturbance usually varies with spatial scale of sampling (i.e., plot size). We examined the impacts of RIL on species richness and community composition of tree species at different spatial scales, and the scale (plot size) dependency of the two metrics; species richness versus community similarity. One 2-ha and three to four 0.2-ha plots were established in each of primary, RIL, and conventionally logged (CL) forest in Sabah, Malaysia. Species richness (the number of species per unit number of stems) was higher in the RIL than in the CL forest at both scales. The relationship between species richness and logging intensity varied with plot size. Species richness was greater in the RIL than in the primary forest at the 2-ha scale, while it was similar between the two forests at 0.2-ha scale. Similarly, species richness in the CL forest demonstrated a greater value at the 2-ha scale than at the 0.2-ha scale. Greater species richness in the two logged forests at the 2-ha scale is attributable to a greater probability of encountering the species-rich, small patches that are distributed heterogeneously. Community composition of the RIL forest more resembled that of the primary forest than that of the CL forest, regardless of plot size. Accordingly, species richness is a scale-dependent metric, while community similarity is a more robust metric to indicate the response of tree assemblage to anthropogenic disturbance.</t>
  </si>
  <si>
    <t>[Imai, Nobuo; Kitayama, Kanehiro] Kyoto Univ, Grad Sch Agr, Sakyo Ku, Kyoto 6068502, Japan; [Seino, Tatsuyuki] Univ Tsukuba, Grad Sch Life &amp; Environm Sci, Tsukuba, Ibaraki 3058577, Japan; [Aiba, Shin-ichiro] Kagoshima Univ, Grad Sch Sci &amp; Engn, Kagoshima 8900065, Japan; [Takyu, Masaaki] Tokyo Univ Agr, Fac Reg Environm Sci, Setagaya Ku, Tokyo 1568502, Japan; [Titin, Jupiri] Forest Res Ctr, Sabah Forestry Dept, Sandakan 90715, Sabah, Malaysia</t>
  </si>
  <si>
    <t>Kyoto University; University of Tsukuba; Kagoshima University; Tokyo University of Agriculture; Pusat Penyelidikan Hutan</t>
  </si>
  <si>
    <t>Imai, N (corresponding author), Kyoto Univ, Grad Sch Agr, Sakyo Ku, Oiwake Cho, Kyoto 6068502, Japan.</t>
  </si>
  <si>
    <t>inobuo@kais.kyoto-u.ac.jp</t>
  </si>
  <si>
    <t>; Seino, Tatsuyuki/ABD-8302-2021; Imai, Nobuo/AAR-7008-2020; Aiba, Shin-ichiro/A-3011-2010</t>
  </si>
  <si>
    <t>Imai, Nobuo/0000-0002-8435-7693; Aiba, Shin-ichiro/0000-0002-3844-0138; Seino, Tatsuyuki/0000-0003-2103-9599;</t>
  </si>
  <si>
    <t>Ministry of the Environment, Japan [F-071, D-1006]</t>
  </si>
  <si>
    <t>This study was supported by the Global Environment Research Fund F-071 and D-1006 of the Ministry of the Environment, Japan, to KK. We thank D. K. M. Esther for assisting research plot establishment, M. Poster and D. Joel for tree species identification, R. Ajon and many other persons for assisting field survey, R. Aoyagi, A. Langner and A. Tanaka for remote sensing analysis, P. Lagan for generous support for every aspect. We acknowledge the kind assistance from Sabah Forestry Department and Forest Research Centre, Sabah.</t>
  </si>
  <si>
    <t>1385-0237</t>
  </si>
  <si>
    <t>1573-5052</t>
  </si>
  <si>
    <t>PLANT ECOL</t>
  </si>
  <si>
    <t>Plant Ecol.</t>
  </si>
  <si>
    <t>10.1007/s11258-012-0100-y</t>
  </si>
  <si>
    <t>991RG</t>
  </si>
  <si>
    <t>WOS:000307718300004</t>
  </si>
  <si>
    <t>Dullinger, S; Gattringer, A; Thuiller, W; Moser, D; Zimmermann, NE; Guisan, A; Willner, W; Plutzar, C; Leitner, M; Mang, T; Caccianiga, M; Dirnböck, T; Ertl, S; Fischer, A; Lenoir, J; Svenning, JC; Psomas, A; Schmatz, DR; Silc, U; Vittoz, P; Hülber, K</t>
  </si>
  <si>
    <t>Dullinger, Stefan; Gattringer, Andreas; Thuiller, Wilfried; Moser, Dietmar; Zimmermann, Niklaus E.; Guisan, Antoine; Willner, Wolfgang; Plutzar, Christoph; Leitner, Michael; Mang, Thomas; Caccianiga, Marco; Dirnboeck, Thomas; Ertl, Siegrun; Fischer, Anton; Lenoir, Jonathan; Svenning, Jens-Christian; Psomas, Achilleas; Schmatz, Dirk R.; Silc, Urban; Vittoz, Pascal; Huelber, Karl</t>
  </si>
  <si>
    <t>Extinction debt of high-mountain plants under twenty-first-century climate change</t>
  </si>
  <si>
    <t>CHANGE IMPACTS; BIODIVERSITY; DISTRIBUTIONS; VEGETATION; ELEVATION; DIVERSITY; SHIFTS</t>
  </si>
  <si>
    <t>Quantitative estimates of the range loss of mountain plants under climate change have so far mostly relied on static geographical projections of species' habitat shifts(1-3). Here, we use a hybrid model(4) that combines such projections with simulations of demography and seed dispersal to forecast the climate-driven spatio-temporal dynamics of 150 high-mountain plant species across the European Alps. This model predicts average range size reductions of 44-50% by the end of the twenty-first century, which is similar to projections from the most 'optimistic' static model (49%). However, the hybrid model also indicates that population dynamics will lag behind climatic trends and that an average of 40% of the range still occupied at the end of the twenty-first century will have become climatically unsuitable for the respective species, creating an extinction debt(5,6). Alarmingly, species endemic to the Alps seem to face the highest range losses. These results caution against optimistic conclusions from moderate range size reductions observed during the twenty-first century as they are likely to belie more severe longer-term effects of climate warming on mountain plants.</t>
  </si>
  <si>
    <t>[Dullinger, Stefan; Gattringer, Andreas; Moser, Dietmar; Willner, Wolfgang; Plutzar, Christoph; Mang, Thomas; Huelber, Karl] Vienna Inst Nat Conservat &amp; Anal, A-1090 Vienna, Austria; [Dullinger, Stefan; Mang, Thomas; Ertl, Siegrun] Univ Vienna, Fac Ctr Biodivers, A-1030 Vienna, Austria; [Thuiller, Wilfried] Univ Grenoble 1, CNRS, Lab Ecol Alpine, UMR 5553, F-38041 Grenoble 9, France; [Zimmermann, Niklaus E.; Psomas, Achilleas; Schmatz, Dirk R.] Swiss Fed Res Inst WSL, Landscape Dynam Unit, CH-8903 Birmensdorf, Switzerland; [Guisan, Antoine; Vittoz, Pascal] Univ Lausanne, Dept Ecol &amp; Evolut, CH-1015 Lausanne, Switzerland; [Plutzar, Christoph] Alpen Adria Univ, Inst Social Ecol Vienna SEC, A-1070 Vienna, Austria; [Leitner, Michael] Univ Vienna, Fac Phys, A-1090 Vienna, Austria; [Leitner, Michael] Tech Univ Munich, FRM 2, D-85747 Garching, Germany; [Caccianiga, Marco] Univ Milan, Dept Biol, I-20133 Milan, Italy; [Dirnboeck, Thomas] Environm Agcy Austria, Dept Ecosyst Res &amp; Monitoring, A-1090 Vienna, Austria; [Fischer, Anton] Tech Univ Munich, Ctr Life &amp; Food Sci, D-85354 Freising Weihenstephan, Germany; [Lenoir, Jonathan; Svenning, Jens-Christian] Aarhus Univ, Dept Biosci, Ecoinformat &amp; Biodivers Grp, DK-8000 Aarhus, Denmark; [Lenoir, Jonathan] Univ Picardie Jules Verne, Ecol &amp; Dynam Syst Anthropises EA4698, F-80037 Amiens, France; [Silc, Urban] Inst Biol Zrc Sazu, SI-1000 Ljubljana, Slovenia</t>
  </si>
  <si>
    <t>University of Vienna; Centre National de la Recherche Scientifique (CNRS); CNRS - Institute of Ecology &amp; Environment (INEE); Communaute Universite Grenoble Alpes; Universite Grenoble Alpes (UGA); Universite Savoie Mont Blanc; Swiss Federal Institutes of Technology Domain; Swiss Federal Institute for Forest, Snow &amp; Landscape Research; University of Lausanne; University of Klagenfurt; University of Vienna; Technical University of Munich; University of Milan; Technical University of Munich; Aarhus University; Universite de Picardie Jules Verne (UPJV); Slovenian Academy of Sciences &amp; Arts (SASA)</t>
  </si>
  <si>
    <t>Dullinger, S (corresponding author), Vienna Inst Nat Conservat &amp; Anal, Giessergasse 6-7, A-1090 Vienna, Austria.</t>
  </si>
  <si>
    <t>stefan.dullinger@univie.ac.at</t>
  </si>
  <si>
    <t>Psomas, Achilleas/M-1141-2013; Plutzar, Christoph/J-6055-2015; Fischer, Anton/E-9941-2017; Svenning, Jens-Christian/C-8977-2012; Thuiller, Wilfried/G-3283-2010; Willner, Wolfgang/AAA-4822-2019; Zimmermann, Niklaus/A-4276-2008; Guisan, Antoine/A-1057-2011; CACCIANIGA, MARCO STEFANO/B-1025-2017; Šilc, Urban/ABC-8488-2021; Lenoir, Jonathan/AAE-8441-2019; Hülber, Karl/H-7822-2019; Schmatz, Dirk/L-7281-2013</t>
  </si>
  <si>
    <t>Hülber, Karl/0000-0001-9274-1647; Plutzar, Christoph/0000-0003-2041-6399; Moser, Dietmar/0000-0002-2745-7508; Fischer, Anton/0000-0002-6781-2594; Svenning, Jens-Christian/0000-0002-3415-0862; Zimmermann, Niklaus/0000-0003-3099-9604; Willner, Wolfgang/0000-0003-1591-8386; Leitner, Michael/0000-0002-4975-6787; Guisan, Antoine/0000-0002-3998-4815; Vittoz, Pascal/0000-0003-4218-4517; CACCIANIGA, MARCO STEFANO/0000-0001-9715-1830; Dirnböck, Thomas/0000-0002-8294-0690; Dullinger, Stefan/0000-0003-3919-0887; Šilc, Urban/0000-0002-3052-699X; Schmatz, Dirk/0000-0002-8198-6136</t>
  </si>
  <si>
    <t>EU [GOCE-CT-2007-036866]; Danish Council for Independent Research-Natural Sciences [272-07-0242]; ANR [ANR-2007-BDIV-014]; Rhone-Alpes region [CPER07-13 CIRA]</t>
  </si>
  <si>
    <t>EU(European Union (EU)); Danish Council for Independent Research-Natural Sciences(Det Frie Forskningsrad (DFF)); ANR(Agence Nationale de la Recherche (ANR)); Rhone-Alpes region(Region Auvergne-Rhone-Alpes)</t>
  </si>
  <si>
    <t>This research was financially supported by the EU 6th Framework Programme for Research, Technological Development and Demonstration (project ECOCHANGE, GOCE-CT-2007-036866) as well as by the Danish Council for Independent Research-Natural Sciences (grant 272-07-0242 to J-C.S.) and the ANR Diversitalp project (ANR-2007-BDIV-014). We thank the Vienna Scientific Cluster (http://vsc.ac.at/) for granting access to its computational resources. Niche-based models were performed using the CIMENT infrastructure (https://ciment.ujf-grenoble.fr), supported by the Rhone-Alpes region (GRANT CPER07-13 CIRA). Thanks to S. Rechnitzer for improving the English.</t>
  </si>
  <si>
    <t>10.1038/NCLIMATE1514</t>
  </si>
  <si>
    <t>986TU</t>
  </si>
  <si>
    <t>WOS:000307369300020</t>
  </si>
  <si>
    <t>Edenius, L; Mikusinski, G; Witzell, J; Bergh, J</t>
  </si>
  <si>
    <t>Edenius, Lars; Mikusinski, Grzegorz; Witzell, Johanna; Bergh, Johan</t>
  </si>
  <si>
    <t>Effects of repeated fertilization of young Norway spruce on foliar phenolics and arthropods: Implications for insectivorous birds' food resources</t>
  </si>
  <si>
    <t>Intensive forestry; Fertilization; Birds; Foliar chemistry; Phenolics; Arthropods</t>
  </si>
  <si>
    <t>BOREAL FOREST; NITROGEN-FERTILIZATION; TEMPORAL VARIATION; INSECT HERBIVORY; LEAF CHEMISTRY; COMMUNITIES; PREDATION; GROWTH; PLANT; OAK</t>
  </si>
  <si>
    <t>Repeated fertilization of young forests is a promising concept to increase the production of wood fiber, but the consequences of intense fertilization regimes on forest birds and their food resources, mediated through changes in the foliar chemistry are inadequately known. We assessed the effects of repeated fertilization in stands of young Norway spruce (Picea abies) on foliar phenolics and arthropods in an intensively managed forest area in southern Sweden in relation to the abundance of arboreal feeding birds breeding in the same stands. We anticipated leaf-sucking arthropods (viz. Hemiptera (aphids)) to react more strongly to changes in foliar phenolics than other invertebrate groups. Overall, we found small effects of fertilization on abundance and composition of different groups of foliar arthropods. However, the abundance of Hemiptera was much higher in early spring in fertilized stands than in unfertilized stands, whereas mites (Anactinotrichida and Actinotrichida) were more abundant in late spring in the fertilized stands. On the contrary, springtails (Collembola) were more abundant in unfertilized stands than in fertilized stands the late spring. The concentrations of two of the most abundant phenolics (hydroxycinnamic acid derivatives) as well as the sum concentration of HPLC-phenolics, were consistently lower in the fertilized stands. Positive effects on arthropod abundance mediated trough changes in the foliar chemistry following fertilization could help to explain why resident Goldcrest (Regulus regulus), which feeds on folivorous arthropods (i.e. aphids) during winter, was found to be more common in the fertilized stands (Edenius et al., 2011). Our results suggest that in intensively managed forest areas repeated fertilization of young spruce has the potential to enhance the suitability of these stands as winter feeding habitat for coniferous foliage-gleaning insectivorous birds compared to unfertilized stands in the same developmental stage. However, intensification of forest management further impedes habitat quality for more specialized species and generally reduces the diversity of forest birds by simplifying structure and composition of forest stands and shortening the rotation period. Therefore, careful planning of spatial arrangement of treatment units with different management, retention of natural forest and/or structures and legacies such as dead wood and deciduous trees are necessary to promote avian diversity in intensified forest management schemes. (C) 2012 Elsevier B.V. All rights reserved.</t>
  </si>
  <si>
    <t>[Edenius, Lars] Swedish Univ Agr Sci, Dept Wildlife Fish &amp; Environm Sci, SE-90183 Umea, Sweden; [Mikusinski, Grzegorz] Swedish Univ Agr Sci, Dept Ecol, Grimso Wildlife Res Stn, SE-731091 Riddarhyttan, Sweden; [Mikusinski, Grzegorz] Swedish Univ Agr Sci, Sch Forest Management, SE-73921 Skinnskatteberg, Sweden; [Witzell, Johanna; Bergh, Johan] Swedish Univ Agr Sci, So Swedish Forest Res Ctr, SE-23053 Alnarp, Sweden</t>
  </si>
  <si>
    <t>Swedish University of Agricultural Sciences; Swedish University of Agricultural Sciences; Swedish University of Agricultural Sciences; Swedish University of Agricultural Sciences</t>
  </si>
  <si>
    <t>Edenius, L (corresponding author), Swedish Univ Agr Sci, Dept Wildlife Fish &amp; Environm Sci, SE-90183 Umea, Sweden.</t>
  </si>
  <si>
    <t>lars.edenius@slu.se</t>
  </si>
  <si>
    <t>; Bergh, Johan/R-4501-2016; Witzell, Johanna/H-9987-2019</t>
  </si>
  <si>
    <t>Mikusinski, Grzegorz/0000-0003-1400-913X; Witzell, Johanna/0000-0003-1741-443X</t>
  </si>
  <si>
    <t>Swedish Energy Agency</t>
  </si>
  <si>
    <t>Swedish Energy Agency(Swedish Energy Agency)</t>
  </si>
  <si>
    <t>We gratefully acknowledge the Swedish Energy Agency for funding this study. Thanks to Johan Frisk, Sodra, for help in planning the fieldwork and Ake Nordstrom and Iryna Semashko for field and lab work. The manuscript benefitted from the comments by Raimo Virkkala, Knut Kielland and one anonymous reviewer.</t>
  </si>
  <si>
    <t>AUG 1</t>
  </si>
  <si>
    <t>10.1016/j.foreco.2012.04.021</t>
  </si>
  <si>
    <t>966TL</t>
  </si>
  <si>
    <t>WOS:000305860200004</t>
  </si>
  <si>
    <t>Comeros-Raynal, MT; Choat, JH; Polidoro, BA; Clements, KD; Abesamis, R; Craig, MT; Lazuardi, ME; McIlwain, J; Muljadi, A; Myers, RF; Nañola, CL; Pardede, S; Rocha, LA; Russell, B; Sanciangco, JC; Stockwell, B; Harwell, H; Carpenter, KE</t>
  </si>
  <si>
    <t>Comeros-Raynal, Mia T.; Choat, John Howard; Polidoro, Beth A.; Clements, Kendall D.; Abesamis, Rene; Craig, Matthew T.; Lazuardi, Muhammad Erdi; McIlwain, Jennifer; Muljadi, Andreas; Myers, Robert F.; Nanola, Cleto L., Jr.; Pardede, Shinta; Rocha, Luiz A.; Russell, Barry; Sanciangco, Jonnell C.; Stockwell, Brian; Harwell, Heather; Carpenter, Kent E.</t>
  </si>
  <si>
    <t>The Likelihood of Extinction of Iconic and Dominant Herbivores and Detritivores of Coral Reefs: The Parrotfishes and Surgeonfishes</t>
  </si>
  <si>
    <t>IUCN RED LIST; CLIMATE-CHANGE; PHASE-SHIFTS; HABITAT DEGRADATION; MARINE RESERVE; BOLBOMETOPON-MURICATUM; STOPLIGHT PARROTFISH; EVOLUTIONARY HISTORY; CHEILINUS-UNDULATUS; NUTRITIONAL ECOLOGY</t>
  </si>
  <si>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</si>
  <si>
    <t>[Comeros-Raynal, Mia T.; Polidoro, Beth A.; Sanciangco, Jonnell C.; Harwell, Heather; Carpenter, Kent E.] Old Dominion Univ, IUCN Species Programme, SSC Marine Biodivers Unit Global Marine Species A, Norfolk, VA 23529 USA; [Choat, John Howard] James Cook Univ, Sch Marine Biol &amp; Aquaculture, Townsville, Qld 4811, Australia; [Clements, Kendall D.] Univ Auckland, Sch Biol Sci, Auckland 1, New Zealand; [Abesamis, Rene] Silliman Univ, Dumaguete, Negros Oriental, Philippines; [Craig, Matthew T.] Univ San Diego, Dept Marine Sci &amp; Environm Studies, San Diego, CA 92110 USA; [Lazuardi, Muhammad Erdi] Conservat Int, Denpasar, Bali, Indonesia; [McIlwain, Jennifer] Curtin Univ Technol, Dept Environm &amp; Agr, Perth, WA, Australia; [Muljadi, Andreas] Coral Triangle Ctr, Sanur, Bali, Indonesia; [Myers, Robert F.] Coral Graph, Wellington, FL USA; [Nanola, Cleto L., Jr.] Univ Philippines Mindanao, Coll Sci &amp; Math, Davao, Philippines; [Pardede, Shinta] Wildlife Conservat Soc, Indonesia Marine Program, Bogor, Jawa Barat, Indonesia; [Rocha, Luiz A.] Calif Acad Sci, San Francisco, CA 94118 USA; [Russell, Barry] Charles Darwin Univ, Arafura Timor Res Facil C, Sch Environm &amp; Life Sci, Brinkin, NT, Australia</t>
  </si>
  <si>
    <t>Old Dominion University; James Cook University; University of Auckland; Silliman University; University of San Diego; Conservation International - Indonesia; Curtin University; University of the Philippines System; University of the Philippines Mindanao; Wildlife Conservation Society - Indonesia; California Academy of Sciences; Charles Darwin University</t>
  </si>
  <si>
    <t>Comeros-Raynal, MT (corresponding author), Old Dominion Univ, IUCN Species Programme, SSC Marine Biodivers Unit Global Marine Species A, Norfolk, VA 23529 USA.</t>
  </si>
  <si>
    <t>mcome003@odu.edu</t>
  </si>
  <si>
    <t>; McIlwain, Jennifer/J-9179-2012; Rocha, Luiz/T-6326-2019; Abesamis, Rene/AAE-1917-2022</t>
  </si>
  <si>
    <t>Lazuardi, Muhammad Erdi/0000-0001-8964-8898; Rocha, Luiz/0000-0003-4011-569X; McIlwain, Jennifer/0000-0002-7790-5081; Clements, Kendall/0000-0001-8512-5977; Stockwell, Brian/0000-0001-9983-4723; Comeros-Raynal, Mia Theresa/0000-0002-5087-8984; Muljadi, Aneas Hary/0000-0001-9239-9124; Abesamis, Rene/0000-0001-7456-1415; Sanciangco, Jonnell Cueto/0000-0001-8268-3180;</t>
  </si>
  <si>
    <t>New Hampshire Charitable Foundation</t>
  </si>
  <si>
    <t>This research was supported by core funding from Tom Haas and the New Hampshire Charitable Foundation. The funders had no role in study design, data collection and analysis, decision to publish, or preparation of the manuscript.</t>
  </si>
  <si>
    <t>JUL 11</t>
  </si>
  <si>
    <t>e39825</t>
  </si>
  <si>
    <t>10.1371/journal.pone.0039825</t>
  </si>
  <si>
    <t>973LU</t>
  </si>
  <si>
    <t>WOS:000306362400022</t>
  </si>
  <si>
    <t>Béguer, M; Bergé, J; Gardia-Parège, C; Beaulaton, L; Castelnaud, G; Girardin, M; Boët, P</t>
  </si>
  <si>
    <t>Beguer, Melanie; Berge, Julien; Gardia-Parege, Caroline; Beaulaton, Laurent; Castelnaud, Gerard; Girardin, Michel; Boet, Philippe</t>
  </si>
  <si>
    <t>Long-Term Changes in Population Dynamics of the Shrimp Palaemon longirostris in the Gironde Estuary</t>
  </si>
  <si>
    <t>ESTUARIES AND COASTS</t>
  </si>
  <si>
    <t>Palaemon longirostris; Long term; Life history-traits; Gironde estuary; Global change; Indicator</t>
  </si>
  <si>
    <t>NORTH-ATLANTIC OSCILLATION; HIGHLY TURBID ESTUARY; CLIMATE-CHANGE; VARIABILITY; ENVIRONMENT; MARINE; RIVER; FISH; ABUNDANCE; PARADOX</t>
  </si>
  <si>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</si>
  <si>
    <t>[Beguer, Melanie; Berge, Julien; Gardia-Parege, Caroline; Castelnaud, Gerard; Girardin, Michel; Boet, Philippe] Irstea, F-33612 Cestas, France; [Beaulaton, Laurent] ONEMA, Direct Act Sci &amp; Tech, F-94300 Vincennes, France</t>
  </si>
  <si>
    <t>INRAE</t>
  </si>
  <si>
    <t>Béguer, M (corresponding author), Irstea, 50 Ave Verdun, F-33612 Cestas, France.</t>
  </si>
  <si>
    <t>melanie.beguer@gmail.com</t>
  </si>
  <si>
    <t>Boët, Philippe/A-2778-2013; Beaulaton, Laurent/B-6391-2013; Laurent, Beaulaton/B-6391-2013</t>
  </si>
  <si>
    <t>Boët, Philippe/0000-0002-9387-9071; Beaulaton, Laurent/0000-0002-9614-8602;</t>
  </si>
  <si>
    <t>CNPE of Blayais; Aquitaine Regional Council</t>
  </si>
  <si>
    <t>CNPE of Blayais; Aquitaine Regional Council(Region Nouvelle-Aquitaine)</t>
  </si>
  <si>
    <t>We would like to thank Bernard Ballion, Romaric Le Barh, Jean-Francois Bigot, Christine Gazeau, Aymeric Guibert, Philippe Jatteau, Mario Lepage and everyone who took part in sampling surveys. This study was partly funded by CNPE of Blayais and the Aquitaine Regional Council. We also wish to thank Jose D. Benchetrit for English corrections.</t>
  </si>
  <si>
    <t>1559-2723</t>
  </si>
  <si>
    <t>1559-2731</t>
  </si>
  <si>
    <t>ESTUAR COAST</t>
  </si>
  <si>
    <t>Estuaries Coasts</t>
  </si>
  <si>
    <t>10.1007/s12237-012-9506-y</t>
  </si>
  <si>
    <t>951CF</t>
  </si>
  <si>
    <t>WOS:000304697600014</t>
  </si>
  <si>
    <t>Olsson, J; Bergström, L; Gårdmark, A</t>
  </si>
  <si>
    <t>Olsson, Jens; Bergstrom, Lena; Gardmark, Anna</t>
  </si>
  <si>
    <t>Abiotic drivers of coastal fish community change during four decades in the Baltic Sea</t>
  </si>
  <si>
    <t>climate change; community structure; eutrophication; geographical scale; species composition; Kattegat; Baltic Proper; Bothnian Sea</t>
  </si>
  <si>
    <t>GENETIC POPULATION-STRUCTURE; REGIME SHIFTS; TROPHIC CASCADES; MARINE ECOSYSTEM; FISHERIES; CLIMATE; COD</t>
  </si>
  <si>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</si>
  <si>
    <t>[Olsson, Jens; Bergstrom, Lena; Gardmark, Anna] Swedish Univ Agr Sci, Dept Aquat Resources, Inst Coastal Res, S-74222 Oregrund, Sweden</t>
  </si>
  <si>
    <t>Swedish University of Agricultural Sciences</t>
  </si>
  <si>
    <t>Olsson, J (corresponding author), Swedish Univ Agr Sci, Dept Aquat Resources, Inst Coastal Res, Skolgatan 6, S-74222 Oregrund, Sweden.</t>
  </si>
  <si>
    <t>Jens.Olsson@slu.se</t>
  </si>
  <si>
    <t>Gårdmark, Anna/AAC-3909-2021</t>
  </si>
  <si>
    <t>Bergström, Lena/0000-0002-8059-8764</t>
  </si>
  <si>
    <t>Swedish Environmental Protection Agency; Swedish Board of Fisheries; Swedish University of Agricultural Sciences</t>
  </si>
  <si>
    <t>We thank Kerstin Soderberg, four anonymous reviewers, the editor Verena Trenkel, and the ICES/HELCOM Working Group on Integrated Assessments of the Baltic Sea (WGIAB) for help and inspiration during the construction of this manuscript. This study is part of the project Integrated analyses of Baltic Sea ecosystems, financially supported by the Swedish Environmental Protection Agency, the Swedish Board of Fisheries, and the Swedish University of Agricultural Sciences.</t>
  </si>
  <si>
    <t>10.1093/icesjms/fss072</t>
  </si>
  <si>
    <t>961JR</t>
  </si>
  <si>
    <t>WOS:000305461200004</t>
  </si>
  <si>
    <t>Vaughan, IP; Ormerod, SJ</t>
  </si>
  <si>
    <t>Vaughan, Ian P.; Ormerod, Steve J.</t>
  </si>
  <si>
    <t>Large-scale, long-term trends in British river macroinvertebrates</t>
  </si>
  <si>
    <t>biological recovery; climate; pollution; resilience; urbanization; water</t>
  </si>
  <si>
    <t>NORTH-ATLANTIC OSCILLATION; WATER-QUALITY; POPULATION TRENDS; BIODIVERSITY; RECOVERY; STREAMS; RESTORATION; ECOSYSTEMS; SECURITY; SERVICES</t>
  </si>
  <si>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</si>
  <si>
    <t>[Vaughan, Ian P.; Ormerod, Steve J.] Cardiff Univ, Catchment Res Grp, Cardiff Sch Biosci, Cardiff CF10 3AX, S Glam, Wales</t>
  </si>
  <si>
    <t>Cardiff University</t>
  </si>
  <si>
    <t>Vaughan, IP (corresponding author), Cardiff Univ, Catchment Res Grp, Cardiff Sch Biosci, Cardiff CF10 3AX, S Glam, Wales.</t>
  </si>
  <si>
    <t>vaughanip@cardiff.ac.uk</t>
  </si>
  <si>
    <t>Vaughan, Ian/A-4782-2010; Ormerod, Steve/A-4326-2010; Ormerod, Stephen J/A-4326-2010</t>
  </si>
  <si>
    <t>Vaughan, Ian/0000-0002-7263-3822; Ormerod, Stephen J/0000-0002-8174-302X</t>
  </si>
  <si>
    <t>Research Councils UK</t>
  </si>
  <si>
    <t>Research Councils UK(UK Research &amp; Innovation (UKRI))</t>
  </si>
  <si>
    <t>We wish to thank the Environment Agency for providing the data used in the analysis and in particular the assistance of Lucy Baker, Alice Hiley and Carol Langley in compiling the data. Two referees and the Editor made valuable comments on an earlier version of the manuscript. This work was funded by a Research Councils UK fellowship for IPV.</t>
  </si>
  <si>
    <t>10.1111/j.1365-2486.2012.02662.x</t>
  </si>
  <si>
    <t>952VD</t>
  </si>
  <si>
    <t>WOS:000304820300009</t>
  </si>
  <si>
    <t>Zhang, FM; Chen, JM; Pan, YD; Birdsey, RA; Shen, SH; Ju, WM; He, LM</t>
  </si>
  <si>
    <t>Zhang, Fangmin; Chen, Jing M.; Pan, Yude; Birdsey, Richard A.; Shen, Shuanghe; Ju, Weimin; He, Liming</t>
  </si>
  <si>
    <t>Attributing carbon changes in conterminous U.S. forests to disturbance and non-disturbance factors from 1901 to 2010</t>
  </si>
  <si>
    <t>JOURNAL OF GEOPHYSICAL RESEARCH-BIOGEOSCIENCES</t>
  </si>
  <si>
    <t>NET PRIMARY PRODUCTION; SOIL ORGANIC-MATTER; CLIMATE-CHANGE; UNITED-STATES; TERRESTRIAL BIOSPHERE; CO2 FERTILIZATION; ATMOSPHERIC CO2; TREE MORTALITY; CANADA FORESTS; BOREAL FOREST</t>
  </si>
  <si>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</si>
  <si>
    <t>[Zhang, Fangmin; Shen, Shuanghe] Nanjing Univ Informat Sci &amp; Technol, Jiangsu Key Lab Agr Meteorol, Coll Appl Meteorol, Nanjing 210044, Jiangsu, Peoples R China; [Zhang, Fangmin; Chen, Jing M.; He, Liming] Univ Toronto, Dept Geog, Toronto, ON M5S 1A1, Canada; [Pan, Yude; Birdsey, Richard A.] US Forest Serv, USDA, Newtown Sq, PA USA; [Ju, Weimin] Nanjing Univ, Int Inst Earth Syst Sci, Nanjing, Jiangsu, Peoples R China</t>
  </si>
  <si>
    <t>Nanjing University of Information Science &amp; Technology; University of Toronto; United States Department of Agriculture (USDA); United States Forest Service; Nanjing University</t>
  </si>
  <si>
    <t>Zhang, FM (corresponding author), Nanjing Univ Informat Sci &amp; Technol, Jiangsu Key Lab Agr Meteorol, Coll Appl Meteorol, Nanjing 210044, Jiangsu, Peoples R China.</t>
  </si>
  <si>
    <t>fmin.zhang@utoronto.ca</t>
  </si>
  <si>
    <t>Pan, Yude/F-6145-2015; Chen, Jing/AAD-4768-2020</t>
  </si>
  <si>
    <t>He, Liming/0000-0003-4010-6814;</t>
  </si>
  <si>
    <t>National Basic Research Program of China (973 Program) [2010CB950702]; Jiangsu Graduate Innovation Program [CX09B_223Z]; Canadian Foundation for Climate and Atmospheric Sciences; USDA Forest Service [07-JV-11242300-114]; Priority Academic Program Development of Jiangsu Higher Education Institutions (PARO); Canadian Carbon Program</t>
  </si>
  <si>
    <t>National Basic Research Program of China (973 Program)(National Basic Research Program of China); Jiangsu Graduate Innovation Program; Canadian Foundation for Climate and Atmospheric Sciences; USDA Forest Service(United States Department of Agriculture (USDA)United States Forest Service); Priority Academic Program Development of Jiangsu Higher Education Institutions (PARO); Canadian Carbon Program</t>
  </si>
  <si>
    <t>This research was supported by a grant from National Basic Research Program of China (973 Program) (2010CB950702), Jiangsu Graduate Innovation Program (CX09B_223Z), Canadian Carbon Program funded by the Canadian Foundation for Climate and Atmospheric Sciences, grant 07-JV-11242300-114 from the USDA Forest Service, and the Priority Academic Program Development of Jiangsu Higher Education Institutions (PARO).</t>
  </si>
  <si>
    <t>2169-8953</t>
  </si>
  <si>
    <t>2169-8961</t>
  </si>
  <si>
    <t>J GEOPHYS RES-BIOGEO</t>
  </si>
  <si>
    <t>J. Geophys. Res.-Biogeosci.</t>
  </si>
  <si>
    <t>G02021</t>
  </si>
  <si>
    <t>10.1029/2011JG001930</t>
  </si>
  <si>
    <t>Environmental Sciences; Geosciences, Multidisciplinary</t>
  </si>
  <si>
    <t>957IF</t>
  </si>
  <si>
    <t>WOS:000305154000001</t>
  </si>
  <si>
    <t>Hughes, AC; Satasook, C; Bates, PJJ; Bumrungsri, S; Jones, G</t>
  </si>
  <si>
    <t>Hughes, Alice C.; Satasook, Chutamas; Bates, Paul J. J.; Bumrungsri, Sara; Jones, Gareth</t>
  </si>
  <si>
    <t>The projected effects of climatic and vegetation changes on the distribution and diversity of Southeast Asian bats</t>
  </si>
  <si>
    <t>environmental; impact; projections; range size; scenario; species richness</t>
  </si>
  <si>
    <t>SPECIES DISTRIBUTIONS; CONSERVATION; EXTINCTION; FOREST; RANGE; FRUIT; PTEROPODIDAE; CHIROPTERA; COMMUNITY; RICHNESS</t>
  </si>
  <si>
    <t>Southeast-Asia (SEA) constitutes a global biodiversity hotspot, but is exposed to extensive deforestation and faces numerous threats to its biodiversity. Climate change represents a major challenge to the survival and viability of species, and the potential consequences must be assessed to allow for mitigation. We project the effects of several climate change scenarios on bat diversity, and predict changes in range size for 171 bat species throughout SEA. We predict decreases in species richness in all areas with high species richness (&gt;80 species) at 20502080, using bioclimatic IPCC scenarios A2 (a severe scenario, continuously increasing human population size, regional changes in economic growth) and B1 (the greenest scenario, global population peaking mid-century). We also predicted changes in species richness in scenarios that project vegetation changes in addition to climate change up to 2050. At 2050 and 2080, A2 and B1 scenarios incorporating changes in climatic factors predicted that 39% species would lose all currently suitable niche space. When considering total extents of species distribution in SEA (including possible range expansions), 26% of species may have no suitable niche space in 20502080. When potential vegetation and climate changes were combined only 1% of species showed no changes in their predicted ranges by 2050. Although some species are projected to expand ranges, this may be ecologically impossible due to potential barriers to dispersal, especially for species with poor dispersal ability. Only 113% of species showed no projected reductions in their current range under bioclimatic scenarios. An effective way to facilitate range shift for dispersal-limited species is to improve landscape connectivity. If current trends in environmental change continue and species cannot expand their ranges into new areas, then the majority of bat species in SEA may show decreases in range size and increased extinction risk within the next century.</t>
  </si>
  <si>
    <t>[Hughes, Alice C.; Jones, Gareth] Univ Bristol, Sch Biol Sci, Bristol BS8 1UG, Avon, England; [Satasook, Chutamas; Bumrungsri, Sara] Prince Songkla Univ, Dept Biol, Fac Sci, Hat Yai 90112, Songkhla, Thailand; [Bates, Paul J. J.] Ctr Systemat &amp; Biodivers Res, Harrison Inst, Sevenoaks TN13 3AQ, Kent, England</t>
  </si>
  <si>
    <t>University of Bristol; Prince of Songkla University</t>
  </si>
  <si>
    <t>Hughes, AC (corresponding author), Univ Bristol, Sch Biol Sci, Woodland Rd, Bristol BS8 1UG, Avon, England.</t>
  </si>
  <si>
    <t>dr_achughes@hotmail.co.uk</t>
  </si>
  <si>
    <t>hughes, Alice/HCH-3838-2022; Hughes, Alice/G-7285-2012; Bates, Paul/HDO-0192-2022</t>
  </si>
  <si>
    <t>hughes, Alice/0000-0002-4899-3158; Jones, Gareth/0000-0002-1904-3735</t>
  </si>
  <si>
    <t>British Council</t>
  </si>
  <si>
    <t>British Council(The British Council in India)</t>
  </si>
  <si>
    <t>We greatly thank Jefferson Fox and Trung Kien for their contributions of vegetation projections and their assistance during this study. We also thank Gabor Csorba, Neil Furey, Ben Hayes, Nor Zalipah Mohamed and Sebastien Puechmaille for personal contributions of spatial species distribution data and the agencies which projected the eco-geographic data that have been essential to the project, and the British Council who funded fieldwork. Comments from three referees were extremely valuable for improving earlier drafts of the manuscript.</t>
  </si>
  <si>
    <t>10.1111/j.1365-2486.2012.02641.x</t>
  </si>
  <si>
    <t>938WF</t>
  </si>
  <si>
    <t>WOS:000303763600008</t>
  </si>
  <si>
    <t>Klein, AM; Brittain, C; Hendrix, SD; Thorp, R; Williams, N; Kremen, C</t>
  </si>
  <si>
    <t>Klein, Alexandra-Maria; Brittain, Claire; Hendrix, Stephen D.; Thorp, Robbin; Williams, Neal; Kremen, Claire</t>
  </si>
  <si>
    <t>Wild pollination services to California almond rely on semi-natural habitat</t>
  </si>
  <si>
    <t>agricultural landscapes; biodiversity; ecosystem service; habitat quality; honeybees; landscape restoration; Prunus dulcis; sustainable agriculture; Syrphidae; wild bees</t>
  </si>
  <si>
    <t>LANDSCAPE CONTEXT; CROP POLLINATION; NATIVE BEES; BIODIVERSITY; MEGACHILIDAE; HYMENOPTERA; DIVERSITY; HEDGEROWS; ABUNDANCE; PROVIDE</t>
  </si>
  <si>
    <t>1. Global declines in honeybees have led to concerns about negative impacts on food production because of low levels of pollination. This is exemplified in California where the demand for honeybees Apis mellifera to pollinate almond Prunus dulcis is increasing, but problems with honeybee health suggest it may not be sustainable to rely solely on the pollination service of a single species. 2. We investigated the effect of the quantity of surrounding natural habitat, organic management and strips of semi-natural vegetation on flower visitation frequency of wild and managed pollinators and fruit set in 23 California almond orchards (15 conventional, 8 organic). Five conventional and four organic orchards were surrounded by a low percentage (&lt;5%) of natural or semi-natural habitat in a 1-km radius and another five conventional and four organic orchards were surrounded by a high percentage of these habitats (&gt;30%). A further five conventional orchards with a low percentage of surrounding natural habitat had an adjacent strip of semi-natural vegetation and were included in the study to represent a realistic option for orchard management in intensive agricultural landscapes. 3. Wild bee species visited almond flowers but only in orchards with adjacent semi-natural habitat or vegetation strips. Organic management increased the flower visitation frequencies of hover flies and wild bees. The presence of a strip of semi-natural vegetation in orchards with a low percentage of surrounding natural habitat increased the number of species and the flower visitation frequency by wild pollinators but only at orchard edges and not to the degree seen when natural habitat was abundant. 4. Wild bee species richness and flower visitation frequency, but not honeybee frequency, were related to fruit set. Fruit set increased with increasing percentage of natural habitat surrounding the orchards. Organic farming or the presence of a vegetation strip did not increase fruit set. 5. Synthesis and applications. The restoration of high quality habitat strips along the edges of crop fields in highly intensified agricultural landscapes should be encouraged and monitored to conserve pollinators and to determine whether benefits for agriculture can be realized. Although honeybees are the main and most important pollinating insects for many plants, wild pollinators may be necessary to ensure high fruit set. Organic farming alone will not sustain wild pollination services for almond in California.</t>
  </si>
  <si>
    <t>[Klein, Alexandra-Maria; Brittain, Claire] Leuphana Univ Luneburg, Inst Ecol, Luneburg, Germany; [Brittain, Claire; Thorp, Robbin; Williams, Neal] Univ Calif Davis, Dept Entomol, Davis, CA 95616 USA; [Hendrix, Stephen D.] Univ Iowa, Dept Biol, Iowa City, IA 52242 USA; [Kremen, Claire] Univ Calif Berkeley, Berkeley, CA 94720 USA</t>
  </si>
  <si>
    <t>Leuphana University Luneburg; University of California System; University of California Davis; University of Iowa; University of California System; University of California Berkeley</t>
  </si>
  <si>
    <t>Klein, AM (corresponding author), Leuphana Univ Luneburg, Inst Ecol, Luneburg, Germany.</t>
  </si>
  <si>
    <t>aklein@uni.leuphana.de</t>
  </si>
  <si>
    <t>Kremen, Claire/AFP-5986-2022; Williams, Neal/AGF-7865-2022; Klein, Alexana-Maria/J-5871-2016; Klein, Alexandra/J-5871-2016</t>
  </si>
  <si>
    <t>Brittain, Claire/0000-0003-1104-2946; Klein, Alexana-Maria/0000-0003-2139-8575;</t>
  </si>
  <si>
    <t>Alexander von Humboldt Foundation; Hellmann Foundation; Mc-Donnell 21st Century Foundation; University of California, Berkeley; Department of Biology at University of Iowa; Germany Science Foundation [KL 1849/4-1]</t>
  </si>
  <si>
    <t>Alexander von Humboldt Foundation(Alexander von Humboldt FoundationUniversity of Maryland Baltimore); Hellmann Foundation; Mc-Donnell 21st Century Foundation; University of California, Berkeley(University of California System); Department of Biology at University of Iowa; Germany Science Foundation</t>
  </si>
  <si>
    <t>We greatly acknowledge the Alexander von Humboldt, Hellmann and the Mc-Donnell 21st Century Foundations, the Chancellor's Partnership Fund of the University of California, Berkeley, the Department of Biology at the University of Iowa and the Germany Science Foundation (KL 1849/4-1) for financial support. We thank several almond growers in Yolo and Colusa Counties for their willingness to provide access to their orchards, Anika Hudewenz for designing the pollinator taxa used in Figs 2 and 3 and two anonymous reviewers for valuable comments on the manuscript.</t>
  </si>
  <si>
    <t>10.1111/j.1365-2664.2012.02144.x</t>
  </si>
  <si>
    <t>950PF</t>
  </si>
  <si>
    <t>WOS:000304660500023</t>
  </si>
  <si>
    <t>Srebotnjak, T; Carr, G; de Sherbinin, A; Rickwood, C</t>
  </si>
  <si>
    <t>Srebotnjak, Tanja; Carr, Genevieve; de Sherbinin, Alexander; Rickwood, Carrie</t>
  </si>
  <si>
    <t>A global Water Quality Index and hot-deck imputation of missing data</t>
  </si>
  <si>
    <t>Water Quality Index; Distance-to-target; Hot-deck imputation; Environmental Performance Index</t>
  </si>
  <si>
    <t>TOOL; MANAGEMENT; STATE</t>
  </si>
  <si>
    <t>Water is an essential resource for life on Earth and available freshwater resources are emerging as a limiting factor not only in quantity but also in quality for human development and ecological stability in a growing number of locations. Water quality is a significant criterion in matching water demand and supply. Securing adequate freshwater quality for both human and ecological needs is thus an important aspect of integrated environmental management and sustainable development. The 2008 Environmental Performance Index (EPI) published by the Yale Center for Environmental Law and Policy (YCELP) and the Center for International Earth Science Information Network (CIESIN) at Columbia University includes a Water Quality Index (WATQI). The WATQI provides a first global effort at reporting and estimating water quality on the basis of five commonly reported quality parameters: dissolved oxygen, electrical conductivity, pH value, and total nitrogen and phosphorus concentrations. This paper explains the motivation and methodology of the EPI WATQI and demonstrates how hot-deck imputation of missing values can expand its geographical coverage and better inform decision-makers on the types and extents of water quality problems in the context of limited globally comparable water quality monitoring data. (C) 2011 Elsevier Ltd. All rights reserved.</t>
  </si>
  <si>
    <t>[Srebotnjak, Tanja] Inst Ecol, D-10717 Berlin, Germany; [Carr, Genevieve] Indian &amp; No Affairs Canada, No Oil &amp; Gas Branch, Ottawa, ON K1A 0H4, Canada; [de Sherbinin, Alexander] Columbia Univ, Ctr Int Earth Sci Informat Network, Palisades, NY 10964 USA; [Rickwood, Carrie] Nat Resources Canada, Ottawa, ON K1A 0E4, Canada</t>
  </si>
  <si>
    <t>Columbia University; Natural Resources Canada</t>
  </si>
  <si>
    <t>Srebotnjak, T (corresponding author), Inst Ecol, Pfalzburger Str 43-44, D-10717 Berlin, Germany.</t>
  </si>
  <si>
    <t>Tanja.Srebotnjak@ecologic.eu</t>
  </si>
  <si>
    <t>de Sherbinin, Alex/0000-0002-8875-4864</t>
  </si>
  <si>
    <t>Coca Cola Foundation; Samuel Family Foundation; Betsy and Jesse Fink Foundation</t>
  </si>
  <si>
    <t>The authors wish to thank the team of the 2008 EPI for their valuable comments on an earlier draft of this paper. The WATQI also benefited from the input of the EPI lead scientific experts and other contributors as well as two anonymous referees. The work was in part supported by grants from the Coca Cola Foundation, The Samuel Family Foundation, and the Betsy and Jesse Fink Foundation to the Yale Center for Environmental Law and Policy.</t>
  </si>
  <si>
    <t>10.1016/j.ecolind.2011.04.023</t>
  </si>
  <si>
    <t>891HS</t>
  </si>
  <si>
    <t>WOS:000300208400013</t>
  </si>
  <si>
    <t>Van Ginderdeuren, K; Hostens, K; Hoffman, S; Vansteenbrugge, L; Soenen, K; De Blauwe, H; Robbens, J; Vincx, M</t>
  </si>
  <si>
    <t>Van Ginderdeuren, Karl; Hostens, Kris; Hoffman, Stefan; Vansteenbrugge, Lies; Soenen, Karen; De Blauwe, Hans; Robbens, Johan; Vincx, Magda</t>
  </si>
  <si>
    <t>Distribution of the invasive ctenophore Mnemiopsis leidyi in the Belgian part of the North Sea</t>
  </si>
  <si>
    <t>AQUATIC INVASIONS</t>
  </si>
  <si>
    <t>Mnemiopsis leidyi; Belgian ports and coast; gelatinous zooplankton; non-native species; ballast water; DNA sequencing; molecular probe</t>
  </si>
  <si>
    <t>ZOOPLANKTON-PREDATION; NARRAGANSETT BAY; JELLYFISH BLOOMS; MARINE; DYNAMICS</t>
  </si>
  <si>
    <t>The invasive ctenophore Mnemiopsis leidyi A. Agassiz, 1865 was recorded for the first time in Northern Europe in summer 2005, while the first records in the North Sea date back to summer 2006. The first sightings in the Belgian part of the North Sea were made in August 2007 in the port of Zeebrugge, but most probably M. leidyi had already been present for a longer period in this area. The high densities in the port of Zeebrugge suggest that M. leidyi entered the Belgian marine waters via ballast water transport, comparable with the invasion in the Black and Caspian Seas and the Dutch part of the North Sea. In the period 2009-2011, M. leidyi was found in all ports and all along the Belgian coastline, up to 27 km offshore. Further offshore, no M. leidyi were found in zooplankton samples and small meshed otter trawl samples. Sightings of adult individuals in the coldest winter months imply that the species can survive Belgian winters. Highest densities (17 ind.m(-3)) were found in the Sluice dock in the port of Oostende. Along the coastline, average densities of 0.4 ind.m(-3) were recorded. As M. leidyi might previously have been misidentified on the basis of morphological features alone, we also determined the species with genetic identification tools. Taking into account the notorious impact of this species in its native and in other invaded waters, it is recommended to continue the monitoring of M. leidyi populations in the Belgian part of the North Sea.</t>
  </si>
  <si>
    <t>[Van Ginderdeuren, Karl; Hostens, Kris; Hoffman, Stefan; Vansteenbrugge, Lies; Robbens, Johan] Inst Agr &amp; Fisheries Res, Anim Sci Unit Fisheries, B-8400 Oostende, Belgium; [Van Ginderdeuren, Karl; Vansteenbrugge, Lies; Soenen, Karen; Vincx, Magda] Univ Ghent, Dept Biol, Marine Biol Sect, B-9000 Ghent, Belgium</t>
  </si>
  <si>
    <t>Institute For Agricultural &amp; Fisheries Research; Ghent University</t>
  </si>
  <si>
    <t>Van Ginderdeuren, K (corresponding author), Inst Agr &amp; Fisheries Res, Anim Sci Unit Fisheries, Ankerstr 1, B-8400 Oostende, Belgium.</t>
  </si>
  <si>
    <t>Karl.vanginderdeuren@ilvo.vlaanderen.be; Kris.hostens@ilvo.vlaanderen.be; Stefan.hoffman@ilvo.vlaanderen.be; Lies.vansteenbrugge@ilvo.vlaanderen.be; Karensoenen@hotmail.com; Deblauwehans@hotmail.com; Johan.robbens@ilvo.vlaanderen.be; Magda.vincx@ugent.be</t>
  </si>
  <si>
    <t>Vansteenbrugge, Lies/0000-0002-6723-3859</t>
  </si>
  <si>
    <t>ILVO; project MEMO [06-008-BE-MEMO]</t>
  </si>
  <si>
    <t>ILVO; project MEMO</t>
  </si>
  <si>
    <t>We thank the ongoing efforts made by the volunteers of the Belgian Marine Life Field Study Group. Next to these, data originated from two funded projects: a PhD study on mesozooplankton with WP2 plankton samples taken monthly in 2009 and 2010, funded by ILVO (2009-2013), and a PhD study that specifically focuses on Mnemiopsis leidyi within the ongoing Interreg 4A '2 Seas' project MEMO (06-008-BE-MEMO) (2011-2013). The authors are grateful to the Flanders Marine Institute, especially Dr. Andre Cattrijsse, for the logistic support of the sampling campaigns with RV Zeeleeuw and RV Zeekat. We would also like to thank Dr. Elvire Antajan from IFREMER, for her initial help with the identification of M. leidyi. Finally we want to thank the reviewers for their well appreciated advice and contributions to this manuscript.</t>
  </si>
  <si>
    <t>REGIONAL EURO-ASIAN BIOLOGICAL INVASIONS CENTRE-REABIC</t>
  </si>
  <si>
    <t>HELSINKI</t>
  </si>
  <si>
    <t>PL 3, HELSINKI, 00981, FINLAND</t>
  </si>
  <si>
    <t>1798-6540</t>
  </si>
  <si>
    <t>1818-5487</t>
  </si>
  <si>
    <t>AQUAT INVASIONS</t>
  </si>
  <si>
    <t>Aquat. Invasions</t>
  </si>
  <si>
    <t>10.3391/ai.2012.7.2.002</t>
  </si>
  <si>
    <t>972LL</t>
  </si>
  <si>
    <t>WOS:000306278500002</t>
  </si>
  <si>
    <t>Schloss, CA; Nuñez, TA; Lawler, JJ</t>
  </si>
  <si>
    <t>Schloss, Carrie A.; Nunez, Tristan A.; Lawler, Joshua J.</t>
  </si>
  <si>
    <t>Dispersal will limit ability of mammals to track climate change in the Western Hemisphere</t>
  </si>
  <si>
    <t>IMPACTS; MODELS; CLASSIFICATION; FORESTS</t>
  </si>
  <si>
    <t>As they have in response to past climatic changes, many species will shift their distributions in response to modern climate change. However, due to the unprecedented rapidity of projected climatic changes, some species may not be able to move their ranges fast enough to track shifts in suitable climates and associated habitats. Here, we investigate the ability of 493 mammals to keep pace with projected climatic changes in the Western Hemisphere. We modeled the velocities at which species will likely need to move to keep pace with projected changes in suitable climates. We compared these velocities with the velocities at which species are able to move as a function of dispersal distances and dispersal frequencies. Across the Western Hemisphere, on average, 9.2% of mammals at a given location will likely be unable to keep pace with climate change. In some places, up to 39% of mammals may be unable to track shifts in suitable climates. Eighty-seven percent of mammalian species are expected to experience reductions in range size and 20% of these range reductions will likely be due to limited dispersal abilities as opposed to reductions in the area of suitable climate. Because climate change will likely outpace the response capacity of many mammals, mammalian vulnerability to climate change may be more extensive than previously anticipated.</t>
  </si>
  <si>
    <t>[Schloss, Carrie A.; Nunez, Tristan A.; Lawler, Joshua J.] Univ Washington, Sch Environm &amp; Forest Sci, Seattle, WA 98195 USA</t>
  </si>
  <si>
    <t>University of Washington; University of Washington Seattle</t>
  </si>
  <si>
    <t>Schloss, CA (corresponding author), Univ Washington, Sch Environm &amp; Forest Sci, Seattle, WA 98195 USA.</t>
  </si>
  <si>
    <t>cschloss@u.washington.edu</t>
  </si>
  <si>
    <t>Nuñez, Tristan/0000-0002-1776-1442</t>
  </si>
  <si>
    <t>MAY 29</t>
  </si>
  <si>
    <t>10.1073/pnas.1116791109</t>
  </si>
  <si>
    <t>953PD</t>
  </si>
  <si>
    <t>Green Published, Bronze</t>
  </si>
  <si>
    <t>WOS:000304881700053</t>
  </si>
  <si>
    <t>Ihlow, F; Dambach, J; Engler, JO; Flecks, M; Hartmann, T; Nekum, S; Rajaei, H; Rödder, D</t>
  </si>
  <si>
    <t>Ihlow, Flora; Dambach, Johannes; Engler, Jan O.; Flecks, Morris; Hartmann, Timo; Nekum, Sven; Rajaei, Hossein; Roedder, Dennis</t>
  </si>
  <si>
    <t>On the brink of extinction? How climate change may affect global chelonian species richness and distribution</t>
  </si>
  <si>
    <t>biodiversity; chelonia; extrapolation; species distribution modeling; species range; temperature-dependent sex determination (TSD)</t>
  </si>
  <si>
    <t>DEPENDENT SEX DETERMINATION; DISTRIBUTION MODELS; ECOLOGICAL RESPONSES; LIZARD DIVERSITY; SAMPLE-SIZE; IMPACTS; RANGE; CONSERVATION; BIODIVERSITY; PREDICTIONS</t>
  </si>
  <si>
    <t>Anthropogenic global climate change has already led to alterations in biodiversity patterns by directly and indirectly affecting species distributions. It has been suggested that poikilothermic animals, including reptiles, will be particularly affected by global change and large-scale reptile declines have already been observed. Currently, half of the world's freshwater turtles and tortoises are considered threatened with extinction, and climate change may exacerbate these declines. In this study, we assess how global chelonian species richness will change in the near future. We use species distribution models developed under current climate conditions for 78% of all extant species and project them onto different Intergovernmental Panel on Climate Change (IPCC) scenarios for 2080. We detect a strong dependence of temperature shaping most species ranges, which coincide with their general temperature-related physiological traits (i.e., temperature-dependent sex determination). Furthermore, the extent and distribution of the current bioclimatic niches of most chelonians may change remarkably in the near future, likely leading to a substantial decrease of local species abundance and ultimately a reduction in species richness. Future climatic changes may cause the ranges of 86% of the species to contract, and of these ranges, nearly 12% are predicted to be situated completely outside their currently realized niches. Hence, the interplay of increasing habitat fragmentation and loss due to climatic stress may result in a serious threat for several chelonian species.</t>
  </si>
  <si>
    <t>[Ihlow, Flora; Dambach, Johannes; Engler, Jan O.; Flecks, Morris; Hartmann, Timo; Nekum, Sven; Rajaei, Hossein; Roedder, Dennis] Zool Forsch Museum Alexander Koenig, D-53113 Bonn, Germany; [Engler, Jan O.] Univ Trier, Biogeog Dept, D-54286 Trier, Germany</t>
  </si>
  <si>
    <t>Zoologisches Forschungsmuseum Alexander Koenig (ZFMK); Universitat Trier</t>
  </si>
  <si>
    <t>Rödder, D (corresponding author), Zool Forsch Museum Alexander Koenig, Adenauerallee 160, D-53113 Bonn, Germany.</t>
  </si>
  <si>
    <t>d.roedder.zfmk@uni-bonn.de</t>
  </si>
  <si>
    <t>Rödder, Dennis/AAT-8644-2021; Engler, Jan/C-3432-2009; Ihlow, Flora/HTP-4946-2023; Sh., Hossein/E-5819-2012</t>
  </si>
  <si>
    <t>Rödder, Dennis/0000-0002-6108-1639; Ihlow, Flora/0000-0002-0460-4210;</t>
  </si>
  <si>
    <t>10.1111/j.1365-2486.2011.02623.x</t>
  </si>
  <si>
    <t>922JP</t>
  </si>
  <si>
    <t>WOS:000302543500005</t>
  </si>
  <si>
    <t>van Vliet, N; Mertz, O; Heinimann, A; Langanke, T; Pascual, U; Schmook, B; Adams, C; Schmidt-Vogt, D; Messerli, P; Leisz, S; Castella, JC; Jorgensen, L; Birch-Thomsen, T; Hett, C; Bruun, TB; Ickowitz, A; Vu, KC; Yasuyuki, K; Fox, J; Padoch, C; Dressler, W; Ziegler, AD</t>
  </si>
  <si>
    <t>van Vliet, Nathalie; Mertz, Ole; Heinimann, Andreas; Langanke, Tobias; Pascual, Unai; Schmook, Birgit; Adams, Cristina; Schmidt-Vogt, Dietrich; Messerli, Peter; Leisz, Stephen; Castella, Jean-Christophe; Jorgensen, Lars; Birch-Thomsen, Torben; Hett, Cornelia; Bruun, Thilde Bech; Ickowitz, Amy; Kim Chi Vu; Yasuyuki, Kono; Fox, Jefferson; Padoch, Christine; Dressler, Wolfram; Ziegler, Alan D.</t>
  </si>
  <si>
    <t>Trends, drivers and impacts of changes in swidden cultivation in tropical forest-agriculture frontiers: A global assessment</t>
  </si>
  <si>
    <t>Land use change; Swidden cultivation; Drivers; Impacts; Forest-agriculture frontiers; Metaanalysis</t>
  </si>
  <si>
    <t>LAND-USE CHANGES; SLASH-AND-BURN; CALAKMUL BIOSPHERE RESERVE; SHIFTING CULTIVATION; SOUTHEAST-ASIA; COVER CHANGE; USE DYNAMICS; ENVIRONMENTAL CONSEQUENCES; USE INTENSIFICATION; RURAL LIVELIHOODS</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</si>
  <si>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</si>
  <si>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[van Vliet, Nathalie; Mertz, Ole; Langanke, Tobias; Jorgensen, Lars; Birch-Thomsen, Torben] Univ Copenhagen, Dept Geog &amp; Geol, DK-1350 Copenhagen K, Denmark; [Heinimann, Andreas; Hett, Cornelia] Univ Bern, Ctr Dev &amp; Environm, Swiss Natl Ctr Res NCCR N S, CH-3012 Bern, Switzerland; [Pascual, Unai] Univ Cambridge, Dept Land Econ, Cambridge CB3 9EP, England; [Pascual, Unai] Basque Fdn Sci, Bilbao Bizkaia 48011, Spain; [Schmook, Birgit] ECOSUR El Colegio Frontera Sur, Mexico City 77900, DF, Mexico; [Adams, Cristina] Univ Sao Paulo, Escola Artes Ciencias &amp; Humanidades, Lab Ecol Humana, BR-05508 Sao Paulo, Brazil; [Schmidt-Vogt, Dietrich] Chinese Acad Sci, Kunming Inst Bot, Ctr Mt Ecosyst Studies, Heilongtan 650204, Kunming, Peoples R China; [Leisz, Stephen] Colorado State Univ, Dept Anthropol, Ft Collins, CO 80525 USA; [Castella, Jean-Christophe] Inst Dev Res, Viangchan, Laos; [Castella, Jean-Christophe] Ctr Int Forestry Res CIFOR, Viangchan, Laos; [Bruun, Thilde Bech] Univ Copenhagen, Dept Agrculture &amp; Ecol, DK-1871 Frederiksberg, Denmark; [Ickowitz, Amy] Clark Univ, Dept Econ, Worcester, MA 01610 USA; [Kim Chi Vu] Vietnam Natl Univ, Univ Sci, Fac Geog, Hanoi, Vietnam; [Yasuyuki, Kono] Kyoto Univ, Ctr SE Asian Studies, Kyoto 6068501, Japan; [Fox, Jefferson] East West Ctr, Honolulu, HI 96848 USA; [Padoch, Christine] New York Bot Garden, Inst Econ Bot, Bronx, NY 10458 USA; [Dressler, Wolfram] Univ Queensland, Sch Social Sci, St Lucia, Qld, Australia; [Ziegler, Alan D.] Natl Univ Singapore, Dept Geog, Singapore 117570, Singapore</t>
  </si>
  <si>
    <t>University of Copenhagen; University of Bern; University of Cambridge; Basque Foundation for Science; El Colegio de la Frontera Sur (ECOSUR); Universidade de Sao Paulo; Chinese Academy of Sciences; Kunming Institute of Botany, CAS; Colorado State University System; Colorado State University Fort Collins; CGIAR; Center for International Forestry Research (CIFOR); University of Copenhagen; Clark University; Vietnam National University Hanoi (VNU Hanoi) System; Kyoto University; East West Center; New York Botanical Garden; University of Queensland; National University of Singapore</t>
  </si>
  <si>
    <t>van Vliet, N (corresponding author), Univ Copenhagen, Dept Geog &amp; Geol, Oster Voldgade 10, DK-1350 Copenhagen K, Denmark.</t>
  </si>
  <si>
    <t>nvv@geo.ku.dk; om@geo.ku.dk; andreas.heinimann@cde.unibe.ch; Tla@geo.ku.dk; up211@cam.ac.uk; bschmook@ecosur.mx; cadams@usp.br; peter.messerli@cde.unibe.ch; Steve.Leisz@colostate.edu; j.castella@ird.fr; lj@geo.ku.dk; tbt@geo.ku.dk; cornelia.hett@cde.unibe.ch; thbb@life.ku.dk; vukimchi@hus.edu.vn; kono@cseas.kyoto-u.ac.jp; foxj@eastwestcenter.org; w.dressler@uq.edu.au; geoadz@nus.edu.sg</t>
  </si>
  <si>
    <t>Birch-Thomsen, Torben/L-8722-2014; Schmook, Birgit/AAF-7069-2020; Castella, Jean-Christophe/A-7419-2008; , dr dr/AAA-5406-2022; ZIEGLER, ALAN D/A-5463-2012; PASCUAL, UNAI/B-4766-2012; Leisz, Stephen/GQY-8145-2022; Birch-Thoen, Torben/L-8722-2014; Adams, Cristina/C-5585-2009; Mertz, Ole/M-2482-2014; Bruun, Thilde Bech/G-5151-2014; Pascual, Unai/O-7946-2019; Ada, Cristina/C-5585-2009; Bruun, Thilde/AGI-9225-2022</t>
  </si>
  <si>
    <t>Duc Vien, Tran/0000-0001-5649-6082; Đức Viên, Trần/0000-0003-1997-7973; Castella, Jean-Christophe/0000-0003-3532-0728; Vu, Kim Chi/0000-0002-8695-1661; ZIEGLER, ALAN D/0000-0001-5305-2136; Schmook, Birgit/0000-0001-5775-0310; PASCUAL, UNAI/0000-0002-5696-236X; Leisz, Stephen/0000-0002-0726-8996; Fox, Jefferson/0000-0002-0508-654X; Birch-Thoen, Torben/0000-0002-4164-2486; Mertz, Ole/0000-0002-3876-6779; Bruun, Thilde Bech/0000-0002-6037-7884; Messerli, Peter/0000-0002-0286-6348; Ickowitz, Amy/0000-0002-0965-7661; Heinimann, Aneas/0000-0001-8905-8169; Ada, Cristina/0000-0003-2594-9186;</t>
  </si>
  <si>
    <t>Danish Social Science Research Council; Global Land Project (GLP); Swiss National Centre of Competence in Research (NCCR) North-South; Division Of Behavioral and Cognitive Sci; Direct For Social, Behav &amp; Economic Scie [1134890] Funding Source: National Science Foundation; Grants-in-Aid for Scientific Research [23401013, 22241058, 22241012] Funding Source: KAKEN</t>
  </si>
  <si>
    <t>Danish Social Science Research Council; Global Land Project (GLP); Swiss National Centre of Competence in Research (NCCR) North-South(Swiss National Science Foundation (SNSF)); Division Of Behavioral and Cognitive Sci; Direct For Social, Behav &amp; Economic Scie(National Science Foundation (NSF)NSF - Directorate for Social, Behavioral &amp; Economic Sciences (SBE)); Grants-in-Aid for Scientific Research(Ministry of Education, Culture, Sports, Science and Technology, Japan (MEXT)Japan Society for the Promotion of ScienceGrants-in-Aid for Scientific Research (KAKENHI))</t>
  </si>
  <si>
    <t>Work for this paper was supported by a grant from the Danish Social Science Research Council, the Global Land Project (GLP) and the Swiss National Centre of Competence in Research (NCCR) North-South. The authors are grateful for contributions by Daniel Muller and Patrick Meyfroidt.</t>
  </si>
  <si>
    <t>10.1016/j.gloenvcha.2011.10.009</t>
  </si>
  <si>
    <t>945QC</t>
  </si>
  <si>
    <t>Green Submitted, Green Published</t>
  </si>
  <si>
    <t>WOS:000304290100012</t>
  </si>
  <si>
    <t>Fordham, DA; Akçakaya, HR; Araújo, MB; Elith, J; Keith, DA; Pearson, R; Auld, TD; Mellin, C; Morgan, JW; Regan, TJ; Tozer, M; Watts, MJ; White, M; Wintle, BA; Yates, C; Brook, BW</t>
  </si>
  <si>
    <t>Fordham, Damien A.; Akcakaya, H. Resit; Araujo, Miguel B.; Elith, Jane; Keith, David A.; Pearson, Richard; Auld, Tony D.; Mellin, Camille; Morgan, John W.; Regan, Tracey J.; Tozer, Mark; Watts, Michael J.; White, Matthew; Wintle, Brendan A.; Yates, Colin; Brook, Barry W.</t>
  </si>
  <si>
    <t>Plant extinction risk under climate change: are forecast range shifts alone a good indicator of species vulnerability to global warming?</t>
  </si>
  <si>
    <t>abundance; bioclimate envelope; connectivity; coupled niche-population model; dispersal; habitat suitability; mechanistic model; metapopulation; population viability analysis; species distribution model</t>
  </si>
  <si>
    <t>IUCN RED LIST; DISTRIBUTION MODELS; POPULATION-MODELS; PREDICTION; ABUNDANCE; IMPACTS; UNCERTAINTY; VEGETATION; BIOCLIMATE; DYNAMICS</t>
  </si>
  <si>
    <t>Models that couple habitat suitability with demographic processes offer a potentially improved approach for estimating spatial distributional shifts and extinction risk under climate change. Applying such an approach to five species of Australian plants with contrasting demographic traits, we show that: (i) predicted climate-driven changes in range area are sensitive to the underlying habitat model, regardless of whether demographic traits and their interaction with habitat patch configuration are modeled explicitly; and (ii) caution should be exercised when using predicted changes in total habitat suitability or geographic extent to infer extinction risk, because the relationship between these metrics is often weak. Measures of extinction risk, which quantify threats to population persistence, are particularly sensitive to life-history traits, such as recruitment response to fire, which explained approximately 60% of the deviance in expected minimum abundance. Dispersal dynamics and habitat patch structure have the strongest influence on the amount of movement of the trailing and leading edge of the range margin, explaining roughly 40% of modeled structural deviance. These results underscore the need to consider direct measures of extinction risk (population declines and other measures of stochastic viability), as well as measures of change in habitat area, when assessing climate change impacts on biodiversity. Furthermore, direct estimation of extinction risk incorporates important demographic and ecosystem processes, which potentially influence species vulnerability to extinction due to climate change.</t>
  </si>
  <si>
    <t>[Fordham, Damien A.; Mellin, Camille; Watts, Michael J.; Brook, Barry W.] Univ Adelaide, Inst Environm, Adelaide, SA 5005, Australia; [Fordham, Damien A.; Mellin, Camille; Watts, Michael J.; Brook, Barry W.] Univ Adelaide, Sch Earth &amp; Environm Sci, Adelaide, SA 5005, Australia; [Akcakaya, H. Resit] SUNY Stony Brook, Dept Ecol &amp; Evolut, Stony Brook, NY 11794 USA; [Araujo, Miguel B.] CSIC, Natl Museum Nat Sci, Dept Biodivers &amp; Evolutionary Biol, E-28006 Madrid, Spain; [Araujo, Miguel B.] Univ Evora, CIBIO, Rui Nabeiro Biodivers Chair, P-7000 Evora, Portugal; [Elith, Jane; Regan, Tracey J.; Wintle, Brendan A.] Univ Melbourne, Sch Bot, Parkville, Vic 3010, Australia; [Keith, David A.; Auld, Tony D.; Tozer, Mark] NSW Off Environm &amp; Heritage, Hurstville, NSW 2220, Australia; [Keith, David A.] Univ New S Wales, Australian Wetlands &amp; Rivers Ctr, Sch Biol Earth &amp; Environm Sci, Sydney, NSW 2052, Australia; [Pearson, Richard] Amer Museum Nat Hist, New York, NY 10024 USA; [Mellin, Camille] Townsville MC, Australian Inst Marine Sci, Townsville, Qld 4810, Australia; [Morgan, John W.] La Trobe Univ, Dept Bot, Bundoora, Vic 3086, Australia; [White, Matthew] Arthur Rylah Inst Environm Res, Dept Sustainabil &amp; Environm, Heidelberg, Vic 3084, Australia; [Yates, Colin] Dept Environm &amp; Conservat, Div Sci, Bentley, WA 6983, Australia</t>
  </si>
  <si>
    <t>Adelaide University; University of Adelaide; Adelaide University; University of Adelaide; State University of New York (SUNY) System; Stony Brook University; Consejo Superior de Investigaciones Cientificas (CSIC); University of Evora; University of Melbourne; Office of Environment &amp; Heritage - New South Wales; University of New South Wales Sydney; American Museum of Natural History (AMNH); Australian Institute of Marine Science; La Trobe University; Arthur Rylah Institute for Environmental Research (ARI)</t>
  </si>
  <si>
    <t>Fordham, DA (corresponding author), Univ Adelaide, Inst Environm, Adelaide, SA 5005, Australia.</t>
  </si>
  <si>
    <t>; Mellin, Camille/X-9161-2019; Akcakaya, H./A-7830-2008; Brook, Barry/G-2686-2011; Bastos Araújo, Miguel/B-6117-2008; Watts, Michael/A-9139-2010; Pearson, Richard/GQH-2760-2022; Elith, Jane/F-2022-2015; Araújo, Miguel/B-6117-2008; Fordham, Damien/E-9255-2013</t>
  </si>
  <si>
    <t>wintle, brendan/0000-0002-4234-5950; Brook, Barry/0000-0002-2491-1517; Bastos Araújo, Miguel/0000-0002-5107-7265; Watts, Michael/0000-0003-1559-3091; Elith, Jane/0000-0002-8706-0326; Keith, David/0000-0002-7627-4150; Auld, Tony/0000-0002-8766-2829; Mellin, Camille/0000-0002-7369-2349; Fordham, Damien/0000-0003-2137-5592</t>
  </si>
  <si>
    <t>Australian Research Council (ARC) [LP0989420, FT0991640, FT100100819]; National Aeronautics and Space Administration through the NASA [NNX09AK19G]; Portuguese FCT [PTDC/AAC-AMB/98163/2008]; [LP0989537]; Australian Research Council [LP0989420, FT100100819, FT0991640] Funding Source: Australian Research Council</t>
  </si>
  <si>
    <t>Australian Research Council (ARC)(Australian Research Council); National Aeronautics and Space Administration through the NASA(National Aeronautics &amp; Space Administration (NASA)); Portuguese FCT(Fundacao para a Ciencia e a Tecnologia (FCT)); ; Australian Research Council(Australian Research Council)</t>
  </si>
  <si>
    <t>The ARC-NZ Research Network for Vegetation Function (http://www.vegfunction.net/index.html) funded two workshops, bringing together experts in the fields of plant ecology, quantitative ecology population viability analysis and species distribution modeling. Graeme Hastwell and Lee Heard helped collate species data sets. Australian Research Council (ARC) Linkage grants were used to support the contributions of DAF, BWB and MJW (LP0989420); and DAK, BAW, TJR and JE (LP0989537). JE and BAW were also supported by ARC grants FT0991640 and FT100100819 respectively. Contributions of HRA and RGP were supported by the National Aeronautics and Space Administration under Grant No. NNX09AK19G awarded through the NASA Biodiversity Program, MBA was supported by the Portuguese FCT grant PTDC/AAC-AMB/98163/2008.</t>
  </si>
  <si>
    <t>10.1111/j.1365-2486.2011.02614.x</t>
  </si>
  <si>
    <t>909AB</t>
  </si>
  <si>
    <t>WOS:000301533100013</t>
  </si>
  <si>
    <t>Szabo, JK; Butchart, SHM; Possingham, HP; Garnett, ST</t>
  </si>
  <si>
    <t>Szabo, Judit K.; Butchart, Stuart H. M.; Possingham, Hugh P.; Garnett, Stephen T.</t>
  </si>
  <si>
    <t>Adapting global biodiversity indicators to the national scale: A Red List Index for Australian birds</t>
  </si>
  <si>
    <t>Australia; Birds; IUCN Red List; Biodiversity trends; State of the environment; Threatened taxa</t>
  </si>
  <si>
    <t>EXTINCTION RISK; WOODLAND BIRDS; CONSERVATION; PROGRESS; ERADICATION; TRENDS</t>
  </si>
  <si>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</si>
  <si>
    <t>[Szabo, Judit K.; Garnett, Stephen T.] Charles Darwin Univ, Res Inst Environm &amp; Livelihoods, Darwin, NT 0909, Australia; [Butchart, Stuart H. M.] BirdLife Int, Wellbrook Court, Cambridge CB3 0NA, England; [Possingham, Hugh P.] Univ Queensland, Ctr Excellence Environm Decis, St Lucia, Qld 4072, Australia</t>
  </si>
  <si>
    <t>Charles Darwin University; BirdLife International; University of Queensland</t>
  </si>
  <si>
    <t>Szabo, JK (corresponding author), Charles Darwin Univ, Res Inst Environm &amp; Livelihoods, Darwin, NT 0909, Australia.</t>
  </si>
  <si>
    <t>judit.szabo@cdu.edu.au</t>
  </si>
  <si>
    <t>Garnett, Stephen/M-3877-2013; Butchart, Stuart/Y-2711-2018; Possingham, Hugh/B-1337-2008; Szabo, Judit/C-1247-2012</t>
  </si>
  <si>
    <t>Garnett, Stephen/0000-0002-0724-7060; Szabo, Judit/0000-0002-8786-1887; Possingham, Hugh/0000-0001-7755-996X; Butchart, Stuart/0000-0002-1140-4049</t>
  </si>
  <si>
    <t>Australian Research Council [LP0990395]; Birds Australia; Australian Wildlife Conservancy; Biosis and BirdLife International; Australian Research Council [LP0990395] Funding Source: Australian Research Council</t>
  </si>
  <si>
    <t>Australian Research Council(Australian Research Council); Birds Australia; Australian Wildlife Conservancy; Biosis and BirdLife International; Australian Research Council(Australian Research Council)</t>
  </si>
  <si>
    <t>The Red List assessments upon which these analyses are based would not have been possible without input from hundreds of experts. For the 2010 assessment we wish to thank particularly members of the Birds Australia threatened species committee: Barry Baker, Andrew Burbidge, Allan Burbidge, Graham Carpenter, Les Christidis, Guy Dutson, Hugh Ford, Tim Holmes, Sarah Legge, Richard Loyn, Peter Menkhorst, James O'Connor, Penny Olsen, Don Saunders, Andy Symes, David Watson and John Woinarski. The project was funded under Australian Research Council Linkage Grant LP0990395 with support from Birds Australia, the Australian Wildlife Conservancy, Biosis and BirdLife International.</t>
  </si>
  <si>
    <t>10.1016/j.biocon.2012.01.062</t>
  </si>
  <si>
    <t>926OG</t>
  </si>
  <si>
    <t>WOS:000302840100007</t>
  </si>
  <si>
    <t>Gardali, T; Seavy, NE; DiGaudio, RT; Comrack, LA</t>
  </si>
  <si>
    <t>Gardali, Thomas; Seavy, Nathaniel E.; DiGaudio, Ryan T.; Comrack, Lyann A.</t>
  </si>
  <si>
    <t>A Climate Change Vulnerability Assessment of California's At-Risk Birds</t>
  </si>
  <si>
    <t>POPULATION CONSEQUENCES; EXTINCTION RISK; HABITAT; FUTURE; BUTTERFLIES; RESILIENCE; FRAMEWORK; RESPONSES; IMPACTS; EVENTS</t>
  </si>
  <si>
    <t>Conservationists must develop new strategies and adapt existing tools to address the consequences of anthropogenic climate change. To support statewide climate change adaptation, we developed a framework for assessing climate change vulnerability of California's at-risk birds and integrating it into the existing California Bird Species of Special Concern list. We defined climate vulnerability as the amount of evidence that climate change will negatively impact a population. We quantified climate vulnerability by scoring sensitivity (intrinsic characteristics of an organism that make it vulnerable) and exposure (the magnitude of climate change expected) for each taxon. Using the combined sensitivity and exposure scores as an index, we ranked 358 avian taxa, and classified 128 as vulnerable to climate change. Birds associated with wetlands had the largest representation on the list relative to other habitat groups. Of the 29 state or federally listed taxa, 21 were also classified as climate vulnerable, further raising their conservation concern. Integrating climate vulnerability and California's Bird Species of Special Concern list resulted in the addition of five taxa and an increase in priority rank for ten. Our process illustrates a simple, immediate action that can be taken to inform climate change adaptation strategies for wildlife.</t>
  </si>
  <si>
    <t>[Gardali, Thomas; Seavy, Nathaniel E.] PRBO Conservat Sci, Pacific Coast &amp; Cent Valley Grp, Petaluma, CA USA; [DiGaudio, Ryan T.] PRBO Conservat Sci, Emerging Programs &amp; Partnerships Grp, Petaluma, CA USA; [Comrack, Lyann A.] Calif Dept Fish &amp; Game, Nongame Wildlife Program, Sacramento, CA 95814 USA</t>
  </si>
  <si>
    <t>Gardali, T (corresponding author), PRBO Conservat Sci, Pacific Coast &amp; Cent Valley Grp, Petaluma, CA USA.</t>
  </si>
  <si>
    <t>tgardali@prbo.org</t>
  </si>
  <si>
    <t>MAR 2</t>
  </si>
  <si>
    <t>e29507</t>
  </si>
  <si>
    <t>10.1371/journal.pone.0029507</t>
  </si>
  <si>
    <t>928TC</t>
  </si>
  <si>
    <t>WOS:000303006500001</t>
  </si>
  <si>
    <t>Campiglia, E; Radicetti, E; Mancinelli, R</t>
  </si>
  <si>
    <t>Campiglia, Enio; Radicetti, Emanuele; Mancinelli, Robeto</t>
  </si>
  <si>
    <t>Weed control strategies and yield response in a pepper crop (Capsicum annuum L.) mulched with hairy vetch (Vicia villosa Roth.) and oat (Avena sativa L.) residues</t>
  </si>
  <si>
    <t>CROP PROTECTION</t>
  </si>
  <si>
    <t>Integrated weed management; Conservation tillage; Weed diversity; Cover crops; Mediterranean environment; Low-input agriculture; Organic agriculture; Glyphosate</t>
  </si>
  <si>
    <t>COVER CROP; SEED-GERMINATION; MANAGEMENT; TILLAGE; TEMPERATURE; SUPPRESSION; DIVERSITY; ROTATION; DORMANCY; SYSTEMS</t>
  </si>
  <si>
    <t>Organic mulches could be a part of a wide strategy of integrated weed management in vegetable production systems. A 2-year field experiment was carried out in Central Italy with the aim of assessing the effect of grass and legume mulches, coming from winter cover crops, combined with herbicide or mechanical hoeing on weed control, on weed community (density and aboveground biomass of each species), and yield of a pepper crop. Hairy vetch (Vicia villosa Roth), oat (Avena sativa L) and their mixture were sown in early autumn and suppressed in May. The cover crop aboveground biomass was cut and arranged in strips which were used as beds for pepper seedlings transplanted in paired rows. A conventional treatment kept bare during the cover crop growing season with two different levels of nitrogen fertilizer on pepper (0-100 kg ha(-1) of N) was also included. Three weed control treatments were applied between the paired pepper rows 30 days after transplanting: a weed free treatment, glyphosate or mechanical hoeing. Dry matter production at cover crop suppression ranged from 5.3 t ha(-1) in oat to 7.1 t ha(-1) in hairy vetch/oat mixture and the N accumulation ranged from 56 kg ha(-1) in oat to 179 kg ha(-1) in hairy vetch. Within the pepper paired rows, mulch treatments reduced weed density and biomass throughout the pepper cropping season. At harvest, weed density and aboveground biomass within the pepper paired rows ranged from 1.7 to 4.6 plants m(-2) and 28 and 133 gm(-2) of DM, respectively. Oat mulch had the highest weed suppression ability and the lowest species richness. Shannon's index and Shannon evenness. Between the pepper paired rows the mulch treatments had the highest species richness and the most diverse weed community in chemical compared to mechanical weed control. The densities of Portulaca oleracea L and Polygonum aviculare L. were the highest under chemical and mechanical control, respectively. The weeds did not hinder pepper production in hairy vetch and hairy vetch/oat mixture where the yield was similar to that obtained in a conventional weedfree system fertilized with 100 kg ha(-1) of N. Therefore the use of hairy vetch mulches in combination with reduced mechanical or chemical weed control could be a feasible strategy in order to control weeds and to produce high yields in a pepper crop. (C) 2011 Elsevier Ltd. All rights reserved.</t>
  </si>
  <si>
    <t>[Campiglia, Enio; Radicetti, Emanuele; Mancinelli, Robeto] Univ Tuscia, Dipartimento Sci &amp; Tecnol Agr Foreste Nat &amp; Energ, I-01100 Viterbo, Italy</t>
  </si>
  <si>
    <t>Tuscia University</t>
  </si>
  <si>
    <t>Campiglia, E (corresponding author), Univ Tuscia, Dipartimento Sci &amp; Tecnol Agr Foreste Nat &amp; Energ, Via S Camillo Lellis, I-01100 Viterbo, Italy.</t>
  </si>
  <si>
    <t>campigli@unitus.it</t>
  </si>
  <si>
    <t>; Mancinelli, Roberto/K-6427-2014; Radicetti, Emanuele/O-4326-2019</t>
  </si>
  <si>
    <t>Radicetti, Emanuele/0000-0001-8654-3177; Mancinelli, Roberto/0000-0002-8396-6307; CAMPIGLIA, Enio/0000-0002-5307-4543</t>
  </si>
  <si>
    <t>0261-2194</t>
  </si>
  <si>
    <t>1873-6904</t>
  </si>
  <si>
    <t>CROP PROT</t>
  </si>
  <si>
    <t>Crop Prot.</t>
  </si>
  <si>
    <t>10.1016/j.cropro.2011.09.016</t>
  </si>
  <si>
    <t>890FF</t>
  </si>
  <si>
    <t>WOS:000300129800010</t>
  </si>
  <si>
    <t>Croxall, JP; Butchart, SHM; Lascelles, B; Stattersfield, AJ; Sullivan, B; Symes, A; Taylor, P</t>
  </si>
  <si>
    <t>Croxall, John P.; Butchart, Stuart H. M.; Lascelles, Ben; Stattersfield, Alison J.; Sullivan, Ben; Symes, Andy; Taylor, Phil</t>
  </si>
  <si>
    <t>Seabird conservation status, threats and priority actions: a global assessment</t>
  </si>
  <si>
    <t>BIRD CONSERVATION INTERNATIONAL</t>
  </si>
  <si>
    <t>BIODIVERSITY; ERADICATION; ALBATROSSES; INDICATORS; MORTALITY</t>
  </si>
  <si>
    <t>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</si>
  <si>
    <t>[Croxall, John P.; Butchart, Stuart H. M.; Lascelles, Ben; Stattersfield, Alison J.; Symes, Andy; Taylor, Phil] BirdLife Int, Wellbrook Court, Cambridge CB3 0NA, England; [Sullivan, Ben] Royal Soc Protect Birds, Sandy SG19 2DL, Beds, England</t>
  </si>
  <si>
    <t>BirdLife International; Royal Society for Protection of Birds</t>
  </si>
  <si>
    <t>Croxall, JP (corresponding author), BirdLife Int, Wellbrook Court, Girton Rd, Cambridge CB3 0NA, England.</t>
  </si>
  <si>
    <t>john.croxall@birdlife.org</t>
  </si>
  <si>
    <t>; Butchart, Stuart/Y-2711-2018</t>
  </si>
  <si>
    <t>Butchart, Stuart/0000-0002-1140-4049; Taylor, Philip/0000-0002-0751-6451;</t>
  </si>
  <si>
    <t>0959-2709</t>
  </si>
  <si>
    <t>1474-0001</t>
  </si>
  <si>
    <t>BIRD CONSERV INT</t>
  </si>
  <si>
    <t>Bird Conserv. Int.</t>
  </si>
  <si>
    <t>10.1017/S0959270912000020</t>
  </si>
  <si>
    <t>Biodiversity Conservation; Ornithology</t>
  </si>
  <si>
    <t>Biodiversity &amp; Conservation; Zoology</t>
  </si>
  <si>
    <t>905TW</t>
  </si>
  <si>
    <t>WOS:000301298900001</t>
  </si>
  <si>
    <t>Edwards, DP; Woodcock, P; Edwards, FA; Larsen, TH; Hsu, WW; Benedick, S; Wilcove, DS</t>
  </si>
  <si>
    <t>Edwards, David P.; Woodcock, Paul; Edwards, Felicity A.; Larsen, Trond H.; Hsu, Wayne W.; Benedick, Suzan; Wilcove, David S.</t>
  </si>
  <si>
    <t>Reduced-impact logging and biodiversity conservation: a case study from Borneo</t>
  </si>
  <si>
    <t>agricultural conversion; avifauna; degraded lands; oil palm; paper pulp; selective logging; Southeast Asia; sustainable forest management; tropical rain forest</t>
  </si>
  <si>
    <t>TROPICAL RAIN-FORESTS; SPECIES-DIVERSITY; INDICATOR GROUPS; BIRD COMMUNITY; COSTA-RICA; ASSEMBLAGES; EXPANSION; ABUNDANCE; RESPONSES; RECOVERY</t>
  </si>
  <si>
    <t>A key driver of rain forest degradation is rampant commercial logging. Reduced-impact logging (RIL) techniques dramatically reduce residual damage to vegetation and soils, and they enhance the long-term economic viability of timber operations when compared to conventionally managed logging enterprises. Consequently, the application of RIL is increasing across the tropics, yet our knowledge of the potential for RIL also to reduce the negative impacts of logging on biodiversity is minimal. We compare the impacts of RIL on birds, leaf-litter ants, and dung beetles during a second logging rotation in Sabah, Borneo, with the impacts of conventional logging (CL) as well as with primary (unlogged) forest. Our study took place 1-8 years after the cessation of logging. The species richness and composition of RIL vs. CL forests were very similar for each taxonomic group. Both RIL and CL differed significantly from unlogged forests in terms of bird and ant species composition (although both retained a large number of the species found in unlogged forests), whereas the composition of dung beetle communities did not differ significantly among forest types. Our results show little difference in biodiversity between RIL and CL over the short term. However, biodiversity, benefits from RIL may accrue over longer time periods after the cessation of logging. We highlight a severe lack of studies investigating this possibility. Moreover, if RI L increases the economic value of selectively logged forests (e.g., via REDD+, a United Nations program: Reducing Emissions from Deforestation and Forest Degradation in Developing Countries), it could help prevent them from being converted to agricultural plantations, which results in a tremendous loss of biodiversity.</t>
  </si>
  <si>
    <t>[Edwards, David P.; Wilcove, David S.] Princeton Univ, Woodrow Wilson Sch Publ &amp; Int Affairs, Princeton, NJ 08544 USA; [Woodcock, Paul; Edwards, Felicity A.] Univ Leeds, Inst Integrat &amp; Comparat Biol, Fac Biol Sci, Leeds LS2 9JT, W Yorkshire, England; [Larsen, Trond H.; Wilcove, David S.] Conservat Int, Sci &amp; Knowledge Div, Arlington, VA 22202 USA; [Hsu, Wayne W.] Columbia Univ, Dept Ecol Evolut &amp; Environm Biol, New York, NY 10027 USA; [Benedick, Suzan] Univ Malaysia Sabah, Sch Sustainable Agr, Sabah, Malaysia</t>
  </si>
  <si>
    <t>Princeton University; University of Leeds; Conservation International; Columbia University; Universiti Malaysia Sabah</t>
  </si>
  <si>
    <t>Edwards, DP (corresponding author), James Cook Univ, Ctr Trop Environm &amp; Sustainabil Sci TESS, Smithfield, Qld 4878, Australia.</t>
  </si>
  <si>
    <t>dave.edwards@jcu.edu.au</t>
  </si>
  <si>
    <t>; Edwards, David/AAC-5091-2019; Benedick, Suzan/M-2529-2016</t>
  </si>
  <si>
    <t>Edwards, Felicity/0000-0003-1742-2763; Wilcove, David S/0000-0002-1354-0503; Benedick, Suzan/0000-0003-2587-3644; Edwards, David/0000-0001-8562-3853; Woodcock, Paul/0000-0002-2178-5447;</t>
  </si>
  <si>
    <t>STEP; High Meadows Foundation</t>
  </si>
  <si>
    <t>We thank David Andrews, Teegan Docherty, Takahiro Ota, Mitt Derhe, Leah Williams, Simon Mitchell, and Tom Fayle for assistance with fieldwork; Darren Mann and Eleanor Slade for providing reference collections and support with determinations; Glen Reynolds, the Royal Society's SEARRP, and the Borneo Rainforest Lodge for logistical support; Chey Vun Khen, Arthur Chung, and Abdul Ahmad for collaborative support; and two anonymous referees for comments. We also thank Yayasan Sabah, Danum Valley Management Committee, the State Secretary, Sabah Chief Minister's Departments, and the Economic Planning Unit of the Prime Minister's Department for permission to conduct research. D. P. Edwards was supported by a STEP fellowship at Princeton University. Additional support was provided by a grant from the High Meadows Foundation to D. S. Wilcove.</t>
  </si>
  <si>
    <t>10.1890/11-1362.1</t>
  </si>
  <si>
    <t>921ZP</t>
  </si>
  <si>
    <t>WOS:000302516900014</t>
  </si>
  <si>
    <t>Rummukainen, M</t>
  </si>
  <si>
    <t>Rummukainen, Markku</t>
  </si>
  <si>
    <t>Changes in climate and weather extremes in the 21st century</t>
  </si>
  <si>
    <t>WILEY INTERDISCIPLINARY REVIEWS-CLIMATE CHANGE</t>
  </si>
  <si>
    <t>FUTURE CHANGES; PRECIPITATION EXTREMES; DAILY TEMPERATURE; WIND SPEEDS; HEAT-WAVE; ENSEMBLE; ATLANTIC; IMPACT; SIMULATIONS; PROJECTIONS</t>
  </si>
  <si>
    <t>Climate and weather extremes are sporadically recurring events that may have major local or regional impacts on the society and the environment. These events are typically related to unusually high or low temperature, prolonged dry or wet conditions, heavy precipitation, or extreme winds. Extreme events are part of the overall climate and weather alongside average conditions and variability, and thus are not unexpected as such. Climate change is expected to affect not only means but also variability and extremes. Some inferences can be based on past and present observations, but analyses of especially rare events are hampered by the availability of long time series. Over time, depending on how far the on-going global warming takes us from the present and the past climate conditions, the weather and climate statistics may well come to shift in ways that are well outside observational data. This may lead to shifts in frequency, intensity and geographical distribution of different extremes. Indeed, projected changes in some extremes over the 21st century are quite robust, such as generally increasing warm and decreasing cold extremes. Possible changes in some other aspects, for example storms, remain much more uncertain. Science-based information both on robust findings and on relevant uncertainties on changing extremes can provide useful information for sectorial planning, disaster risk prevention and overall reduction of societal vulnerability related to climate and weather. WIREs Clim Change 2012, 3:115129. doi: 10.1002/wcc.160</t>
  </si>
  <si>
    <t>Lund Univ, Ctr Environm &amp; Climate Res, Lund, Sweden</t>
  </si>
  <si>
    <t>Rummukainen, M (corresponding author), Lund Univ, Ctr Environm &amp; Climate Res, Lund, Sweden.</t>
  </si>
  <si>
    <t>Markku.Rummukainen@cec.lu.se</t>
  </si>
  <si>
    <t>Foundation for Strategic Environmental Research</t>
  </si>
  <si>
    <t>This review contributes to the research efforts within the strategic research area MERGE at Lund University and within the Swedish Mistra-SWECIA research programme funded by the Foundation for Strategic Environmental Research. An early version of the review was prepared of an IAEA workshop in Trieste, April 19-23, 2010.</t>
  </si>
  <si>
    <t>1757-7780</t>
  </si>
  <si>
    <t>1757-7799</t>
  </si>
  <si>
    <t>WIRES CLIM CHANGE</t>
  </si>
  <si>
    <t>Wiley Interdiscip. Rev.-Clim. Chang.</t>
  </si>
  <si>
    <t>10.1002/wcc.160</t>
  </si>
  <si>
    <t>Environmental Studies; Meteorology &amp; Atmospheric Sciences</t>
  </si>
  <si>
    <t>910MZ</t>
  </si>
  <si>
    <t>WOS:000301644400001</t>
  </si>
  <si>
    <t>Wan, KY; Tao, Y; Li, RH; Pan, JF; Tang, LL; Chen, F</t>
  </si>
  <si>
    <t>Wan, Kaiyuan; Tao, Yong; Li, Ruhai; Pan, Junfeng; Tang, Leilei; Chen, Fang</t>
  </si>
  <si>
    <t>Influences of long-term different types of fertilization on weed community biodiversity in rice paddy fields</t>
  </si>
  <si>
    <t>WEED BIOLOGY AND MANAGEMENT</t>
  </si>
  <si>
    <t>long-term fertilization; macro-elements; paddy field; rice; weed biodiversity</t>
  </si>
  <si>
    <t>ORYZA-SATIVA L.; MANAGEMENT; DIVERSITY; HERBICIDE; SYSTEMS; MAIZE; CROPS</t>
  </si>
  <si>
    <t>In order to provide a scientific basis for developing integrated weed management strategies in rice paddy fields, this study investigated the influences of different types of fertilization on weed biodiversity. The experiment was conducted at Long-term-located Monitoring Station for Soil Fertility, Agricultural Science Academy, of Jiangxi Province, China. Five fertilization treatments were set: no fertilization (NOF), PK, NP, NK, and NPK. The results showed that the influence of different fertilization treatments on weed community traits followed the models PK &gt; NOF &gt; NK &gt; NP &gt; NPK for species richness, PK &gt; NOF &gt; NK &gt; NP &gt; NPK for species diversity, NPK &gt; NP &gt; NK &gt; NOF &gt; PK for community dominance, and PK &gt; NOF &gt; NK &gt; NP &gt; NPK for community evenness. Under NPK (i.e. balanced fertilization), the weed species diversity and richness and weed community evenness were the lowest. The principal component analysis showed that the weed community was divided into three groups: (i) NK and a part of NOF; (ii) NP and NPK; and (iii) PK and NOF. The correlation analysis indicated that the influence of each macro-element on the weed community followed the model N &gt; P &gt; K. The organic content in the paddy soil might have played an equally important role with the amount of available N in determining the weed community's characteristics. Regarding the way by which N, P, and K influenced the weed community, the amount of available P and K mainly influenced the organic content, while the amount of available N influenced both the organic content and light transmittance within the canopy, thereby enhancing the capacity of rice to compete with weeds.</t>
  </si>
  <si>
    <t>[Wan, Kaiyuan; Tao, Yong; Pan, Junfeng; Tang, Leilei; Chen, Fang] Chinese Acad Sci, Key Lab Aquat Bot &amp; Watershed Ecol, Wuhan Bot Garden, Wuhan 430074, Peoples R China; [Li, Ruhai] Hubei Acad Agr Sci, Inst Plant Protect &amp; Soil Sci, Wuhan, Peoples R China; [Tang, Leilei] Chinese Acad Sci, Grad Univ, Life Sci Coll, Beijing, Peoples R China</t>
  </si>
  <si>
    <t>Chinese Academy of Sciences; Wuhan Botanical Garden, CAS; Hubei Academy of Agricultural Sciences; Chinese Academy of Sciences; University of Chinese Academy of Sciences, CAS</t>
  </si>
  <si>
    <t>Chen, F (corresponding author), Chinese Acad Sci, Key Lab Aquat Bot &amp; Watershed Ecol, Wuhan Bot Garden, Wuhan 430074, Peoples R China.</t>
  </si>
  <si>
    <t>fchen@ipni.ac.cn</t>
  </si>
  <si>
    <t>International Plant Nutrition Institute, Wuhan, China [IPNI-HB-33, IPNI-HB-34]; Hubei Key Laboratory of Wetland Evolution &amp; Ecological Restoration</t>
  </si>
  <si>
    <t>International Plant Nutrition Institute, Wuhan, China; Hubei Key Laboratory of Wetland Evolution &amp; Ecological Restoration</t>
  </si>
  <si>
    <t>This research project was funded by the Program of International Plant Nutrition Institute (IPNI-HB-33, 34), Wuhan, China and the Opening Project of Hubei Key Laboratory of Wetland Evolution &amp; Ecological Restoration.</t>
  </si>
  <si>
    <t>1444-6162</t>
  </si>
  <si>
    <t>1445-6664</t>
  </si>
  <si>
    <t>WEED BIOL MANAG</t>
  </si>
  <si>
    <t>Weed Biol. Manag.</t>
  </si>
  <si>
    <t>10.1111/j.1445-6664.2011.00430.x</t>
  </si>
  <si>
    <t>Agronomy; Plant Sciences</t>
  </si>
  <si>
    <t>Agriculture; Plant Sciences</t>
  </si>
  <si>
    <t>908LU</t>
  </si>
  <si>
    <t>WOS:000301492700002</t>
  </si>
  <si>
    <t>Greig, HS; Kratina, P; Thompson, PL; Palen, WJ; Richardson, JS; Shurin, JB</t>
  </si>
  <si>
    <t>Greig, Hamish S.; Kratina, Pavel; Thompson, Patrick L.; Palen, Wendy J.; Richardson, John S.; Shurin, Jonathan B.</t>
  </si>
  <si>
    <t>Warming, eutrophication, and predator loss amplify subsidies between aquatic and terrestrial ecosystems</t>
  </si>
  <si>
    <t>allochthonous resources; amphibians; climate warming; detritus decomposition; global change; insect emergence; spatial subsidies; top-down control</t>
  </si>
  <si>
    <t>LENGTH-MASS RELATIONSHIPS; GLOBAL CARBON-CYCLE; ORGANIC-CARBON; CLIMATE-CHANGE; STREAM ECOSYSTEM; TROPHIC CASCADES; RIPARIAN SPIDER; FOOD; SUPPORT; LAKES</t>
  </si>
  <si>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</si>
  <si>
    <t>[Greig, Hamish S.; Kratina, Pavel; Thompson, Patrick L.; Richardson, John S.; Shurin, Jonathan B.] Univ British Columbia, Biodivers Res Ctr, Vancouver, BC V6T 1Z4, Canada; [Greig, Hamish S.; Kratina, Pavel; Thompson, Patrick L.; Richardson, John S.; Shurin, Jonathan B.] Univ British Columbia, Dept Zool, Vancouver, BC V6T 1Z4, Canada; [Greig, Hamish S.; Richardson, John S.] Univ British Columbia, Dept Forest Sci, Vancouver, BC V6T 1Z4, Canada; [Thompson, Patrick L.] McGill Univ, Dept Biol, Montreal, PQ H3A 1B1, Canada; [Palen, Wendy J.] Simon Fraser Univ, Dept Biol Sci, Burnaby, BC V5A 1S6, Canada; [Shurin, Jonathan B.] Univ Calif San Diego, Sect Ecol Behav &amp; Evolut, La Jolla, CA 92093 USA</t>
  </si>
  <si>
    <t>University of British Columbia; University of British Columbia; University of British Columbia; McGill University; Simon Fraser University; University of California System; University of California San Diego</t>
  </si>
  <si>
    <t>Greig, HS (corresponding author), Univ Canterbury, Sch Biol Sci, Christchurch 8140, New Zealand.</t>
  </si>
  <si>
    <t>hamish.greig@canterbury.ac.nz</t>
  </si>
  <si>
    <t>Thompson, Patrick/B-6213-2012; Richardson, John/G-1513-2012; Kratina, Pavel/O-5192-2019</t>
  </si>
  <si>
    <t>Thompson, Patrick/0000-0002-5278-9045; Richardson, John/0000-0001-8135-7447; Kratina, Pavel/0000-0002-9144-7937;</t>
  </si>
  <si>
    <t>Natural Sciences and Engineering Research Council of Canada; New Zealand Foundation for Research, Science Technology [UBX0901]</t>
  </si>
  <si>
    <t>Natural Sciences and Engineering Research Council of Canada(Natural Sciences and Engineering Research Council of Canada (NSERC)CGIAR); New Zealand Foundation for Research, Science Technology(New Zealand Foundation for Research, Science and Technology)</t>
  </si>
  <si>
    <t>We thank Annalise Barber, Ticiana Carvalho-Pereira, Amanda Klemmer, Sacha O'Regan, Dylan Rawlyk, Matt Robinson, and Anne Rutherford for laboratory and field assistance, and Laurie Marczak and members of the UBC Stream and Riparian Research Laboratory for valuable discussions. Comments from Seth Rudman, Takuya Sato and three anonymous reviewers greatly improved the manuscript. Funding was provided by the Natural Sciences and Engineering Research Council of Canada to PK and WJP and the New Zealand Foundation for Research, Science &amp; Technology (UBX0901) to HSG.</t>
  </si>
  <si>
    <t>10.1111/j.1365-2486.2011.02540.x</t>
  </si>
  <si>
    <t>875PB</t>
  </si>
  <si>
    <t>WOS:000299042500010</t>
  </si>
  <si>
    <t>Renwick, AR; Massimino, D; Newson, SE; Chamberlain, DE; Pearce-Higgins, JW; Johnston, A</t>
  </si>
  <si>
    <t>Renwick, Anna R.; Massimino, Dario; Newson, Stuart E.; Chamberlain, Dan E.; Pearce-Higgins, James W.; Johnston, Alison</t>
  </si>
  <si>
    <t>Modelling changes in species' abundance in response to projected climate change</t>
  </si>
  <si>
    <t>Breeding birds; climate change; climate envelope model; conservation; global warming; habitat; land cover; rainfall; temperature</t>
  </si>
  <si>
    <t>LAND-COVER; DISTRIBUTION PATTERNS; PREDICTED EXTINCTION; BIOCLIMATIC ENVELOPE; RANGE SHIFTS; POPULATION; BIRDS; DISTRIBUTIONS; HABITAT; NORTHERN</t>
  </si>
  <si>
    <t>Aim Existing climate envelope models give an indication of broad scale shifts in distribution, but do not specifically provide information on likely future population changes useful for conservation prioritization and planning. We demonstrate how these techniques can be developed to model likely future changes in absolute density and population size as a result of climate change. Location Great Britain. Methods Generalized linear models were used to model breeding densities of two northerly- and two southerly-distributed bird species as a function of climate and land use. Models were built using count data from extensive national bird monitoring data and incorporated detectability to estimate absolute abundance. Projections of likely future changes in the distribution and abundance of these species were made by applying these models to projections of future climate change under two emissions scenarios. Results Models described current spatial variation in abundance for three of the four species and produced modelled current estimates of national populations that were similar to previously published estimates for all species. Climate change was projected to result in national population declines in the two northerly-distributed species, with declines for Eurasian curlew Numenius arquata projected to be particularly severe. Conversely, the abundances of the two southerly distributed species were projected to increase nationally. Projected maps of future abundance may be used to identify priority areas for the future conservation of each species. Main conclusions The analytical methods provide a framework to make projections of impacts of climate change on species abundance, rather than simply projected range changes. Outputs may be summarized at any spatial scale, providing information to inform future conservation planning at national, regional and local scales. Results suggest that as a consequence of climate change, northerly distributed bird species in Great Britain are likely to become an increasingly high conservation priority within the UK.</t>
  </si>
  <si>
    <t>[Renwick, Anna R.; Massimino, Dario; Newson, Stuart E.; Pearce-Higgins, James W.; Johnston, Alison] British Trust Ornithol, Thetford IP24 2PU, Norfolk, England; [Chamberlain, Dan E.] Univ Turin, Dipartimento Biol Anim &amp; Uomo, I-10123 Turin, Italy</t>
  </si>
  <si>
    <t>British Trust for Ornithology; University of Turin</t>
  </si>
  <si>
    <t>Renwick, AR (corresponding author), British Trust Ornithol, Thetford IP24 2PU, Norfolk, England.</t>
  </si>
  <si>
    <t>anna.renwick@bto.org</t>
  </si>
  <si>
    <t>Chamberlain, Dan/K-1809-2015; Massimino, Dario/A-8113-2010; Renwick, Anna/F-9707-2012; Johnston, Alison/N-4820-2016</t>
  </si>
  <si>
    <t>Chamberlain, Dan/0000-0002-5381-2024; Johnston, Alison/0000-0001-8221-013X</t>
  </si>
  <si>
    <t>10.1111/j.1472-4642.2011.00827.x</t>
  </si>
  <si>
    <t>873IL</t>
  </si>
  <si>
    <t>WOS:000298874900003</t>
  </si>
  <si>
    <t>Rovero, F; Mtui, AS; Kitegile, AS; Nielsen, MR</t>
  </si>
  <si>
    <t>Rovero, Francesco; Mtui, Arafat S.; Kitegile, Amani S.; Nielsen, Martin R.</t>
  </si>
  <si>
    <t>Hunting or habitat degradation? Decline of primate populations in Udzungwa Mountains, Tanzania: An analysis of threats</t>
  </si>
  <si>
    <t>Extinction risk; Primates; Bushmeat; Threats; Udzungwa red colobus; Sanje mangabey</t>
  </si>
  <si>
    <t>KIBALE NATIONAL-PARK; RED COLOBUS; DIURNAL PRIMATES; FOREST MAMMALS; TANA RIVER; BODY-SIZE; CONSERVATION; IMPACT; ABUNDANCE; AREA</t>
  </si>
  <si>
    <t>Hunting and habitat degradation are universal threats to primates across the tropics, thus deciphering the relative impact of threats on population relative abundance is critical to predicting extinction risk and providing conservation recommendations. We studied diurnal primates over a period of nearly 6 years in the Udzungwa Mountains of Tanzania, a site of global importance for primate conservation. We assessed how population relative abundance of five species (of which two are endemic and IUCN-Endangered) differed between two forest blocks that are similar in size and habitat types but contrast strongly in protection level, and how abundance changed during 2004-2009. We also measured habitat and disturbance parameters and, in the unprotected forest, evaluated hunting practices. We found significant differences in primates' abundance between protected and unprotected forests, with the greater contrast being the lower abundance of colobine monkeys (Udzungwa red colobus and Angolan colobus) in the unprotected forest. At this site moreover, colobines declined to near-extinction over the study period. In contrast, two cercopithecines (Sanje mangabey and Sykes' monkey) showed slightly higher abundance in the unprotected forest and did not decline significantly. We argue that escalating hunting in the unprotected forest has specifically impacted the canopy-dwelling colobus monkeys, although habitat degradation may also have reduced their abundance. In contrast, cercopithecines did not seem affected by the current hunting, and their greater ecological adaptability may explain the relatively higher abundance in the unprotected forest. We provide recommendations towards the long-term protection of the area. (C) 2011 Elsevier Ltd. All rights reserved.</t>
  </si>
  <si>
    <t>[Rovero, Francesco] Museo Sci, Trop Biodivers Sect, I-38122 Trento, Italy; [Rovero, Francesco; Mtui, Arafat S.; Kitegile, Amani S.] Udzungwa Mt Natl Pk, Udzungwa Ecol Monitoring Ctr, Mangula, Tanzania; [Kitegile, Amani S.] Sokoine Univ Agr, Dept Wildlife Management, Morogoro, Tanzania; [Nielsen, Martin R.] Univ Copenhagen, Ctr Forest &amp; Landscape, DK-1958 Frederiksberg C, Denmark</t>
  </si>
  <si>
    <t>Sokoine University of Agriculture; University of Copenhagen</t>
  </si>
  <si>
    <t>Rovero, F (corresponding author), Museo Sci, Trop Biodivers Sect, Via Calepina 14, I-38122 Trento, Italy.</t>
  </si>
  <si>
    <t>francesco.rovero@mtsn.tn.it; armtui@yahoo.com; akisa76ud@yahoo.com; nielsenmr@gmail.com</t>
  </si>
  <si>
    <t>Rovero, Francesco/AAI-3157-2020; Mtui, Arafat/KIG-2509-2024; Nielsen, Martin/E-1173-2015; Nielsen, Martin Reinhardt/E-1173-2015</t>
  </si>
  <si>
    <t>Rovero, Francesco/0000-0001-6688-1494; Nielsen, Martin Reinhardt/0000-0002-8941-6031</t>
  </si>
  <si>
    <t>Trento Autonomous Province; Trento Science Museum; Centre for Macro Ecology; Evolution and Climate (University of Copenhagen); Critical Ecosystem Partnership Fund</t>
  </si>
  <si>
    <t>We are grateful to John Oates, Thomas Struhsaker, Lars Dinesen, Claudia Barelli and two anonymous reviewers for valuable comments on the manuscript. Daniel Spitale helped with statistical analysis. Research permits were granted by the Tanzania Wildlife Research Institute, Tanzania Commission for Science and Technology, Forestry and Beekeeping Division and Tanzania National Parks. Funding was provided by Trento Autonomous Province (post-doctoral Grant to F.R. 2004-2007), Trento Science Museum, Centre for Macro Ecology, Evolution and Climate (University of Copenhagen), and the Critical Ecosystem Partnership Fund. Several local field assistants provided invaluable help during data collection.</t>
  </si>
  <si>
    <t>10.1016/j.biocon.2011.09.017</t>
  </si>
  <si>
    <t>912QI</t>
  </si>
  <si>
    <t>WOS:000301814300010</t>
  </si>
  <si>
    <t>Macedo, MN; DeFries, RS; Morton, DC; Stickler, CM; Galford, GL; Shimabukuro, YE</t>
  </si>
  <si>
    <t>Macedo, Marcia N.; DeFries, Ruth S.; Morton, Douglas C.; Stickler, Claudia M.; Galford, Gillian L.; Shimabukuro, Yosio E.</t>
  </si>
  <si>
    <t>Decoupling of deforestation and soy production in the southern Amazon during the late 2000s</t>
  </si>
  <si>
    <t>agriculture; land sparing; extensification; Brazilian Amazon</t>
  </si>
  <si>
    <t>LAND-USE CHANGE; BRAZILIAN AMAZON; AGRICULTURAL INTENSIFICATION; FORESTS; CONSEQUENCES; CONSERVATION; EXPANSION; REDD</t>
  </si>
  <si>
    <t>From 2006 to 2010, deforestation in the Amazon frontier state of Mato Grosso decreased to 30% of its historical average (1996-2005) whereas agricultural production reached an all-time high. This study combines satellite data with government deforestation and production statistics to assess land-use transitions and potential market and policy drivers associated with these trends. In the forested region of the state, increased soy production from 2001 to 2005 was entirely due to cropland expansion into previously cleared pasture areas (74%) or forests (26%). From 2006 to 2010, 78% of production increases were due to expansion (22% to yield increases), with 91% on previously cleared land. Cropland expansion fell from 10 to 2% of deforestation between the two periods, with pasture expansion accounting for most remaining deforestation. Declining deforestation coincided with a collapse of commodity markets and implementation of policy measures to reduce deforestation. Soybean profitability has since increased to pre-2006 levels whereas deforestation continued to decline, suggesting that antideforestation measures may have influenced the agricultural sector. We found little evidence of direct leakage of soy expansion into cerrado in Mato Grosso during the late 2000s, although indirect land-use changes and leakage to more distant regions are possible. This study provides evidence that reduced deforestation and increased agricultural production can occur simultaneously in tropical forest frontiers, provided that land is available and policies promote the efficient use of already-cleared lands (intensification) while restricting deforestation. It remains uncertain whether government- and industry-led policies can contain deforestation if future market conditions favor another boom in agricultural expansion.</t>
  </si>
  <si>
    <t>[Macedo, Marcia N.; DeFries, Ruth S.] Columbia Univ, Dept Ecol Evolut &amp; Environm Biol, New York, NY 10027 USA; [Morton, Douglas C.] NASA, Goddard Space Flight Ctr, Greenbelt, MD 20771 USA; [Galford, Gillian L.] Woods Hole Res Ctr, Falmouth, MA 02540 USA; [Stickler, Claudia M.] Inst Pesquisa Ambiental Amazonia, BR-71503505 Brasilia, DF, Brazil; [Shimabukuro, Yosio E.] Inst Nacl Pesquisas Espaciais, Div Sensoriamento Remoto, BR-12227010 Sao Jose Dos Campos, SP, Brazil</t>
  </si>
  <si>
    <t>Columbia University; National Aeronautics &amp; Space Administration (NASA); NASA Goddard Space Flight Center; Woodwell Climate Research Center; Instituto Nacional de Pesquisas Espaciais (INPE)</t>
  </si>
  <si>
    <t>DeFries, RS (corresponding author), Columbia Univ, Dept Ecol Evolut &amp; Environm Biol, New York, NY 10027 USA.</t>
  </si>
  <si>
    <t>rd2402@columbia.edu</t>
  </si>
  <si>
    <t>Morton, Douglas/D-5044-2012; Galford, Gillian/K-6240-2012; DeFries, Ruth/AFJ-8022-2022; Shimabukuro, Yosio/F-2956-2012; Macedo, Marcia/HSF-2886-2023; Nunes Macedo, Marcia/N-3044-2017</t>
  </si>
  <si>
    <t>Galford, Gillian/0000-0003-2192-7385; Nunes Macedo, Marcia/0000-0001-8102-5901</t>
  </si>
  <si>
    <t>National Aeronautics and Space Administration [NNX08AX08H]; Gordon and Betty Moore Foundation; Packard Foundation; National Science Foundation [DEB-0949996, DEB-0743703]; Division Of Environmental Biology; Direct For Biological Sciences [0949996] Funding Source: National Science Foundation; Emerging Frontiers; Direct For Biological Sciences [0949370] Funding Source: National Science Foundation</t>
  </si>
  <si>
    <t>National Aeronautics and Space Administration(National Aeronautics &amp; Space Administration (NASA)); Gordon and Betty Moore Foundation(Gordon &amp; Betty Moore Foundation); Packard Foundation(The David &amp; Lucile Packard Foundation); National Science Foundation(National Science Foundation (NSF)); Division Of Environmental Biology; Direct For Biological Sciences(National Science Foundation (NSF)NSF - Directorate for Biological Sciences (BIO)); Emerging Frontiers; Direct For Biological Sciences(National Science Foundation (NSF)NSF - Directorate for Biological Sciences (BIO))</t>
  </si>
  <si>
    <t>This manuscript was greatly improved by the constructive comments of Arild Angelsen, Paulo Brando, Victor Gutierrez-Velez, Ramon Lopez, and two anonymous reviewers. We thank Michael Coe, Christopher Neill, and the Instituto de Pesquisa Ambiental da Amazonia for logistical support in the field; and Rebecca de Sa and Darlisson Nunes da Costa for assistance with data collection. This work was funded by National Aeronautics and Space Administration Earth System Science Fellowship NNX08AX08H, The Gordon and Betty Moore Foundation, the Packard Foundation, and National Science Foundation Grants DEB-0949996 and DEB-0743703.</t>
  </si>
  <si>
    <t>JAN 24</t>
  </si>
  <si>
    <t>10.1073/pnas.1111374109</t>
  </si>
  <si>
    <t>880NA</t>
  </si>
  <si>
    <t>WOS:000299412600068</t>
  </si>
  <si>
    <t>Harris, PT; Baker, EK</t>
  </si>
  <si>
    <t>Harris, Peter T.; Baker, Elaine K.</t>
  </si>
  <si>
    <t>GeoHab Atlas of Seafloor Geomorphic Features and Benthic Habitats: Synthesis and Lessons Learned</t>
  </si>
  <si>
    <t>SEAFLOOR GEOMORPHOLOGY AS BENTHIC HABITAT: GEOHAB ATLAS OF SEAFLOOR GEOMORPHIC FEATURES AND BENTHIC HABITATS</t>
  </si>
  <si>
    <t>Elsevier Insights</t>
  </si>
  <si>
    <t>Naturalness; surrogates; spatial marine planning; habitat classification schemes; habitat mapping clients; environmental data</t>
  </si>
  <si>
    <t>CLASSIFICATION SCHEME; RED-SEA; CORAL; AUSTRALIA; REEFS</t>
  </si>
  <si>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</si>
  <si>
    <t>[Harris, Peter T.] Geosci Australia, Marine &amp; Coastal Environm Grp, Canberra, ACT, Australia; [Baker, Elaine K.] Univ Sydney, Arendal Sch Geosci, UNEP GRID, Sydney, NSW 2006, Australia</t>
  </si>
  <si>
    <t>Geoscience Australia; University of Sydney</t>
  </si>
  <si>
    <t>Harris, PT (corresponding author), Geosci Australia, Marine &amp; Coastal Environm Grp, Canberra, ACT, Australia.</t>
  </si>
  <si>
    <t>; Harris, Peter/AAI-7100-2020</t>
  </si>
  <si>
    <t>baker, elaine/0000-0001-9925-4403;</t>
  </si>
  <si>
    <t>SARA BURGERHARTSTRAAT 25, PO BOX 211, 1000 AE AMSTERDAM, NETHERLANDS</t>
  </si>
  <si>
    <t>978-0-12-385141-3</t>
  </si>
  <si>
    <t>ELSEV INSIGHT</t>
  </si>
  <si>
    <t>10.1016/B978-0-12-385140-6.00064-5</t>
  </si>
  <si>
    <t>BGC23</t>
  </si>
  <si>
    <t>WOS:000322237000066</t>
  </si>
  <si>
    <t>Lomba, A; Vicente, J; Moreira, F; Honrado, J</t>
  </si>
  <si>
    <t>Lomba, Angela; Vicente, Joana; Moreira, Francisco; Honrado, Joao</t>
  </si>
  <si>
    <t>Effects of multiple factors on plant diversity of forest fragments in intensive farmland of Northern Portugal</t>
  </si>
  <si>
    <t>Dominant tree; Exotic plantations; Habitat islands; Intensive farmland; Plant diversity; Semi-natural forests</t>
  </si>
  <si>
    <t>SPECIES RICHNESS; LANDSCAPE STRUCTURE; AGRICULTURAL LANDSCAPES; UNDERSTORY VEGETATION; EUCALYPTUS-GLOBULUS; TROPICAL FOREST; PATCH SIZE; LAND-USE; MANAGEMENT; SPAIN</t>
  </si>
  <si>
    <t>The joint and independent effects of dominant tree species, forest patch spatial attributes, and forest structure and management as drivers of plant species richness and composition in small forest patches scattered within an intensive agricultural landscape were addressed. In a landscape with scattered urban and intensive dairy agricultural areas in north-west Portugal, within which small forest patches (dominated by pines, eucalypts, or both) represent semi-natural habitat islands, 50 small forest patches, with areas ranging between 0.3 and 3 ha, were selected and surveyed for vascular plant diversity, within dairy farming landscape mosaics dominated by annual forage crops. Explanatory variables were composed of three datasets derived either from GIS mapping or field observations: forest type (dominant tree species), forest patch spatial attributes (patch area and shape index), and measures of forest management and structure (diameter at breast height, tree density per hectare, and percentage cover of vegetation strata). Variations in these forest patch attributes were assessed across forest types, and related to measures of plant diversity (total, native, alien, woody, and herbaceous species richness). Redundancy analysis with variance partitioning was applied to evaluate the joint and independent effects of the three sets of variables on species assemblages. The recent shift in canopy dominance from pine to eucalypt observed in the region appears to be related to a (nonsignificant) tendency for the increase of patch area and to the decrease of patch complexity, as well as several changes in forest structure and management, expressed as a trend to denser tree canopies and lower cover of understory plants. Dominant tree species and attributes related to forest structure and management were the most important factors determining plant diversity. The joint effect of the dominant tree species and forest structure and management resulted in lower levels of plant species richness in eucalypt plantations. These were also more prone to invasion by alien species, probably due to decreased biotic resistance from unsaturated native plant assemblages. Our results draw attention to the importance of dominant tree species and management practices for the maintenance of plant diversity levels (species richness and composition) in dairy landscape mosaics, highlighting the importance of the remnants of semi-natural forests as refuges for plant diversity in the landscape context. Nonetheless, forest plant diversity could further be fostered by promoting naturalness of pine stands and the regeneration of native oak woodlands in some forest areas. This would also diversify the range of ecosystem services that could be provided by forest areas in these pen-urban farmlands. (C) 2011 Elsevier B.V. All rights reserved.</t>
  </si>
  <si>
    <t>[Lomba, Angela; Vicente, Joana; Honrado, Joao] Univ Porto, Dept Biol, Fac Ciencias, P-4169007 Oporto, Portugal; [Lomba, Angela; Vicente, Joana; Honrado, Joao] Ctr Invest Biodiversidade &amp; Recursos Genet CIBIO, P-4485661 Vairao, Portugal; [Moreira, Francisco] Univ Tecn Lisboa, Ctr Ecol Aplicada Prof Baeta Neves CEABN, Inst Agron, P-1349017 Lisbon, Portugal</t>
  </si>
  <si>
    <t>Universidade do Porto; Universidade do Porto; Universidade de Lisboa</t>
  </si>
  <si>
    <t>Lomba, A (corresponding author), Univ Porto, Dept Biol, Fac Ciencias, P-4169007 Oporto, Portugal.</t>
  </si>
  <si>
    <t>angelalomba@fc.up.pt</t>
  </si>
  <si>
    <t>Moreira, Francisco/B-2873-2008; Honrado, Joao/L-8365-2013; Vicente, Joana/L-7434-2013; Lomba, Angela/L-7117-2013; Lomba, Ângela/L-7117-2013</t>
  </si>
  <si>
    <t>Moreira, Francisco/0000-0003-4393-8018; Honrado, Joao/0000-0001-8443-4276; Vicente, Joana/0000-0003-0382-0189; Lomba, Ângela/0000-0003-3748-8751</t>
  </si>
  <si>
    <t>Portuguese Science and Technology Foundation (FCT) [SFRH/BD/31576/2006, SFRH/BD/40668/2007]; Fundação para a Ciência e a Tecnologia [SFRH/BD/31576/2006, SFRH/BD/40668/2007] Funding Source: FCT</t>
  </si>
  <si>
    <t>Portuguese Science and Technology Foundation (FCT)(Fundacao para a Ciencia e a Tecnologia (FCT)); Fundação para a Ciência e a Tecnologia(Fundacao para a Ciencia e a Tecnologia (FCT))</t>
  </si>
  <si>
    <t>This research was supported by the Portuguese Science and Technology Foundation (FCT) through PhD Grant SFRH/BD/31576/2006 to A. Lomba. J. Vicente is supported by FCT through PhD Grant SFRH/BD/40668/2007. The authors would like to thank Paulo Alves for his assistance during field work.</t>
  </si>
  <si>
    <t>10.1016/j.foreco.2011.08.014</t>
  </si>
  <si>
    <t>858DG</t>
  </si>
  <si>
    <t>WOS:000297775500012</t>
  </si>
  <si>
    <t>Paradis, S; Work, TT</t>
  </si>
  <si>
    <t>Paradis, Simon; Work, Timothy T.</t>
  </si>
  <si>
    <t>Partial cutting does not maintain spider assemblages within the observed range of natural variability in Eastern Canadian black spruce forests</t>
  </si>
  <si>
    <t>Partial cutting; Chronosequence; Ecosystem management; Coniferous boreal forest; Spiders; Coarse filter conservation</t>
  </si>
  <si>
    <t>GROUND BEETLES COLEOPTERA; BOREAL FOREST; STRUCTURAL DEVELOPMENT; ARANEAE ASSEMBLAGES; MANAGEMENT; DISTURBANCE; FIRE; BIODIVERSITY; COMMUNITIES; ECOSYSTEMS</t>
  </si>
  <si>
    <t>In boreal black-spruce forests of Eastern Canada, a cohort model of ecosystem management has been proposed whereby a combination of both partial and more intensive cutting a re used to emulate old-growth stands and the re-establishment of stands following severe wildfire. As with other approaches to coarse filter conservation, partial cutting is hypothesized to maintain and potentially recreate plant and animal assemblages consistent with a range of natural variability. In this study, we used ground-dwelling spiders (Araneae) to evaluate whether partial cutting and a cohort model of ecosystem management are sufficient to preserve biodiversity found in mature and over-mature boreal black spruce stands prone to paludification. We compared the spider fauna (11,628 individuals representing 136 species) in replicated partial cuts, clear cuts and uncut control stands with a chronosequence of mature and over-mature naturally regenerated stands (94-288 years since the last fire) (25 stands in total] in the same region of the northern Clay belt in Quebec (Canada). In stands that were old-growth prior to cutting, harvesting had strong repercussions on spider assemblages that were not attenuated by less intensive, partial cutting. The most obvious changes in spider assemblages were related to increased recruitment of species that were nearly absent in uncut stands. Several cosmopolitan species that were widely distributed among stands prior to harvest increased in cut stands. Spider assemblages collected following either cutting methods were not consistent with assemblages found within the chronosequence and thus fell outside the observed range of natural variability. However we did not observe a similar recruitment effect for spider species in younger stands with relatively higher levels of retention. We demonstrate that the interaction between stand age prior to cutting, the degree of paludification as well as remnant basal area are important considerations when evaluating the efficacy of partial cutting to maintain forest spider assemblages and biodiversity at large in black-spruce stands. We also suggest that retention levels in partial cuts will have to be substantially increased to maintain spider communities within their range of natural variation in managed forested landscapes. However partial cutting with higher levels of retention, particularly in younger stands, may be useful in coarse filter management particularly for establishing or accelerating spider assemblages towards those found in old-growth stands. (C) 2011 Elsevier B.V. All rights reserved.</t>
  </si>
  <si>
    <t>[Paradis, Simon; Work, Timothy T.] Univ Quebec Montreal, Dept Sci Biol, NSERC UQAM UQAT Chaire Amenagement Forestier Dura, Succursale Ctr Ville, Montreal, PQ H3C 3P8, Canada</t>
  </si>
  <si>
    <t>University of Quebec; University of Quebec Montreal</t>
  </si>
  <si>
    <t>Paradis, S (corresponding author), Univ Quebec Montreal, Dept Sci Biol, NSERC UQAM UQAT Chaire Amenagement Forestier Dura, Succursale Ctr Ville, Case Postale 8888, Montreal, PQ H3C 3P8, Canada.</t>
  </si>
  <si>
    <t>finnishflash08@hotmail.com</t>
  </si>
  <si>
    <t>FQRNT [2009-FT-130226]; NSERC [CRDPJ 355992-07]; Tembec, Abitibi Consolidated, Domtar et Scierie Landrienne</t>
  </si>
  <si>
    <t>FQRNT(Fonds de recherche du Quebec (FRQ)Fonds de recherche du Quebec - Nature et technologies (FRQNT)); NSERC(Natural Sciences and Engineering Research Council of Canada (NSERC)); Tembec, Abitibi Consolidated, Domtar et Scierie Landrienne</t>
  </si>
  <si>
    <t>Funding was provided by FQRNT Grant 2009-FT-130226, NSERC Grant CRDPJ 355992-07 and support from Tembec, Abitibi Consolidated, Domtar et Scierie Landrienne. We are obliged to three 3 anonymous reviewers for the relevant and constructive comments that helped improve this manuscript. Y. Bergeron, A. Leduc and M. Saint-Germain also provided input and comments on previous versions. D. Charron, M. Desrochers, D. Lesieur, H Bescond, C. Boudreault and N. Fenton provided data on study sites and help to field logistics. K. O'Connor, J. Jacobs, A. Latraverse and S. Laberge aided in collecting, identifying samples as well as preliminary analyses of spider diversity data. Two unknown Cree also provided important, logistical field help in a potentially dangerous crisis related to vehicle failure.</t>
  </si>
  <si>
    <t>10.1016/j.foreco.2011.08.032</t>
  </si>
  <si>
    <t>855YM</t>
  </si>
  <si>
    <t>WOS:000297602200014</t>
  </si>
  <si>
    <t>Sauer, J; Domisch, S; Nowak, C; Haase, P</t>
  </si>
  <si>
    <t>Sauer, Jan; Domisch, Sami; Nowak, Carsten; Haase, Peter</t>
  </si>
  <si>
    <t>Low mountain ranges: summit traps for montane freshwater species under climate change</t>
  </si>
  <si>
    <t>BIOMOD; Climate change; Low mountain ranges; Montane aquatic insects; Species distribution models</t>
  </si>
  <si>
    <t>GENETIC POPULATION-STRUCTURE; EXTINCTION RISK; COUPLED MODEL; AQUATIC INSECTS; BIODIVERSITY; PATTERNS; PHYLOGEOGRAPHY; CONSERVATION; DISPERSAL; RESPONSES</t>
  </si>
  <si>
    <t>Global climate change (GCC) is expected to lead to massive loss of global biodiversity in the alpine regions of mountain ranges. Studies on the potential effects of GCC on low mountain areas remain sparse, however, despite the high conservation value of these areas as biodiversity refugia. We chose a species distribution modeling approach to assess potential GCC impacts on the future distributions of montane freshwater invertebrates under two different greenhouse gas scenarios and three averaged general circulation models. For this, ensemble models consisting of six algorithms [generalized linear model (GLM), generalized boosted model (GBM), generalized additive model (GAM), classification tree analysis (CTA), artificial neural networks (ANN), and multivariate adaptive regression splines (MARS)] were applied to project areas of 23 cold-stenothermic aquatic insects from montane regions of Central Europe. We found an average loss of 70-80% of the potential distribution for the study species until 2080, depending on the underlying Intergovernmental Panel on Climate Change scenario. Species distribution ranges below 1000 m above sea level were found to decrease by up to similar to 96% according to the severest greenhouse gas emission scenario. While the Alps remain the single main refugium under the A2a greenhouse gas emission scenario, the more moderate climate scenario B2a shows fragmented potential persistence of montane insects in some low mountain ranges. The results show that montane freshwater assemblages in low mountain ranges are particularly threatened by ongoing GCC. As vertical dispersal is limited by elevational restriction, low mountain ranges may act as summit traps under GCC. We thus propose that GCC will lead to the extinction of several species and unique genetic lineages of postglacial relict species, resulting in a significant decline in Central European fauna.</t>
  </si>
  <si>
    <t>[Sauer, Jan; Domisch, Sami; Nowak, Carsten; Haase, Peter] Senckenberg Res Inst, Dept Limnol &amp; Conservat, D-63571 Gelnhausen, Germany; [Sauer, Jan; Domisch, Sami; Nowak, Carsten; Haase, Peter] Nat Hist Museums, D-63571 Gelnhausen, Germany; [Sauer, Jan; Domisch, Sami; Nowak, Carsten; Haase, Peter] Biodivers &amp; Climate Res Ctr BiK F, D-60325 Frankfurt, Germany</t>
  </si>
  <si>
    <t>Leibniz Association; Senckenberg Gesellschaft fur Naturforschung (SGN); Senckenberg Biodiversitat &amp; Klima- Forschungszentrum (BiK-F); Leibniz Association; Senckenberg Gesellschaft fur Naturforschung (SGN)</t>
  </si>
  <si>
    <t>Sauer, J (corresponding author), Senckenberg Res Inst, Dept Limnol &amp; Conservat, Clamecystr 12, D-63571 Gelnhausen, Germany.</t>
  </si>
  <si>
    <t>jsauer@senckenberg.de</t>
  </si>
  <si>
    <t>Domisch, Sami/E-5745-2011; Nowak, Carsten/A-4466-2014; Haase, Peter/A-5644-2011</t>
  </si>
  <si>
    <t>Nowak, Carsten/0000-0002-3139-1951; Domisch, Sami/0000-0002-8127-9335</t>
  </si>
  <si>
    <t>Hessian initiative for scientific and economic excellence [Landes-Offensive zur Entwicklung wissenschaftlich-okonomischer Exzellenz (LOEWE)] of the Hessian Ministry of Higher Education, Research, and the Arts</t>
  </si>
  <si>
    <t>We are grateful to J. Bohmer, R. Brettfeld, B. Eiseler, F. Fischer, A. Haybach, R. Kuttner, S. Lehrian, A. Lorenz, W. Mey, P. Neu, S. U. Pauls, T. Pitsch, B. Robert, R. Semmler-Elpers, K. Theissinger, A. Weinzierl, and P. Zwick for kindly providing the data points for the analyzed species. Thanks to M. Balint and S. U. Pauls for scientific support. This study was funded by the Hessian initiative for scientific and economic excellence [Landes-Offensive zur Entwicklung wissenschaftlich-okonomischer Exzellenz (LOEWE)] of the Hessian Ministry of Higher Education, Research, and the Arts.</t>
  </si>
  <si>
    <t>10.1007/s10531-011-0140-y</t>
  </si>
  <si>
    <t>850CB</t>
  </si>
  <si>
    <t>WOS:000297170900017</t>
  </si>
  <si>
    <t>Sheldon, KS; Yang, S; Tewksbury, JJ</t>
  </si>
  <si>
    <t>Sheldon, Kimberly S.; Yang, Sylvia; Tewksbury, Joshua J.</t>
  </si>
  <si>
    <t>Climate change and community disassembly: impacts of warming on tropical and temperate montane community structure</t>
  </si>
  <si>
    <t>ECOLOGY LETTERS</t>
  </si>
  <si>
    <t>Dispersal; ectotherms; elevational gradient; endotherms; extinction risk; geographical range; latitude; mountain biodiversity; range shifts; tropics</t>
  </si>
  <si>
    <t>LATITUDINAL VARIATION; BIOTIC ATTRITION; MOUNTAIN PASSES; RANGE SHIFTS; DISTRIBUTIONS; POPULATIONS; TOLERANCE; DIVERSITY; ELEVATION; MODELS</t>
  </si>
  <si>
    <t>Both tropical and temperate species are responding to global warming through range shifts, but our understanding of the consequences of these shifts for whole communities is limited. Here, we use current elevational range data for six taxonomic groups spanning 90 degrees in latitude to examine the potential impacts of climate-driven range shifts on community change, or disassembly, across latitude. Elevational ranges are smaller at low latitudes for most groups and, as a consequence, tropical communities appear to be more sensitive to temperature increases compared with temperate communities. Under site-specific temperature projections, we generally found greater community disassembly in tropical compared with temperate communities, although this varied by dispersal assumptions. Mountain height can impact the amount of community disassembly, with greater change occurring on smaller mountains. Finally, projected community disassembly was higher for ectotherms than endotherms, although the variation among ectotherms was greater than the variation separating endotherms and ectotherms.</t>
  </si>
  <si>
    <t>[Sheldon, Kimberly S.; Yang, Sylvia; Tewksbury, Joshua J.] Univ Washington, Dept Biol, Seattle, WA 98195 USA</t>
  </si>
  <si>
    <t>Sheldon, KS (corresponding author), Univ Washington, Dept Biol, Seattle, WA 98195 USA.</t>
  </si>
  <si>
    <t>kimberlyssheldon@gmail.com</t>
  </si>
  <si>
    <t>Tewksbury, Josh/JJD-8034-2023</t>
  </si>
  <si>
    <t>Tewksbury, Joshua/0000-0002-9786-1477; Sheldon, Kimberly/0000-0002-3215-2223</t>
  </si>
  <si>
    <t>National Science Foundation (NSF) [0853825]; University of Washington (UW) Department of Biology; NSF Ocean and Coastal Interdisciplinary Science [GK-12]; Office Of The Director; Office Of Internatl Science &amp;Engineering [0853825] Funding Source: National Science Foundation</t>
  </si>
  <si>
    <t>National Science Foundation (NSF)(National Science Foundation (NSF)); University of Washington (UW) Department of Biology(University of Washington); NSF Ocean and Coastal Interdisciplinary Science; Office Of The Director; Office Of Internatl Science &amp;Engineering(National Science Foundation (NSF)NSF - Office of the Director (OD))</t>
  </si>
  <si>
    <t>We are grateful to the many biologists who made their data sets available for use. We thank A. Ettinger, D. Haak, J. Hille Ris Lambers, R. Huey, R. Colwell and two anonymous reviewers for technical assistance, discussion and comments that greatly improved this manuscript. KSS was funded by a Graduate Research Fellowship and Doctoral Dissertation Enhancement Project (DEB no. 0853825) from the National Science Foundation (NSF) and a Washington Research Foundation writing fellowship from the University of Washington (UW) Department of Biology. SY was funded by an NSF Ocean and Coastal Interdisciplinary Science GK-12 Fellowship at UW.</t>
  </si>
  <si>
    <t>1461-023X</t>
  </si>
  <si>
    <t>1461-0248</t>
  </si>
  <si>
    <t>ECOL LETT</t>
  </si>
  <si>
    <t>Ecol. Lett.</t>
  </si>
  <si>
    <t>10.1111/j.1461-0248.2011.01689.x</t>
  </si>
  <si>
    <t>849TG</t>
  </si>
  <si>
    <t>WOS:000297147500002</t>
  </si>
  <si>
    <t>Solomou, A; Sfougaris, A</t>
  </si>
  <si>
    <t>Solomou, Alexandra; Sfougaris, Athanassios</t>
  </si>
  <si>
    <t>Comparing conventional and organic olive groves in central Greece: plant and bird diversity and abundance</t>
  </si>
  <si>
    <t>RENEWABLE AGRICULTURE AND FOOD SYSTEMS</t>
  </si>
  <si>
    <t>biodiversity; olive groves; conventional; organic; bioindicators</t>
  </si>
  <si>
    <t>WEED SPECIES-DIVERSITY; FARMING SYSTEMS; COMMUNITY COMPOSITION; ALTITUDINAL GRADIENT; ARTHROPOD FAUNA; CEREAL FIELDS; WOODY PLANT; RICHNESS; BIODIVERSITY; AGRICULTURE</t>
  </si>
  <si>
    <t>The present study was conducted in Magnesia Prefecture, central Greece, during the period May-June 2007. It aimed at the comparison between conventional and certified organic olive groves with regard to olive and olive oil production, diversity of plants (herbaceous and woody) and diversity and abundance of avifauna. Correlations between variables within herbaceous plants (linear regression) and woody plants (Principal Component Analysis), and the role of integration time of olive groves to the organic system were investigated. Also, finding easily measurable parameters indicating high bird diversity levels within organic and conventional management systems was a main target of the study. According to our findings, neither edible olive yield nor olive oil yield showed significant differences between conventional and certified organic olive groves. There is an increasing trend for alpha and beta diversity of herbaceous plant species, woody plant beta diversity, density and cover of woody plants, and density of breeding birds in certified organic olive groves (10 years) in comparison with conventional ones. The effect of time since the adoption of organic procedures is very important and produces benefits for the biodiversity. In the total olive groves 15 insectivorous, six granivorous and three insectivorous/granivorous birds species were recorded. Nine bird species distinguished by Ward's hierarchical clustering were identified as typical (indicator value, IndVal&gt;50%) of specific farming systems. Among them, the Eurasian jay, associated with the 10-year certified organic olive groves, and the common cuckoo, Orphean warbler and Red-backed shrike, associated with the 6-year certified organic olive groves, should be regarded as characteristic species (IndVal&gt;70%). Conclusively, organic farming favors some aspects of diversity of herbaceous and woody plants of olive grove ecosystems. On the contrary, similar effects on breeding bird diversity and density were not clearly recorded. However, breeding bird density proved a good indicator of their richness.</t>
  </si>
  <si>
    <t>[Solomou, Alexandra; Sfougaris, Athanassios] Univ Thessaly, Dept Agr Crop Prod &amp; Rural Environm, Lab Ecosyst &amp; Biodivers Management, N Ionia 38446, Volos, Greece</t>
  </si>
  <si>
    <t>University of Thessaly</t>
  </si>
  <si>
    <t>Sfougaris, A (corresponding author), Univ Thessaly, Dept Agr Crop Prod &amp; Rural Environm, Lab Ecosyst &amp; Biodivers Management, Fytokou Str, N Ionia 38446, Volos, Greece.</t>
  </si>
  <si>
    <t>asfoug@agr.uth.gr</t>
  </si>
  <si>
    <t>; Solomou, Alexandra/C-1428-2018</t>
  </si>
  <si>
    <t>SOLOMOU, ALEXANA/0000-0002-0014-1909;</t>
  </si>
  <si>
    <t>1742-1705</t>
  </si>
  <si>
    <t>1742-1713</t>
  </si>
  <si>
    <t>RENEW AGR FOOD SYST</t>
  </si>
  <si>
    <t>Renew. Agr. Food Syst.</t>
  </si>
  <si>
    <t>10.1017/S1742170511000111</t>
  </si>
  <si>
    <t>Agriculture, Multidisciplinary</t>
  </si>
  <si>
    <t>854RA</t>
  </si>
  <si>
    <t>WOS:000297510700005</t>
  </si>
  <si>
    <t>Zhang, CX; Wang, XM; Li, JC; Hua, T</t>
  </si>
  <si>
    <t>Zhang, Caixia; Wang, Xunming; Li, Jinchang; Hua, Ting</t>
  </si>
  <si>
    <t>Roles of climate changes and human interventions in land degradation: a case study by net primary productivity analysis in China's Shiyanghe Basin</t>
  </si>
  <si>
    <t>Land degradation; Climate changes; NPP; HANPP; Shiyanghe Basin</t>
  </si>
  <si>
    <t>HUMAN APPROPRIATION; RIVER-BASIN; DESERTIFICATION; TERRESTRIAL; IMPACTS; BIOSPHERE; DYNAMICS; PATTERNS; AFRICA; MINQIN</t>
  </si>
  <si>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</si>
  <si>
    <t>[Zhang, Caixia; Wang, Xunming; Hua, Ting] Chinese Acad Sci, Cold &amp; Arid Reg Environm &amp; Engn Res Inst, Key Lab Desert &amp; Desertificat, Lanzhou 730000, Peoples R China; [Wang, Xunming] Beijing Normal Univ, Coll Resources Sci &amp; Technol, Beijing 100875, Peoples R China; [Li, Jinchang] Shanxi Univ, Inst Loess Plateau, Taiyuan 030006, Peoples R China</t>
  </si>
  <si>
    <t>Chinese Academy of Sciences; Cold &amp; Arid Regions Environmental &amp; Engineering Research Institute, CAS; Beijing Normal University; Shanxi University</t>
  </si>
  <si>
    <t>Zhang, CX (corresponding author), Chinese Acad Sci, Cold &amp; Arid Reg Environm &amp; Engn Res Inst, Key Lab Desert &amp; Desertificat, 320 W Donggang Rd, Lanzhou 730000, Peoples R China.</t>
  </si>
  <si>
    <t>zhangcaixia@lzb.ac.cn</t>
  </si>
  <si>
    <t>National Natural Science Foundation of China [40871012]; National Key Project for Basic Research [2009CB421304]</t>
  </si>
  <si>
    <t>National Natural Science Foundation of China(National Natural Science Foundation of China (NSFC)); National Key Project for Basic Research(National Basic Research Program of China)</t>
  </si>
  <si>
    <t>This work was supported by the National Natural Science Foundation of China (No. 40871012), and the National Key Project for Basic Research (No. 2009CB421304). The land use and cover class types data were derived from data provided by the Environment and Ecological Science Data Center for West China. Our special thanks are due to Dr. Wenquan Zhu for helping with the model implementation.</t>
  </si>
  <si>
    <t>10.1007/s12665-011-1046-4</t>
  </si>
  <si>
    <t>850AD</t>
  </si>
  <si>
    <t>WOS:000297165900017</t>
  </si>
  <si>
    <t>Schleuning, M; Farwig, N; Peters, MK; Bergsdorf, T; Bleher, B; Brandl, R; Dalitz, H; Fischer, G; Freund, W; Gikungu, MW; Hagen, M; Garcia, FH; Kagezi, GH; Kaib, M; Kraemer, M; Lung, T; Naumann, CM; Schaab, G; Templin, M; Uster, D; Wägele, JW; Böhning-Gaese, K</t>
  </si>
  <si>
    <t>Schleuning, Matthias; Farwig, Nina; Peters, Marcell K.; Bergsdorf, Thomas; Bleher, Baerbel; Brandl, Roland; Dalitz, Helmut; Fischer, Georg; Freund, Wolfram; Gikungu, Mary W.; Hagen, Melanie; Garcia, Francisco Hita; Kagezi, Godfrey H.; Kaib, Manfred; Kraemer, Manfred; Lung, Tobias; Naumann, Clas M.; Schaab, Gertrud; Templin, Mathias; Uster, Dana; Waegele, J. Wolfgang; Boehning-Gaese, Katrin</t>
  </si>
  <si>
    <t>Forest Fragmentation and Selective Logging Have Inconsistent Effects on Multiple Animal-Mediated Ecosystem Processes in a Tropical Forest</t>
  </si>
  <si>
    <t>HABITAT FRAGMENTATION; FUNCTIONAL DIVERSITY; PRUNUS-AFRICANA; SEED DISPERSAL; BIODIVERSITY; BIRDS; SECONDARY; SERVICES; IMPACTS; CONSERVATION</t>
  </si>
  <si>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</si>
  <si>
    <t>[Schleuning, Matthias; Bleher, Baerbel; Templin, Mathias; Boehning-Gaese, Katrin] Johannes Gutenberg Univ Mainz, Inst Zool, Dept Ecol, D-6500 Mainz, Germany; [Schleuning, Matthias; Templin, Mathias; Boehning-Gaese, Katrin] Biodivers &amp; Climate Res Ctr, Frankfurt, Germany; [Schleuning, Matthias; Templin, Mathias; Boehning-Gaese, Katrin] Senckenberg Gesell Nat Forsch, Frankfurt, Germany; [Farwig, Nina; Brandl, Roland; Kagezi, Godfrey H.] Univ Marburg, Dept Ecol, Marburg, Germany; [Peters, Marcell K.; Bergsdorf, Thomas; Fischer, Georg; Freund, Wolfram; Garcia, Francisco Hita; Naumann, Clas M.; Waegele, J. Wolfgang] Zool Res Museum A Koenig, Bonn, Germany; [Peters, Marcell K.] Univ Wurzburg, Dept Anim Ecol &amp; Trop Biol, Bioctr, Wurzburg, Germany; [Dalitz, Helmut; Uster, Dana] Univ Hohenheim, Inst Bot, D-7000 Stuttgart, Germany; [Gikungu, Mary W.] Natl Museums Kenya, Nairobi, Kenya; [Hagen, Melanie; Kraemer, Manfred] Univ Bielefeld, Bielefeld, Germany; [Hagen, Melanie] Aarhus Univ, Dept Biosci, Aarhus C, Denmark; [Kaib, Manfred] Univ Bayreuth, Dept Anim Physiol, Bayreuth, Germany; [Lung, Tobias; Schaab, Gertrud] Karlsruhe Univ Appl Sci, Dept Geomat, Karlsruhe, Germany; [Boehning-Gaese, Katrin] Goethe Univ, Dept Biol Sci, Frankfurt, Germany</t>
  </si>
  <si>
    <t>Johannes Gutenberg University of Mainz; Leibniz Association; Senckenberg Gesellschaft fur Naturforschung (SGN); Philipps University Marburg; University of Wurzburg; University Hohenheim; University of Bielefeld; Aarhus University; University of Bayreuth; Karlsruhe University of Applied Sciences; Goethe University Frankfurt</t>
  </si>
  <si>
    <t>Schleuning, M (corresponding author), Johannes Gutenberg Univ Mainz, Inst Zool, Dept Ecol, Saarstr 21, D-6500 Mainz, Germany.</t>
  </si>
  <si>
    <t>matthias.schleuning@senckenberg.de</t>
  </si>
  <si>
    <t>Garcia, Francisco/C-9636-2015; Hagen, Melanie/I-7939-2013; Böhning-Gaese, Katrin/W-2601-2019; Schleuning, Matthias/H-2154-2015; Farwig, Nina/JMQ-1406-2023; Fischer, Georg/Y-3059-2019; Fischer, Georg/G-2484-2015; Böhning-Gaese, Katrin/W-2601-2019</t>
  </si>
  <si>
    <t>Peters, Marcell/0000-0002-1262-0827; Böhning-Gaese, Katrin/0000-0003-0477-5586; Schleuning, Matthias/0000-0001-9426-045X; Fischer, Georg/0000-0002-4033-2005; Hita Garcia, Francisco/0000-0003-4709-3083; Fischer, Georg/0000-0002-0637-6485; Böhning-Gaese, Katrin/0000-0003-0477-5586</t>
  </si>
  <si>
    <t>German Federal Ministry of Education and Research [01LC0025, 01LC0405, 01LC0625]; Hesse's Ministry of Higher Education, Research, and the Arts</t>
  </si>
  <si>
    <t>German Federal Ministry of Education and Research(Federal Ministry of Education &amp; Research (BMBF)); Hesse's Ministry of Higher Education, Research, and the Arts</t>
  </si>
  <si>
    <t>Financial support for this study was provided by the German Federal Ministry of Education and Research (http://www.bmbf.de) as part of the BIOTA Africa project (http://www.biota-africa.org; grant numbers: 01LC0025, 01LC0405, 01LC0625) and by the research funding program Landes-Offensive zur Entwicklung wissenschaftlich okonomischer Exzellenz of Hesse's Ministry of Higher Education, Research, and the Arts (http://www.hessen.de/irj/HMWK_Internet?cid=a2396939885f8c8c0a3ba39bda517cbd). The funders had no role in study design, data collection and analysis, decision to publish, or preparation of the manuscript.</t>
  </si>
  <si>
    <t>NOV 16</t>
  </si>
  <si>
    <t>e27785</t>
  </si>
  <si>
    <t>10.1371/journal.pone.0027785</t>
  </si>
  <si>
    <t>855HV</t>
  </si>
  <si>
    <t>WOS:000297555400114</t>
  </si>
  <si>
    <t>Early, R; Sax, DF</t>
  </si>
  <si>
    <t>Early, Regan; Sax, Dov F.</t>
  </si>
  <si>
    <t>Analysis of climate paths reveals potential limitations on species range shifts</t>
  </si>
  <si>
    <t>Anura; assisted migration; climate variability; dispersal; fundamental and realised niche; landscape ecology; population persistence; salamander; translocation</t>
  </si>
  <si>
    <t>ECOSYSTEM RESPONSES; BIOTIC INTERACTIONS; DISPERSAL; ECOLOGY; DECLINE; DISTRIBUTIONS; FLUCTUATION; HYPOTHESES; SPECIATION; DIVERSITY</t>
  </si>
  <si>
    <t>Forecasts of species endangerment under climate change usually ignore the processes by which species ranges shift. By analysing the 'climate paths' that range shifts might follow, and two key range-shift processes dispersal and population persistence - we show that short-term climatic and population characteristics have dramatic effects on range-shift forecasts. By employing this approach with 15 amphibian species in the western USA, we make unexpected predictions. First, inter-decadal variability in climate change can prevent range shifts by causing gaps in climate paths, even in the absence of geographic barriers. Second, the hitherto unappreciated trait of persistence during unfavourable climatic conditions is critical to species range shifts. Third, climatic fluctuations and low persistence could lead to endangerment even if the future potential range size is large. These considerations may render habitat corridors ineffectual for some species, and conservationists may need to consider managed relocation and augmentation of in situ populations.</t>
  </si>
  <si>
    <t>[Early, Regan] Univ Evora, Catedra Rui Nabeiro Biodiversidade, P-7000890 Evora, Portugal; [Sax, Dov F.] Brown Univ, Dept Ecol &amp; Evolutionary Biol, Providence, RI 02912 USA</t>
  </si>
  <si>
    <t>University of Evora; Brown University</t>
  </si>
  <si>
    <t>Early, R (corresponding author), Univ Evora, Catedra Rui Nabeiro Biodiversidade, Casa Cordovil 2A Andar,Rua Dr Joaquim Henrique da, P-7000890 Evora, Portugal.</t>
  </si>
  <si>
    <t>regan.early@gmail.com</t>
  </si>
  <si>
    <t>Early, Regan/A-5442-2010</t>
  </si>
  <si>
    <t>Early, Regan/0000-0003-4108-5904</t>
  </si>
  <si>
    <t>Portuguese Foundation for Science and Technology [BPD/63185/2009]; US DOE</t>
  </si>
  <si>
    <t>Portuguese Foundation for Science and Technology(Fundacao para a Ciencia e a Tecnologia (FCT)); US DOE(United States Department of Energy (DOE))</t>
  </si>
  <si>
    <t>We acknowledge the Program for Climate Model Diagnosis and Intercomparison (PCMDI) and the WCRP's Working Group on Coupled Modelling (WGCM) for making available the WCRP CMIP3 multimodel dataset. Support of this dataset is provided by the US DOE. M. Tyree and T. Das at the UCSD Climate Research Division assisted with the interpretation of climate data. D. Wake gave advice on amphibian distributions and taxonomy. A. Weinblatt assisted with data management. F. Guilhaumon, V. St-Louis and C. Thomas commented on the manuscript. R. Early was partially supported by a Post Doctoral Grant (BPD/63185/2009) awarded by the Portuguese Foundation for Science and Technology. We greatly appreciate the input of the subject editor and three anonymous referees, which improved this manuscript.</t>
  </si>
  <si>
    <t>10.1111/j.1461-0248.2011.01681.x</t>
  </si>
  <si>
    <t>838CB</t>
  </si>
  <si>
    <t>WOS:000296263200007</t>
  </si>
  <si>
    <t>Domisch, S; Jähnig, SC; Haase, P</t>
  </si>
  <si>
    <t>Domisch, Sami; Jaehnig, Sonja C.; Haase, Peter</t>
  </si>
  <si>
    <t>Climate-change winners and losers: stream macroinvertebrates of a submontane region in Central Europe</t>
  </si>
  <si>
    <t>altitudinal shift; benthic invertebrates; species distribution model; species range change; suitable habitat area</t>
  </si>
  <si>
    <t>SPECIES DISTRIBUTION; EXTINCTION RISK; COUPLED MODEL; TEMPERATURE; DIVERSITY; PATTERNS; RIVER; TRICHOPTERA; ACCURACY; INSECTS</t>
  </si>
  <si>
    <t>1. Freshwater ecosystems will be profoundly affected by global climate change, especially those in mountainous areas, which are known to be particularly vulnerable to warming temperatures. We modelled impacts of climate change on the distribution ranges of 38 species of benthic stream macroinvertebrates from nine macroinvertebrate orders covering all river zones from the headwaters to large river reaches. 2. Species altitudinal shifts as well as range changes up to the year 2080 were simulated using the A2a and B2a Intergovernmental Panel on Climate Change climate-warming scenarios. Presence-only species distribution models were constructed for a stream network in Germany's lower mountain ranges by means of consensus projections of four algorithms, as implemented in the BIOMOD package in R (GLM, GAM, GBM and ANN). 3. Species were predicted to shift an average of 122 and 83 m up in altitude along the river continuum by the year 2080 under the A2a and B2a climate-warming scenarios, respectively. No correlation between altitudinal shifts and mean annual air temperature of species' occurrence could be detected. 4. Depending on the climate-warming scenario, most or all (97% for A2a and 100% for B2a) of the macroinvertebrate species investigated were predicted to survive under climate change in the study area. Ranges were predicted to contract for species that currently occur in streams with low annual mean air temperatures but expand for species that inhabit rivers where air temperatures are higher. 5. Our models predict that novel climate conditions will reorganise species composition and community structure along the river continuum. Possible effects are discussed, including significant reductions in population size of headwater species, eventually leading to a loss of genetic diversity. A shift in river species composition is likely to enhance the establishment of non-native macroinvertebrates in the lower reaches of the river continuum.</t>
  </si>
  <si>
    <t>[Domisch, Sami; Jaehnig, Sonja C.; Haase, Peter] Biodivers &amp; Climate Res Ctr BiK F, D-60325 Frankfurt, Germany; [Domisch, Sami; Jaehnig, Sonja C.; Haase, Peter] Senckenberg Res Inst, Gelnhausen, Germany; [Domisch, Sami; Jaehnig, Sonja C.; Haase, Peter] Nat Hist Museums, Dept Limnol &amp; Conservat, Gelnhausen, Germany</t>
  </si>
  <si>
    <t>Jähnig, Sonja C/D-7126-2011; Haase, Peter/A-5644-2011; Domisch, Sami/E-5745-2011; Jähnig, Sonja/D-7126-2011</t>
  </si>
  <si>
    <t>Jähnig, Sonja C/0000-0002-6349-9561; Domisch, Sami/0000-0002-8127-9335;</t>
  </si>
  <si>
    <t>'LOEWE - Landes-Offensive zur Entwicklung Wissenschaftlich-okonomischer Exzellenz' of Hesse's Ministry of Higher Education, Research, and the Arts</t>
  </si>
  <si>
    <t>We are grateful to the Umweltbundesamt, Hessisches Landesamt fur Umwelt und Geologie and Landesamt fur Umwelt, Messungen und Naturschutz Baden-Wurttemberg for kindly providing the species record data. We thank Denise Fruh, Jan Sauer, Mathias Kuemmerlen, Heike Kappes and two anonymous referees for constructive comments and Karin Boos for linguistic revision of the manuscript. This work was financially supported by the research funding programme 'LOEWE - Landes-Offensive zur Entwicklung Wissenschaftlich-okonomischer Exzellenz' of Hesse's Ministry of Higher Education, Research, and the Arts.</t>
  </si>
  <si>
    <t>10.1111/j.1365-2427.2011.02631.x</t>
  </si>
  <si>
    <t>821ZU</t>
  </si>
  <si>
    <t>WOS:000295013800006</t>
  </si>
  <si>
    <t>Hostert, P; Kuemmerle, T; Prishchepov, A; Sieber, A; Lambin, EF; Radeloff, VC</t>
  </si>
  <si>
    <t>Hostert, Patrick; Kuemmerle, Tobias; Prishchepov, Alexander; Sieber, Anika; Lambin, Eric F.; Radeloff, Volker C.</t>
  </si>
  <si>
    <t>Rapid land use change after socio-economic disturbances: the collapse of the Soviet Union versus Chernobyl</t>
  </si>
  <si>
    <t>coupled human-natural systems; socio-economic disturbance; Chernobyl nuclear disaster; post-socialist land use change; transition economies; Soviet Union</t>
  </si>
  <si>
    <t>SUPPORT VECTOR MACHINES; FOREST COVER CHANGE; FARMLAND ABANDONMENT; CARBON; CLASSIFICATION; GLOBALIZATION; CONSEQUENCES; TRANSITION; ECOLOGY; SYSTEMS</t>
  </si>
  <si>
    <t>Land use change is a principal force and inherent element of global environmental change, threatening biodiversity, natural ecosystems, and their services. However, our ability to anticipate future land use change is severely limited by a lack of understanding of how major socio-economic disturbances (e. g., wars, revolutions, policy changes, and economic crises) affect land use. Here we explored to what extent socio-economic disturbances can shift land use systems onto a different trajectory, and whether this can result in less intensive land use. Our results show that the collapse of the Soviet Union in 1991 caused a major reorganization in land use systems. The effects of this socio-economic disturbance were at least as drastic as those of the nuclear disaster in the Chernobyl region in 1986. While the magnitudes of land abandonment were similar in Ukraine and Belarus in the case of the nuclear disaster (28% and 36% of previously farmed land, respectively), the rates of land abandonment after the collapse of the Soviet Union in Ukraine were twice as high as those in Belarus. This highlights that national policies and institutions play an important role in mediating effects of socio-economic disturbances. The socio-economic disturbance that we studied caused major hardship for local populations, yet also presents opportunities for conservation, as natural ecosystems are recovering on large areas of former farmland. Our results illustrate the potential of socio-economic disturbances to revert land use intensification and the important role institutions and policies play in determining land use systems' resilience against such socio-economic disturbances.</t>
  </si>
  <si>
    <t>[Hostert, Patrick; Kuemmerle, Tobias; Sieber, Anika] Univ Berlin, Dept Geog, D-10099 Berlin, Germany; [Kuemmerle, Tobias] Potsdam Inst Climate Impact Res PIK, D-14412 Potsdam, Germany; [Prishchepov, Alexander] Leibniz Inst Agr Dev Cent &amp; Eastern Europe IAMO, Dept Struct Dev Farms &amp; Rural Areas, D-06120 Halle, Germany; [Lambin, Eric F.] Catholic Univ Louvain, Earth &amp; Life Inst, B-1348 Louvain, Belgium; [Lambin, Eric F.] Stanford Univ, Woods Inst Environm, Dept Environm Earth Syst Sci, Stanford, CA 94305 USA; [Radeloff, Volker C.] Univ Wisconsin, Dept Forest &amp; Wildlife Ecol, Madison, WI 53706 USA</t>
  </si>
  <si>
    <t>Potsdam Institut fur Klimafolgenforschung; Leibniz Association; Leibniz Institut fur Agrarentwicklung in Transformationsokonomien (IAMO); Universite Catholique Louvain; Stanford University; University of Wisconsin System; University of Wisconsin Madison</t>
  </si>
  <si>
    <t>Hostert, P (corresponding author), Univ Berlin, Dept Geog, Unter den Linden 6, D-10099 Berlin, Germany.</t>
  </si>
  <si>
    <t>patrick.hostert@geo.hu-berlin.de</t>
  </si>
  <si>
    <t>Hostert, Patrick/F-9291-2013; Radeloff, Volker/B-6124-2016; Prishchepov, Alexander/H-6708-2012; Kuemmerle, Tobias/B-4340-2008</t>
  </si>
  <si>
    <t>Radeloff, Volker/0000-0001-9004-221X; Prishchepov, Alexander/0000-0003-2375-1651; Kuemmerle, Tobias/0000-0002-9775-142X; Hostert, Patrick/0000-0002-5730-5484; Lambin, Eric/0000-0002-0673-5257</t>
  </si>
  <si>
    <t>Alexander von Humboldt Foundation; German Research Foundation (DFG) [HO 2568/7-1]; National Aeronautics and Space Administration (NASA)</t>
  </si>
  <si>
    <t>Alexander von Humboldt Foundation(Alexander von Humboldt FoundationUniversity of Maryland Baltimore); German Research Foundation (DFG)(German Research Foundation (DFG)); National Aeronautics and Space Administration (NASA)(National Aeronautics &amp; Space Administration (NASA))</t>
  </si>
  <si>
    <t>We thank D Muller for valuable comments and discussions on earlier versions of this manuscript and T Eickhof for help with data processing. We gratefully acknowledge support by the Alexander von Humboldt Foundation, the German Research Foundation (DFG, project HO 2568/7-1), and the Land Cover and Land Use Change (LCLUC) Program of the National Aeronautics and Space Administration (NASA).</t>
  </si>
  <si>
    <t>10.1088/1748-9326/6/4/045201</t>
  </si>
  <si>
    <t>870MX</t>
  </si>
  <si>
    <t>WOS:000298674700039</t>
  </si>
  <si>
    <t>van Franeker, JA; Blaize, C; Danielsen, J; Fairclough, K; Gollan, J; Guse, N; Hansen, PL; Heubeck, M; Jensen, JK; Le Guillou, G; Olsen, B; Olsen, KO; Pedersen, J; Stienen, EWM; Turner, DM</t>
  </si>
  <si>
    <t>van Franeker, Jan A.; Blaize, Christine; Danielsen, Johannis; Fairclough, Keith; Gollan, Jane; Guse, Nils; Hansen, Poul-Lindhard; Heubeck, Martin; Jensen, Jens-Kjeld; Le Guillou, Gilles; Olsen, Bergur; Olsen, Kare-Olav; Pedersen, John; Stienen, Eric W. M.; Turner, Daniel M.</t>
  </si>
  <si>
    <t>Monitoring plastic ingestion by the northern fulmar Fulmarus glacialis in the North Sea</t>
  </si>
  <si>
    <t>ENVIRONMENTAL POLLUTION</t>
  </si>
  <si>
    <t>Fulmarus glacialis; Plastic ingestion; Marine debris; Environmental monitoring; OSPAR EcoQO; MSFD-GES</t>
  </si>
  <si>
    <t>MARINE-ENVIRONMENT; PARTICLES; SEABIRDS; DEBRIS; ATLANTIC; TRANSPORT; POLLUTION; LOST</t>
  </si>
  <si>
    <t>The abundance of plastics in stomachs of northern fulmars from the North Sea is used in the OSPAR Ecological Quality Objective (EcoQO) for marine litter. The preliminary EcoQO defines acceptable ecological quality as the situation where no more than 10% of fulmars exceed a critical level of 0.1 g of plastic in the stomach. During 2003-2007, 95% of 1295 fulmars sampled in the North Sea had plastic in the stomach (on average 35 pieces weighing 0.31 g) and the critical level of 0.1 g of plastic was exceeded by 58% of birds, with regional variations ranging from 48 to 78%. Long term data for the Netherlands since the 1980s show a decrease of industrial, but an increase of user plastics, with shipping and fisheries as the main sources. The EcoQO is now also used as an indicator for Good Environmental Status in the European Marine Strategy Framework Directive. (C) 2011 Elsevier Ltd. All rights reserved.</t>
  </si>
  <si>
    <t>[van Franeker, Jan A.] IMARES Inst Marine Resources &amp; Ecosyst Studies, POB 167, NL-1790 AD Den Burg, Texel, Netherlands; [Blaize, Christine] Ctr Sauvegarde Faune Sauvage &amp; Musee Nat, Le CHENE, 12 Rue Musee, F-76190 Allouville Bellefosse, France; [Danielsen, Johannis] Norduri Sundum 7, FO-410 Kollafjordur, Faroe Islands; [Fairclough, Keith] FEO Viewforth, Orkney KW17 2NR, Scotland; [Gollan, Jane] Kermouroux, FR-56470 St Philibert, France; [Guse, Nils] Univ Kiel, Res &amp; Technol Ctr West Coast FTZ, Hafentorn 1, D-25761 Busum, Germany; [Hansen, Poul-Lindhard] Nat Hist Museum Skagen, Skagen Nat Ctr, Flagbakkevej 30, DK-9990 Skagen, Denmark; [Heubeck, Martin] Univ Aberdeen SOTEAG, Virkie ZE3 9JN, Shetland, Scotland; [Jensen, Jens-Kjeld] Geilini 37, FO-270 Nolsoy, Faroe Islands; [Le Guillou, Gilles] Grp Ornithol Normand, F-76700 Gonfreville Lorcher, France; [Olsen, Bergur] Faroe Marine Res Inst, Futalag 40, FO-100 Torshavn, Faroe Islands; [Olsen, Kare-Olav] Postveien 43, N-4563 Borhaug, Norway; [Pedersen, John] Skagen Uddannelsesctr SUC, Vestmolen 15, DK-9990 Skagen, Denmark; [Stienen, Eric W. M.] Res Inst Nat &amp; Forest, Klin Str 25, B-1070 Brussels, Belgium; [Turner, Daniel M.] 9 Haswell Gardens, North Shields NE30 2DP, Tyne &amp; Wear, England</t>
  </si>
  <si>
    <t>Wageningen University &amp; Research; University of Kiel; University of Aberdeen; Faroe Marine Research Institute (FAMRI); Research Institute for Nature &amp; Forest</t>
  </si>
  <si>
    <t>van Franeker, JA (corresponding author), IMARES Inst Marine Resources &amp; Ecosyst Studies, POB 167, NL-1790 AD Den Burg, Texel, Netherlands.</t>
  </si>
  <si>
    <t>Jan.vanfraneker@wur.nl</t>
  </si>
  <si>
    <t>; Stienen, Eric/ABC-1652-2020</t>
  </si>
  <si>
    <t>Hansen, Kenneth/0000-0003-2626-1105; Stienen, Eric/0000-0002-4315-0936; Hansen, Jens Jørgen/0000-0002-3420-7646; Hachmann, Roland/0000-0002-6782-9548; Danielsen, Johannis/0000-0002-9775-4786</t>
  </si>
  <si>
    <t>Netherlands Ministry of Infrastructure and the Environment; EU; NYK Group Europe Ltd.; Chevron Upstream Europe</t>
  </si>
  <si>
    <t>Netherlands Ministry of Infrastructure and the Environment; EU(European Union (EU)); NYK Group Europe Ltd.; Chevron Upstream Europe</t>
  </si>
  <si>
    <t>Fulmar monitoring in the Netherlands is supported financially by the Netherlands Ministry of Infrastructure and the Environment. The international part of the study developed during the Save the North Sea campaign 2002-2004, which was co-funded by the EU Interreg IIIB program for the North Sea. The idea of an EcoQO based on the abundance of plastics in seabird stomachs was initiated by the ICES Working Group on Seabird Ecology and guided in several workgroups within ICES and OSPAR. Continuation of the international fulmar work up to the analyses of data from 2007 was supported by the NYK Group Europe Ltd. Preliminary data from the Faroe Islands in this report were derived from an ongoing diet and litter study funded by Chevron Upstream Europe, supported in the field by Poul-Johannes Simonsen. Mark Mallory and Jennifer Provencher provided unpublished details of their Canadian data. Geert Aarts advised on statistics for regional differences.</t>
  </si>
  <si>
    <t>0269-7491</t>
  </si>
  <si>
    <t>1873-6424</t>
  </si>
  <si>
    <t>ENVIRON POLLUT</t>
  </si>
  <si>
    <t>Environ. Pollut.</t>
  </si>
  <si>
    <t>10.1016/j.envpol.2011.06.008</t>
  </si>
  <si>
    <t>828HW</t>
  </si>
  <si>
    <t>WOS:000295493100051</t>
  </si>
  <si>
    <t>Hoffmann, M; Belant, JL; Chanson, JS; Cox, NA; Lamoreux, J; Rodrigues, ASL; Schipper, J; Stuart, SN</t>
  </si>
  <si>
    <t>Hoffmann, Michael; Belant, Jerrold L.; Chanson, Janice S.; Cox, Neil A.; Lamoreux, John; Rodrigues, Ana S. L.; Schipper, Jan; Stuart, Simon N.</t>
  </si>
  <si>
    <t>The changing fates of the world's mammals</t>
  </si>
  <si>
    <t>IUCN Red List; extinction risk; threat category; conservation status; biodiversity indicators; conservation action</t>
  </si>
  <si>
    <t>RED LIST; AMPHIBIAN DECLINES; EMERGING DISEASE; EXTINCTION RISK; CONSERVATION; TRENDS; INDICATORS; CLASSIFICATIONS; WILDLIFE; IMPACT</t>
  </si>
  <si>
    <t>A recent complete assessment of the conservation status of 5487 mammal species demonstrated that at least one-fifth are at risk of extinction in the wild. We retrospectively identified genuine changes in extinction risk for mammals between 1996 and 2008 to calculate changes in the International Union for Conservation of Nature (IUCN) Red List Index (RLI). Species-level trends in the conservation status of mammalian diversity reveal that extinction risk in large-bodied species is increasing, and that the rate of deterioration has been most accelerated in the Indomalayan and Australasian realms. Expanding agriculture and hunting have been the main drivers of increased extinction risk in mammals. Site-based protection and management, legislation, and captive-breeding and reintroduction programmes have led to improvements in 24 species. We contextualize these changes, and explain why both deteriorations and improvements may be under-reported. Although this study highlights where conservation actions are leading to improvements, it fails to account for instances where conservation has prevented further deteriorations in the status of the world's mammals. The continued utility of the RLI is dependent on sustained investment to ensure repeated assessments of mammals over time and to facilitate future calculations of the RLI and measurement against global targets.</t>
  </si>
  <si>
    <t>[Hoffmann, Michael; Stuart, Simon N.] IUCN Species Survival Commiss, CH-1196 Gland, Switzerland; [Chanson, Janice S.; Cox, Neil A.; Lamoreux, John] IUCN Global Species Programme, CH-1196 Gland, Switzerland; [Hoffmann, Michael; Stuart, Simon N.] World Conservat Monitoring Ctr, United Nations Environm Programme, Cambridge CB3 0DL, England; [Hoffmann, Michael; Cox, Neil A.; Stuart, Simon N.] Conservat Int, Arlington, VA 22202 USA; [Belant, Jerrold L.] Mississippi State Univ, Carnivore Ecol Lab, Forest &amp; Wildlife Res Ctr, Mississippi State, MS 39762 USA; [Rodrigues, Ana S. L.] CNRS, Ctr Ecol Fonct &amp; Evolut, UMR5175, F-34293 Montpellier, France; [Schipper, Jan] Univ Hawaii, Big Isl Invas Species Comm, Pacific Cooperat Studies Unit, Hilo, HI 96720 USA; [Stuart, Simon N.] Univ Bath, Dept Biol &amp; Biochem, Bath BA2 7AY, Avon, England; [Stuart, Simon N.] Al Ain Wildlife Pk &amp; Resort, Abu Dhabi, U Arab Emirates</t>
  </si>
  <si>
    <t>Conservation International; Mississippi State University; 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University of Hawaii System; University Hawaii Hilo; University of Bath</t>
  </si>
  <si>
    <t>Hoffmann, M (corresponding author), IUCN Species Survival Commiss, Rue Mauverney 28, CH-1196 Gland, Switzerland.</t>
  </si>
  <si>
    <t>mike.hoffmann@iucn.org</t>
  </si>
  <si>
    <t>Roigues, Ana/A-5914-2009; Hoffmann, Michael/E-6419-2010; Rodrigues, Ana/A-5914-2009; Belant, Jerrold/HDM-7749-2022; Schipper, Jan/N-5266-2015</t>
  </si>
  <si>
    <t>Roigues, Ana/0000-0003-4775-0127; Hoffmann, Michael/0000-0003-4785-2254; Schipper, Jan/0000-0002-8338-7874</t>
  </si>
  <si>
    <t>Gordon and Betty Moore Foundation; Moore Family Foundation; Conservation International; Critical Ecosystem Partnership Fund; NatureServe; Sapienza Universita di Roma; Texas AM University; Arizona State University; Zoological Society of London; University of Virginia</t>
  </si>
  <si>
    <t>Gordon and Betty Moore Foundation(Gordon &amp; Betty Moore Foundation); Moore Family Foundation; Conservation International; Critical Ecosystem Partnership Fund; NatureServe; Sapienza Universita di Roma; Texas AM University(Texas A&amp;M University College Station); Arizona State University; Zoological Society of London; University of Virginia(University of Virginia)</t>
  </si>
  <si>
    <t>This paper draws on the contributions of more than 1700 experts (see Hoffmann et al. [47] for full acknowledgements); here we particularly thank: John Aguiar, Giovanni Amori, Ricardo Baldi, Patricia Black-Decima, Julian Blanc, James Burton, Gianluca Catullo, Federica Chiozza, Andrew Derocher, Will Duckworth, Richard Emslie, David Garshelis, Cormack Gates, Rich Harris, Larry Heaney, Simon Hedges, Syed Hussain, Nobuo Ishii, Richard Jenkins, Kit Kovacs, Kristin Leus, Rebecca Lewison, Gabriela Lichtenstein, David Mallon, Rodrigo Medellin, Patricia Moehlman, Sanjay Molur, Kristin Nowell, Wanda Olech, Bill Perrin, Paul Racey, Galen Rathbun, Carlo Rondinini, Anthony Rylands, Caryn Self-Sullivan, Alan Shoemaker, Claudio Sillero-Zubiri, Andrew Smith, Andrew Taber, Bibhab Talukdar, Rob Timmins, Katerina Tsytsulina, Liza Veiga and Liz Williamson. Thanks are also due to Jonathan Baillie, Luigi Boitani, Thomas Brooks, Claude Gascon, Kris Helgen, Thomas Lacher, Georgina Mace and Russell Mittermeier. We extend thanks to our many colleagues in the IUCN Global Species Programme, particularly Craig Hilton-Taylor, Caroline Pollock and Jean-Christophe Vie. This paper benefitted greatly from discussions with Stuart Butchart around the RLI. We are grateful to Jon Paul Rodriguez, Belinda Reyers and Stuart Butchart for their insightful comments that improved the scope and intent of the paper. We gratefully acknowledge the support of major donors and partners: the Gordon and Betty Moore Foundation and the Moore Family Foundation; Conservation International and its regional programmes; the Critical Ecosystem Partnership Fund; NatureServe; Sapienza Universita di Roma; Texas A&amp;M University; Arizona State University; the Zoological Society of London; and the University of Virginia.</t>
  </si>
  <si>
    <t>SEP 27</t>
  </si>
  <si>
    <t>10.1098/rstb.2011.0116</t>
  </si>
  <si>
    <t>806ZU</t>
  </si>
  <si>
    <t>WOS:000293858100002</t>
  </si>
  <si>
    <t>Bálint, M; Domisch, S; Engelhardt, CHM; Haase, P; Lehrian, S; Sauer, J; Theissinger, K; Pauls, SU; Nowak, C</t>
  </si>
  <si>
    <t>Balint, M.; Domisch, S.; Engelhardt, C. H. M.; Haase, P.; Lehrian, S.; Sauer, J.; Theissinger, K.; Pauls, S. U.; Nowak, C.</t>
  </si>
  <si>
    <t>Cryptic biodiversity loss linked to global climate change</t>
  </si>
  <si>
    <t>CONSERVATION; DIVERSITY; MODELS</t>
  </si>
  <si>
    <t>Global climate change (GCC) significantly affects distributional patterns of organisms(1), and considerable impacts on biodiversity are predicted for the next decades. Inferred effects include large-scale range shifts towards higher altitudes and latitudes(2), facilitation of biological invasions(3) and species extinctions(1,3). Alterations of biotic patterns caused by GCC have usually been predicted on the scale of taxonomically recognized morphospecies(1). However, the effects of climate change at the most fundamental level of biodiversity-intraspecific genetic diversity-remain elusive(4). Here we show that the use of morphospecies-based assessments of GCC effects will result in underestimations of the true scale of biodiversity loss. Species distribution modelling and assessments of mitochondrial DNA variability in nine montane aquatic insect species in Europe indicate that future range contractions will be accompanied by severe losses of cryptic evolutionary lineages and genetic diversity within these lineages. These losses greatly exceed those at the scale of morphospecies. We also document that the extent of range reduction may be a useful proxy when predicting losses of genetic diversity. Our results demonstrate that intraspecific patterns of genetic diversity should be considered when estimating the effects of climate change on biodiversity.</t>
  </si>
  <si>
    <t>[Balint, M.; Domisch, S.; Haase, P.; Sauer, J.; Pauls, S. U.; Nowak, C.] Biodivers &amp; Climate Res Ctr BiK F, D-60325 Frankfurt, Germany; [Balint, M.] Babes Bolyai Univ, Mol Biol Ctr, Cluj Napoca 400271, Romania; [Domisch, S.; Engelhardt, C. H. M.; Haase, P.; Lehrian, S.; Nowak, C.] Nat Hist Museum, Dept Limnol &amp; Conservat, D-63571 Gelnhausen, Germany; [Domisch, S.; Engelhardt, C. H. M.; Haase, P.; Lehrian, S.; Nowak, C.] Senckenberg Res Inst, D-63571 Gelnhausen, Germany; [Theissinger, K.] Johannes Gutenberg Univ Mainz, Dept Ecol, Inst Zool, D-55128 Mainz, Germany; [Theissinger, K.] Univ Koblenz Landau, Inst Environm Sci, D-76829 Landau, Germany</t>
  </si>
  <si>
    <t>Senckenberg Biodiversitat &amp; Klima- Forschungszentrum (BiK-F); Leibniz Association; Senckenberg Gesellschaft fur Naturforschung (SGN); Babes Bolyai University from Cluj; Leibniz Association; Senckenberg Gesellschaft fur Naturforschung (SGN); Johannes Gutenberg University of Mainz; RPTU University Kaiserslautern</t>
  </si>
  <si>
    <t>Bálint, M (corresponding author), Biodivers &amp; Climate Res Ctr BiK F, Senckenberganlage 25, D-60325 Frankfurt, Germany.</t>
  </si>
  <si>
    <t>steffen.pauls@senckenberg.de; carsten.nowak@senckenberg.de</t>
  </si>
  <si>
    <t>; Haase, Peter/A-5644-2011; Domisch, Sami/E-5745-2011; Pauls, Steffen/C-2192-2011; Nowak, Carsten/A-4466-2014</t>
  </si>
  <si>
    <t>Theissinger, Kathrin/0000-0001-7255-326X; Domisch, Sami/0000-0002-8127-9335; Nowak, Carsten/0000-0002-3139-1951</t>
  </si>
  <si>
    <t>Hesse's Ministry of Higher Education, Research, and the Arts</t>
  </si>
  <si>
    <t>We thank J. Hughes (Griffith University), A. Mulch (BiK-F), M. Pfenninger (BiK-F) and K. Schwenk (University of Landau) for helpful comments. This study was financially supported by the research funding program LOEWE-Landes-Offensive zur Entwicklung Wissenschaftlich-okonomischer Exzellenz of Hesse's Ministry of Higher Education, Research, and the Arts.</t>
  </si>
  <si>
    <t>10.1038/NCLIMATE1191</t>
  </si>
  <si>
    <t>832JD</t>
  </si>
  <si>
    <t>WOS:000295799900018</t>
  </si>
  <si>
    <t>Garzón, MB; Alía, R; Robson, TM; Zavala, MA</t>
  </si>
  <si>
    <t>Benito Garzon, Marta; Alia, Ricardo; Robson, T. Matthew; Zavala, Miguel A.</t>
  </si>
  <si>
    <t>Intra-specific variability and plasticity influence potential tree species distributions under climate change</t>
  </si>
  <si>
    <t>Global warming; Iberian Peninsula; local adaptation; phenotypic plasticity; Pinus pinaster; Pinus sylvestris; species distribution models</t>
  </si>
  <si>
    <t>PINUS-SYLVESTRIS L.; PHENOTYPIC PLASTICITY; GENETIC DIVERSITY; PINASTER PROVENANCES; MEDITERRANEAN PINES; HABITAT-SUITABILITY; DISTRIBUTION MODELS; GLACIAL REFUGIA; RANGE SHIFTS; POPULATION</t>
  </si>
  <si>
    <t>Aim To assess the effect of local adaptation and phenotypic plasticity on the potential distribution of species under future climate changes. Trees may be adapted to specific climatic conditions; however, species range predictions have classically been assessed by species distributionmodels (SDMs) that do not account for intra-specific genetic variability and phenotypic plasticity, because SDMs rely on the assumption that species respond homogeneously to climate change across their range, i.e. a species is equally adapted throughout its range, and all species are equally plastic. These assumptions could cause SDMs to exaggerate or underestimate species at risk under future climate change. Location The Iberian Peninsula. Methods Species distributions are predicted by integrating experimental data and modelling techniques. We incorporate plasticity and local adaptation into a SDM by calibrating models of tree survivorship with adaptive traits in provenance trials. Phenotypic plasticity was incorporated by calibrating our model with a climatic index that provides a measure of the differences between sites and provenances. Results We present a new modelling approach that is easy to implement and makes use of existing tree provenance trials to predict species distribution models under global warming. Our results indicate that the incorporation of intra- population genetic diversity and phenotypic plasticity in SDMs significantly altered their outcome. In comparing species range predictions, the decrease in area occupancy under global warming conditions is smaller when considering our survival-adaptation model than that predicted by a 'classical SDM' calibrated with presence-absence data. These differences in survivorship are due to both local adaptation and plasticity. Differences due to the use of experimental data in the model calibration are also expressed in our results: we incorporate a null model that uses survival data from all provenances together. This model always predicts less reduction in area occupancy for both species than the SDM calibrated with presence-absence. Main conclusions We reaffirm the importance of considering adaptive traits when predicting species distributions and avoiding the use of occurrence data as a predictive variable. In light of these recommendations, we advise that existing predictions of future species distributions and their component populations must be reconsidered.</t>
  </si>
  <si>
    <t>[Benito Garzon, Marta; Alia, Ricardo; Robson, T. Matthew; Zavala, Miguel A.] CIFOR INIA, Madrid 28040, Spain; [Benito Garzon, Marta] ESE Univ Paris Sud, F-91405 Orsay, France; [Robson, T. Matthew] Univ Helsinki, Dept Biol &amp; Environm Sci, FIN-00014 Helsinki, Finland; [Zavala, Miguel A.] Univ Alcala, Dept Ecol, Madrid 28871, Spain</t>
  </si>
  <si>
    <t>Instituto Nacional Investigacion Tecnologia Agraria Alimentaria (INIA); University of Helsinki; Universidad de Alcala</t>
  </si>
  <si>
    <t>Garzón, MB (corresponding author), CIFOR INIA, Cta la Coruna Km 7,5, Madrid 28040, Spain.</t>
  </si>
  <si>
    <t>marta.benito@gmail.com</t>
  </si>
  <si>
    <t>Alia, Ricardo/B-5160-2011; Zavala, Miguel/H-3603-2015; Garzon, Marta/E-3622-2013; Zavala, Miguel A/H-3603-2015; Robson, Thomas Matthew/J-3381-2012</t>
  </si>
  <si>
    <t>Alia, Ricardo/0000-0002-9426-0967; Zavala, Miguel A/0000-0003-1456-0132;</t>
  </si>
  <si>
    <t>MCI [CGL2008-04503-C03-03]; INIA [SUM2008-00004-C03.01]; Juan de la Cierva</t>
  </si>
  <si>
    <t>MCI; INIA(Instituto de Investigacion Agropecuaria (INIA)Spanish Government); Juan de la Cierva(Instituto de Salud Carlos IIISpanish Government)</t>
  </si>
  <si>
    <t>M.B.G. and M.A.Z. were supported by grants CGL2008-04503-C03-03 (MCI) and SUM2008-00004-C03.01 (INIA). M.B.G. and T.M.R. were also supported by Juan de la Cierva post-doctoral fellowships. Comments from Daniel Montoya and two anonymous referees significantly improved the final manuscript.</t>
  </si>
  <si>
    <t>10.1111/j.1466-8238.2010.00646.x</t>
  </si>
  <si>
    <t>805BN</t>
  </si>
  <si>
    <t>WOS:000293701300011</t>
  </si>
  <si>
    <t>Eschweiler, N; Buschbaum, C</t>
  </si>
  <si>
    <t>Eschweiler, Nina; Buschbaum, Christian</t>
  </si>
  <si>
    <t>Alien epibiont (Crassostrea gigas) impacts on native periwinkles (Littorina littorea)</t>
  </si>
  <si>
    <t>Littorina littorea; epibiosis; alien species; Crassostrea gigas; Wadden Sea</t>
  </si>
  <si>
    <t>HELGOLAND GERMAN BIGHT; NORTHERN WADDEN SEA; DIRECTIONAL MOVEMENTS; MUSSEL BEDS; KONIGSHAFEN; COMMUNITY; GROWTH; SNAIL; DRAG; L.</t>
  </si>
  <si>
    <t>In marine sedimentary coastal environments such as the Wadden Sea (coastal south-eastern North Sea) shells of epibenthic molluscs are the only major available settlement substrate for an increasing number of alien sessile organisms. We investigated the effects of Pacific oyster Crassostrea gigas epibionts on body weight, mobility and fecundity of the native common periwinkle Littorina littorea. Body dry weight of snails without oyster overgrowth was twice as high compared to periwinkles covered with oysters. Also crawling speed of snails with oyster epigrowth was significantly slowed down and about ten times lower than in unfouled periwinkles. Additionally, oyster epibionts caused a strong decrease in reproductive output. In laboratory experiments, egg production of fouled L. littorea was about 100-fold lower than in periwinkles free of oysters. Field surveys in different years and habitats demonstrated that up to 10% of periwinkles occurring on epibenthic bivalve beds and up to 25% of snails living on sand flats may be fouled by C. gigas. However, oysters are not the only epibionts on L. littorea in the area. In previous studies it was shown that periwinkles can also be strongly overgrown by other alien epibionts such as Australian barnacles Austrominius modestus and American slipper limpets Crepidula fornicata. These epibiotic structures may cause similar effects as revealed for C. gigas. Thus, we conclude that an alien epibiont accumulation on L. littorea may have a significant impact on periwinkle population dynamics and its ecological functions in the Wadden Sea.</t>
  </si>
  <si>
    <t>[Eschweiler, Nina; Buschbaum, Christian] Alfred Wegener Inst Polar &amp; Marine Res, Wadden Sea Stn Sylt, D-25992 List Auf Sylt, Germany</t>
  </si>
  <si>
    <t>Helmholtz Association; Alfred Wegener Institute, Helmholtz Centre for Polar &amp; Marine Research</t>
  </si>
  <si>
    <t>Eschweiler, N (corresponding author), Alfred Wegener Inst Polar &amp; Marine Res, Wadden Sea Stn Sylt, Hafenstr 43, D-25992 List Auf Sylt, Germany.</t>
  </si>
  <si>
    <t>Nina.Eschweiler@awi.de; Christian.Buschbaum@awi.de</t>
  </si>
  <si>
    <t>Buschbaum, Christian/0000-0002-0223-1916</t>
  </si>
  <si>
    <t>Alfred Wegener Institute for Polar and Marine Research</t>
  </si>
  <si>
    <t>Alfred Wegener Institute for Polar and Marine Research(Helmholtz Association)</t>
  </si>
  <si>
    <t>We are deeply grateful to Sonja Endres and Kathrin Ackermann for essential help with field and lab experiments. We thank Caroline Eschweiler for help with graphical design and Eric Fee for proof reading of earlier versions of the manuscript. Two anonymous reviewers gave valuable comments on the manuscript. Christian Buschbaum and Nina Eschweiler were financed by the Alfred Wegener Institute for Polar and Marine Research.</t>
  </si>
  <si>
    <t>10.3391/ai.2011.6.3.05</t>
  </si>
  <si>
    <t>972LA</t>
  </si>
  <si>
    <t>WOS:000306277400005</t>
  </si>
  <si>
    <t>Henschel, P; Hunter, LTB; Coad, L; Abernethy, KA; Mühlenberg, M</t>
  </si>
  <si>
    <t>Henschel, P.; Hunter, L. T. B.; Coad, L.; Abernethy, K. A.; Muehlenberg, M.</t>
  </si>
  <si>
    <t>Leopard prey choice in the Congo Basin rainforest suggests exploitative competition with human bushmeat hunters</t>
  </si>
  <si>
    <t>JOURNAL OF ZOOLOGY</t>
  </si>
  <si>
    <t>leopard; Panthera pardus; prey; bushmeat; competition; Congo Basin</t>
  </si>
  <si>
    <t>TROPICAL FORESTS; WILDLIFE POPULATIONS; PROTECTED AREAS; CENTRAL-AFRICA; FOOD-HABITS; CONSERVATION; MAMMALS; IMPACT; SUSTAINABILITY; GABON</t>
  </si>
  <si>
    <t>Analyses of leopard Panthera pardus prey choice reveal a strong preference for species weighing 10-40 kg. In the Congo Basin rainforests, species within this weight range are also targeted by bushmeat hunters, potentially leading to exploitative competition between leopards and hunters. We investigated leopard prey choice along a gradient of human disturbance, hypothesizing that leopards will exploit smaller prey where competition is strong, possibly resulting in reduced leopard densities at highly hunted sites. We determined leopard diet by means of scat analysis at four rainforest sites in central Gabon, which varied according to their distance from human settlements. Camera trap data collected at each of the four study sites revealed that human hunting intensity increased with proximity to settlements, while the abundance of potential leopard prey species decreased. We found no evidence of leopards at the site nearest to settlements. At the remaining sites, the number of scats collected, mean leopard prey weight and the proportion of large prey (420 kg) in leopard diet increased with distance from settlements. Camera trap data demonstrated that leopard population density increased with distance from settlements, from 2.7 perpendicular to 0.94 leopards/100 km(2) to 12.1 perpendicular to 5.11 leopards/100 km(2). Our results document an increasing use of smaller prey species and a decrease in leopard density in proximity to settlements, supporting our hypothesis. Comparison of leopard diet with hunter return data revealed a high dietary niche overlap between leopards and hunters at sites situated at similar distances from settlements. Our results suggest that bushmeat hunting may precipitate the decline in leopard numbers through exploitative competition and that intensively hunted areas are unlikely to support resident leopard populations. Conserving the leopard in the Congo Basin will rely on effective protected areas and alternative land</t>
  </si>
  <si>
    <t>[Henschel, P.; Hunter, L. T. B.] Panthera, New York, NY 10018 USA; [Coad, L.] Univ Oxford, Oxford Martin Sch, Oxford, England; [Abernethy, K. A.] Univ Stirling, Sch Biol &amp; Environm Sci, Stirling FK9 4LA, Scotland; [Abernethy, K. A.] Inst Rech Ecol Tropicale, Libreville, Gabon; [Muehlenberg, M.] Univ Gottingen, Ctr Nat Conservat, Gottingen, Germany</t>
  </si>
  <si>
    <t>University of Oxford; University of Stirling; University of Gottingen</t>
  </si>
  <si>
    <t>Henschel, P (corresponding author), Panthera, 8 W 40th St,18th Floor, New York, NY 10018 USA.</t>
  </si>
  <si>
    <t>phenschel@panthera.org</t>
  </si>
  <si>
    <t>; Abernethy, Katharine/KBB-1586-2024; Hunter, Luke/H-3324-2019</t>
  </si>
  <si>
    <t>Hunter, Luke/0000-0001-9653-6544; Abernethy, Katharine/0000-0002-0393-9342; Henschel, Philipp/0009-0003-6413-8471;</t>
  </si>
  <si>
    <t>WCS; German Academic Exchange Service (DAAD); Kolner Gymnasial- und Stiftungs-fonds; UK NERC, Cambridge Philosophical Society; British Federation of Women Graduates</t>
  </si>
  <si>
    <t>WCS; German Academic Exchange Service (DAAD)(Deutscher Akademischer Austausch Dienst (DAAD)); Kolner Gymnasial- und Stiftungs-fonds; UK NERC, Cambridge Philosophical Society(UK Research &amp; Innovation (UKRI)Natural Environment Research Council (NERC)); British Federation of Women Graduates</t>
  </si>
  <si>
    <t>For permission to conduct fieldwork in Gabon, P. H. and L. C. express their gratitude to Gabon's Ministry of Water, Forests and Environment, as well as to the country's National Parks Agency. Logistical support during the study was provided by the Wildlife Conservation Society (WCS) Gabon Program and the Station d'Etudes des Gorilles et Chimpanze's (SEGC). We thank Matt Hayward, Grant Hopcraft and one anonymous reviewer for constructive comments on the manuscript. Fieldwork on leopards was financed by WCS, and P. H. particularly thanks donors Michael Cline and Bob Spehar for their contributions. P. H. received stipends from the German Academic Exchange Service (DAAD) and the Kolner Gymnasial- und Stiftungs-fonds. L. C. received fieldwork grants from the UK NERC, Cambridge Philosophical Society and the British Federation of Women Graduates.</t>
  </si>
  <si>
    <t>0952-8369</t>
  </si>
  <si>
    <t>1469-7998</t>
  </si>
  <si>
    <t>J ZOOL</t>
  </si>
  <si>
    <t>J. Zool.</t>
  </si>
  <si>
    <t>10.1111/j.1469-7998.2011.00826.x</t>
  </si>
  <si>
    <t>810ZO</t>
  </si>
  <si>
    <t>WOS:000294170500002</t>
  </si>
  <si>
    <t>Wenger, SJ; Isaak, DJ; Luce, CH; Neville, HM; Fausch, KD; Dunham, JB; Dauwalter, DC; Young, MK; Elsner, MM; Rieman, BE; Hamlet, AF; Williams, JE</t>
  </si>
  <si>
    <t>Wenger, Seth J.; Isaak, Daniel J.; Luce, Charles H.; Neville, Helen M.; Fausch, Kurt D.; Dunham, Jason B.; Dauwalter, Daniel C.; Young, Michael K.; Elsner, Marketa M.; Rieman, Bruce E.; Hamlet, Alan F.; Williams, Jack E.</t>
  </si>
  <si>
    <t>Flow regime, temperature, and biotic interactions drive differential declines of trout species under climate change</t>
  </si>
  <si>
    <t>global change; hydrology; invasive species; niche model; distribution modeling</t>
  </si>
  <si>
    <t>BROOK TROUT; SALVELINUS-FONTINALIS; STREAM TEMPERATURES; CUTTHROAT TROUT; LIFE-HISTORY; SALMO-TRUTTA; BULL TROUT; INVASION; IMPACTS; HABITAT</t>
  </si>
  <si>
    <t>Broad-scale studies of climate change effects on freshwater species have focused mainly on temperature, ignoring critical drivers such as flow regime and biotic interactions. We use downscaled outputs from general circulation models coupled with a hydrologic model to forecast the effects of altered flows and increased temperatures on four interacting species of trout across the interior western United States (1.01 million km(2)), based on empirical statistical models built from fish surveys at 9,890 sites. Projections under the 2080s A1B emissions scenario forecast a mean 47% decline in total suitable habitat for all trout, a group of fishes of major socioeconomic and ecological significance. We project that native cutthroat trout Oncorhynchus clarkii, already excluded from much of its potential range by nonnative species, will lose a further 58% of habitat due to an increase in temperatures beyond the species' physiological optima and continued negative biotic interactions. Habitat for nonnative brook trout Salvelinus fontinalis and brown trout Salmo trutta is predicted to decline by 77% and 48%, respectively, driven by increases in temperature and winter flood frequency caused by warmer, rainier winters. Habitat for rainbow trout, Oncorhynchus mykiss, is projected to decline the least (35%) because negative temperature effects are partly offset by flow regime shifts that benefit the species. These results illustrate how drivers other than temperature influence species response to climate change. Despite some uncertainty, large declines in trout habitat are likely, but our findings point to opportunities for strategic targeting of mitigation efforts to appropriate stressors and locations.</t>
  </si>
  <si>
    <t>[Wenger, Seth J.; Neville, Helen M.; Dauwalter, Daniel C.] Trout Unltd, Boise, ID 83702 USA; [Isaak, Daniel J.; Luce, Charles H.] US Forest Serv, Rocky Mt Res Stn, Boise, ID 83702 USA; [Fausch, Kurt D.] Colorado State Univ, Dept Fish Wildlife &amp; Conservat Biol, Ft Collins, CO 80523 USA; [Dunham, Jason B.] US Geol Survey, Forest &amp; Rangeland Ecosyst Sci Ctr, Corvallis, OR 97331 USA; [Young, Michael K.] US Forest Serv, Rocky Mt Res Stn, Missoula, MT 59801 USA; [Elsner, Marketa M.; Hamlet, Alan F.] Univ Washington, Climate Impacts Grp, Ctr Earth Syst Sci, Seattle, WA 98195 USA; [Rieman, Bruce E.] US Forest Serv, Rocky Mt Res Stn, Seeley Lake, MT 59868 USA; [Williams, Jack E.] Trout Unltd, Medford, OR 97501 USA</t>
  </si>
  <si>
    <t>United States Department of Agriculture (USDA); United States Forest Service; Colorado State University System; Colorado State University Fort Collins; United States Department of the Interior; United States Geological Survey; United States Department of Agriculture (USDA); United States Forest Service; University of Washington; University of Washington Seattle; United States Department of Agriculture (USDA); United States Forest Service</t>
  </si>
  <si>
    <t>Wenger, SJ (corresponding author), Trout Unltd, Boise, ID 83702 USA.</t>
  </si>
  <si>
    <t>swenger@tu.org</t>
  </si>
  <si>
    <t>Williams, Jack/JBJ-9584-2023; Luce, Charles/A-9267-2008; Wenger, Seth/G-6594-2011; Dauwalter, Daniel/Z-2028-2019; Fausch, Kurt/A-8849-2010</t>
  </si>
  <si>
    <t>Wenger, Seth/0000-0001-7858-960X; Luce, Charles/0000-0002-6938-9662; Dauwalter, Daniel/0000-0003-3070-188X</t>
  </si>
  <si>
    <t>National Fish and Wildlife Foundation's Keystone Initiative for Freshwater Fishes [2008-0087-000]; US Geological Survey [G09AC00050]; US Forest Service Rocky Mountain Research Station (RMRS)</t>
  </si>
  <si>
    <t>National Fish and Wildlife Foundation's Keystone Initiative for Freshwater Fishes; US Geological Survey(United States Geological Survey); US Forest Service Rocky Mountain Research Station (RMRS)(United States Department of Agriculture (USDA)United States Forest Service)</t>
  </si>
  <si>
    <t>The fish data used in this study were compiled from multiple sources, including a previous database of sites in the range of westslope cutthroat trout (48), which included data from the Idaho Fish and Game's General Parr Monitoring database and other sources. Additional data were provided by Bart Gammett, James Capurso, Mark Novak, Steven Kujala, Daniel Abeyta, and Paul Cowley; Joseph Benjamin; Hilda Sexauer; Kevin Meyer; Brad Shepard; Dona Horan; and Harry Vermillion. David Nagel, Sharon Parkes, and Gwynne Chandler helped to develop the dataset and GIS layers. Expert advice over the course of the study was provided by Russ Thurow, John Buffington, and Jim McKean. This manuscript was substantially improved by comments from Robert Al-Chokhachy, Dana Warren, two anonymous reviewers and the editor. This work was funded by Grant 2008-0087-000 of the National Fish and Wildlife Foundation's Keystone Initiative for Freshwater Fishes, US Geological Survey Grant G09AC00050, and a contract from the US Forest Service Rocky Mountain Research Station (RMRS).</t>
  </si>
  <si>
    <t>10.1073/pnas.1103097108</t>
  </si>
  <si>
    <t>810XO</t>
  </si>
  <si>
    <t>WOS:000294163500063</t>
  </si>
  <si>
    <t>Atickem, A; Loe, LE; Langangen, O; Rueness, EK; Bekele, A; Stenseth, NC</t>
  </si>
  <si>
    <t>Atickem, A.; Loe, L. E.; Langangen, O.; Rueness, E. K.; Bekele, A.; Stenseth, N. C.</t>
  </si>
  <si>
    <t>Estimating population size and habitat suitability for mountain nyala in areas with different protection status</t>
  </si>
  <si>
    <t>mountain nyala; habitat use; resource selection functions; trophy hunting; population size estimation</t>
  </si>
  <si>
    <t>SPECIES DISTRIBUTION; NATIONAL-PARK; CONSERVATION; DENSITY; COVER; WILD</t>
  </si>
  <si>
    <t>Many species of large herbivores are declining in numbers as a consequence of direct exploitation or habitat loss. In the Ethiopian highlands, rapid human population growth has resulted in an expansion of human settlements and farmland, threatening many endemic species such as the mountain nyala Tragelaphus buxtoni. Despite being listed as an endangered species, the mountain nyala is still the most important trophy hunting species in Ethiopia. We counted faecal pellets of mountain nyala within plots distributed along transects to estimate population size and identify key environmental variables associated with the presence of faecal pellet groups. The total mountain nyala population was estimated at 3756 (95% confidence intervals: 2506-7135) individuals, mainly occupying woodlands while avoiding human developments (agriculture and settlements). The total suitable area was estimated at 8333km(2). Only 31.6% of the total population lived within a national park, while 53.5% of the population inhabited two controlled hunting areas in the eastern mountains. Abundance was 3.7 times higher in areas patrolled by wardens, regardless of being in a national park or hunting area, suggesting that formal protection must be followed by surveillance to avoid poaching and habitat destruction. We found no negative correlation between pellet abundance and trophy hunting. Yet, it is too early to conclude that trophy hunting is sustainable as it has only recently been initiated in the studied populations.</t>
  </si>
  <si>
    <t>[Atickem, A.; Loe, L. E.; Langangen, O.; Rueness, E. K.; Stenseth, N. C.] Univ Oslo, Dept Biol, Ctr Ecol &amp; Evolutionary Synth CEES, NO-0316 Oslo, Norway; [Atickem, A.; Bekele, A.] Univ Addis Ababa, Dept Biol, Addis Ababa, Ethiopia; [Loe, L. E.] Norwegian Univ Life Sci, Dept Ecol &amp; Nat Resource Management, NO-1432 As, Norway</t>
  </si>
  <si>
    <t>University of Oslo; Addis Ababa University; Norwegian University of Life Sciences</t>
  </si>
  <si>
    <t>Loe, LE (corresponding author), Univ Oslo, Dept Biol, Ctr Ecol &amp; Evolutionary Synth CEES, POB 1066 Blindern, NO-0316 Oslo, Norway.</t>
  </si>
  <si>
    <t>leif.egil.loe@umb.no</t>
  </si>
  <si>
    <t>Loe, Leif/M-5798-2016; Stenseth, Nils/G-5212-2016; Stenseth, Nils Christian/G-5212-2016; Loe, Leif Egil/M-5798-2016</t>
  </si>
  <si>
    <t>Stenseth, Nils Christian/0000-0002-1591-5399; Loe, Leif Egil/0000-0003-4804-2253</t>
  </si>
  <si>
    <t>Saint Louis Zoo; Sahal FARM-Africa SOS Sahel Ethiopia; Rufford Small Grants for Nature Conservation; Conservation des Especes et des Populations Animales</t>
  </si>
  <si>
    <t>This research was funded by Saint Louis Zoo, Sahal FARM-Africa SOS Sahel Ethiopia, Rufford Small Grants for Nature Conservation and Conservation des Especes et des Populations Animales. We would like to thank the Ethiopian Wildlife Conservation Authority for giving permission for this research and FZS for providing logistic support. We thank Stuart Williams with his support in establishing this research and two anonymous referees for valuable comments improving the paper.</t>
  </si>
  <si>
    <t>10.1111/j.1469-1795.2011.00437.x</t>
  </si>
  <si>
    <t>798AW</t>
  </si>
  <si>
    <t>WOS:000293173900014</t>
  </si>
  <si>
    <t>Evangelista, PH; Kumar, S; Stohlgren, TJ; Young, NE</t>
  </si>
  <si>
    <t>Evangelista, Paul H.; Kumar, Sunil; Stohlgren, Thomas J.; Young, Nicholas E.</t>
  </si>
  <si>
    <t>Assessing forest vulnerability and the potential distribution of pine beetles under current and future climate scenarios in the Interior West of the US</t>
  </si>
  <si>
    <t>Bioclim; Climate change; Maxent; Niche models; Bark beetles; Rocky mountains</t>
  </si>
  <si>
    <t>BARK BEETLE; ENVELOPE MODELS; RANGE EXPANSION; PRESCRIBED FIRE; OUTBREAKS; PROJECTIONS; COMPETITION; VEGETATION; ENGRAVER; DYNAMICS</t>
  </si>
  <si>
    <t>The aim of our study was to estimate forest vulnerability and potential distribution of three bark beetles (Curculionidae: Scolytinae) under current and projected climate conditions for 2020 and 2050. Our study focused on the mountain pine beetle (Dendroctonus ponderosae), western pine beetle (Dendroctonus brevicomis), and pine engraver (Ips pini). This study was conducted across eight states in the Interior West of the US covering approximately 2.2 million km(2) and encompassing about 95% of the Rocky Mountains in the contiguous US. Our analyses relied on aerial surveys of bark beetle outbreaks that occurred between 1991 and 2008. Occurrence points for each species were generated within polygons created from the aerial surveys. Current and projected climate scenarios were acquired from the WorldClim database and represented by 19 bioclimatic variables. We used Maxent modeling technique fit with occurrence points and current climate data to model potential beetle distributions and forest vulnerability. Three available climate models, each having two emission scenarios, were modeled independently and results averaged to produce two predictions for 2020 and two predictions for 2050 for each analysis. Environmental parameters defined by current climate models were then used to predict conditions under future climate scenarios, and changes in different species' ranges were calculated. Our results suggested that the potential distribution for bark beetles under current climate conditions is extensive, which coincides with infestation trends observed in the last decade. Our results predicted that suitable habitats for the mountain pine beetle and pine engraver beetle will stabilize or decrease under future climate conditions, while habitat for the western pine beetle will continue to increase over time. The greatest increase in habitat area was for the western pine beetle, where one climate model predicted a 27% increase by 2050. In contrast, the predicted habitat of the mountain pine beetle from another climate model suggested a decrease in habitat areas as great as 46% by 2050. Generally, 2020 and 2050 models that tested the three climate scenarios independently had similar trends, though one climate scenario for the western pine beetle produced contrasting results. Ranges for all three species of bark beetles shifted considerably geographically suggesting that some host species may become more vulnerable to beetle attack in the future, while others may have a reduced risk over time. (C) 2011 Elsevier B.V. All rights reserved.</t>
  </si>
  <si>
    <t>[Evangelista, Paul H.; Kumar, Sunil; Young, Nicholas E.] Colorado State Univ, Nat Resource Ecol Lab, Ft Collins, CO 80523 USA; [Stohlgren, Thomas J.] US Geol Survey, Ft Collins Sci Ctr, Ft Collins, CO 80526 USA</t>
  </si>
  <si>
    <t>Colorado State University System; Colorado State University Fort Collins; United States Department of the Interior; United States Geological Survey</t>
  </si>
  <si>
    <t>Evangelista, PH (corresponding author), Colorado State Univ, Nat Resource Ecol Lab, A204 NESB, Ft Collins, CO 80523 USA.</t>
  </si>
  <si>
    <t>paulevan@nrel.colostate.edu</t>
  </si>
  <si>
    <t>Kumar, Sunil/A-6730-2009; Evangelista, Paul/D-2315-2016</t>
  </si>
  <si>
    <t>USDA Forest Service</t>
  </si>
  <si>
    <t>USDA Forest Service(United States Department of Agriculture (USDA)United States Forest Service)</t>
  </si>
  <si>
    <t>This work was partially supported by funding from the USDA Forest Service. We would like to thank Gregg DiNitto, Tony Cheng, Amy Randell, and Jim Graham for comments and consultation. We also thank the Natural Resource Ecology Laboratory at Colorado State University and the US Geological Survey Fort Collins Science Center for additional expertise and use of facilities. Finally, we thank the data contributors to the websites where we obtained bark beetle data and climate projections. To all we are grateful. Any use of trade, product, or firm names is for descriptive purposes only and does not imply endorsement by the US government.</t>
  </si>
  <si>
    <t>10.1016/j.foreco.2011.03.036</t>
  </si>
  <si>
    <t>788EP</t>
  </si>
  <si>
    <t>WOS:000292428500001</t>
  </si>
  <si>
    <t>Sasaki, T; Yoshihara, Y; Suyama, Y; Nakashizuka, T</t>
  </si>
  <si>
    <t>Sasaki, Takehiro; Yoshihara, Yu; Suyama, Yoshihisa; Nakashizuka, Tohru</t>
  </si>
  <si>
    <t>Clipping stimulates productivity but not diversity in improved and semi-natural pastures in temperate Japan</t>
  </si>
  <si>
    <t>AGRICULTURE ECOSYSTEMS &amp; ENVIRONMENT</t>
  </si>
  <si>
    <t>Agroecosystems; Functional biodiversity; Grazing-optimization hypothesis; Low-input grazing; Species richness</t>
  </si>
  <si>
    <t>DEFOLIATION; HERBIVORES; MANAGEMENT; NITROGEN</t>
  </si>
  <si>
    <t>Recently, there has been increasing concern about the value of semi-natural pasture for maintaining biodiversity. However, because of a lack of agro-ecological assessments, farmers still believe that semi-natural pasture is less productive than improved pasture dominated by exotic pasture grasses. To develop a compromise solution that ensures both productivity and biodiversity conservation in agro-pastoral ecosystems, we compared the degree of grazing optimization and diversity enhancement by grazing between improved and semi-natural pastures in temperate Japan. We analyzed the responses of plant growth and biodiversity to clipping treatments (maintaining sward heights of 5 or 15 cm) that simulated grazing. Aboveground productivity was stimulated by clipping treatment on both improved and semi-natural pastures (a 2- and 1.5-fold increase, respectively), indicating that both pasture types can be productive from an agricultural perspective. Although species richness was not influenced by clipping treatment or pasture type, the semi-natural pasture contained more species (34 vs. 20) than the improved pasture, thus demonstrating the value of semi-natural pasture for creating a potentially biologically diverse habitat. Our results thus offer some empirical evidence for farmers and agroecologists to support the utility of semi-natural pasture as an alternative sustainable grazing system from both agricultural and biodiversity conservation perspectives. (C) 2011 Elsevier B.V. All rights reserved.</t>
  </si>
  <si>
    <t>[Sasaki, Takehiro; Nakashizuka, Tohru] Tohoku Univ, Grad Sch Life Sci, Aoba Ku, Sendai, Miyagi 9808578, Japan; [Yoshihara, Yu; Suyama, Yoshihisa] Tohoku Univ, Grad Sch Agr Sci, Osaki, Miyagi 9896711, Japan</t>
  </si>
  <si>
    <t>Tohoku University; Tohoku University</t>
  </si>
  <si>
    <t>Sasaki, T (corresponding author), Tohoku Univ, Grad Sch Life Sci, Aoba Ku, 6-3 Aoba, Sendai, Miyagi 9808578, Japan.</t>
  </si>
  <si>
    <t>sasa67123@gmail.com</t>
  </si>
  <si>
    <t>Nakashizuka, Tohru/AAO-1081-2020; Sasaki, Takehiro/C-8896-2012; Yoshihara, Yu/H-2456-2015; Suyama, Yoshihisa/H-6115-2017</t>
  </si>
  <si>
    <t>Suyama, Yoshihisa/0000-0002-3136-5489; Sasaki, Takehiro/0000-0001-8727-9152; Nakashizuka, Tohru/0000-0003-1419-9527</t>
  </si>
  <si>
    <t>Tohoku University's Global Center of Excellence [J03]</t>
  </si>
  <si>
    <t>Tohoku University's Global Center of Excellence</t>
  </si>
  <si>
    <t>This work was supported financially by Tohoku University's Global Center of Excellence (COE) program, Ecosystem Adaptability Science for the Future (no. J03). The associate editor and two anonymous reviewers contributed significantly to the clarity of the manuscript.</t>
  </si>
  <si>
    <t>0167-8809</t>
  </si>
  <si>
    <t>1873-2305</t>
  </si>
  <si>
    <t>AGR ECOSYST ENVIRON</t>
  </si>
  <si>
    <t>Agric. Ecosyst. Environ.</t>
  </si>
  <si>
    <t>3-4</t>
  </si>
  <si>
    <t>10.1016/j.agee.2011.06.009</t>
  </si>
  <si>
    <t>Agriculture, Multidisciplinary; Ecology; Environmental Sciences</t>
  </si>
  <si>
    <t>Agriculture; Environmental Sciences &amp; Ecology</t>
  </si>
  <si>
    <t>825BE</t>
  </si>
  <si>
    <t>WOS:000295245100035</t>
  </si>
  <si>
    <t>Liu, JX; Vogelmann, JE; Zhu, ZL; Key, CH; Sleeter, BM; Price, DT; Chen, JM; Cochrane, MA; Eidenshink, JC; Howard, SM; Bliss, NB; Jiang, H</t>
  </si>
  <si>
    <t>Liu, Jinxun; Vogelmann, James E.; Zhu, Zhiliang; Key, Carl H.; Sleeter, Benjamin M.; Price, David T.; Chen, Jing M.; Cochrane, Mark A.; Eidenshink, Jeffery C.; Howard, Stephen M.; Bliss, Norman B.; Jiang, Hong</t>
  </si>
  <si>
    <t>Estimating California ecosystem carbon change using process model and land cover disturbance data: 1951-2000</t>
  </si>
  <si>
    <t>Conference of the International-Society-for-Ecological-Modelling</t>
  </si>
  <si>
    <t>OCT 06-09, 2009</t>
  </si>
  <si>
    <t>Quebec City, CANADA</t>
  </si>
  <si>
    <t>Int Soc Ecolog Modelling</t>
  </si>
  <si>
    <t>Fire disturbance; Land cover change; CO2 fertilization; Climate change; IBIS</t>
  </si>
  <si>
    <t>INTEGRATED BIOSPHERE SIMULATOR; CO2 FERTILIZATION; BOREAL; CLIMATE; BALANCE; GROWTH</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</si>
  <si>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</si>
  <si>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[Liu, Jinxun] SGT Inc, EROS Ctr, Sioux Falls, SD 57198 USA; [Vogelmann, James E.; Eidenshink, Jeffery C.; Howard, Stephen M.] US Geol Survey, EROS Ctr, Sioux Falls, SD 57198 USA; [Zhu, Zhiliang] US Geol Survey, Reston, VA 20192 USA; [Key, Carl H.] USGS No Rocky Mt Sci Ctr, Glacier Field Stn, W Glacier, MT 59936 USA; [Sleeter, Benjamin M.] US Geol Survey, Western Geog Sci Ctr, Pacific Geog Sci Team, Menlo Pk, CA 94025 USA; [Price, David T.] Nat Resources Canada, Canadian Forest Serv, No Forestry Ctr, Edmonton, AB T6H 3S5, Canada; [Chen, Jing M.] Univ Toronto, Dept Geog, Toronto, ON M5S 3G3, Canada; [Chen, Jing M.] Univ Toronto, Program Planning, Toronto, ON M5S 3G3, Canada; [Cochrane, Mark A.] S Dakota State Univ, GIScCE, Brookings, SD 57007 USA; [Bliss, Norman B.] ASRC Res &amp; Technol Solut, Sioux Falls, SD 57198 USA; [Jiang, Hong] Zhejiang Forestry Univ, Int Ctr Spatial Ecol &amp; Ecosyst Ecol, Hangzhou 311300, Zhejiang, Peoples R China; [Jiang, Hong] Nanjing Univ, Int Inst Earth Syst Sci, Nanjing 210093, Peoples R China</t>
  </si>
  <si>
    <t>Stinger Ghaffarian Technologies, Inc. (SGT); United States Department of the Interior; United States Geological Survey; United States Department of the Interior; United States Geological Survey; United States Department of the Interior; United States Geological Survey; United States Department of the Interior; United States Geological Survey; Natural Resources Canada; Canadian Forest Service; University of Toronto; University of Toronto; South Dakota State University; Zhejiang A&amp;F University; Nanjing University</t>
  </si>
  <si>
    <t>Liu, JX (corresponding author), SGT Inc, EROS Ctr, 47914 252nd St, Sioux Falls, SD 57198 USA.</t>
  </si>
  <si>
    <t>jxliu@usgs.gov</t>
  </si>
  <si>
    <t>Chen, Jing/AAD-4768-2020; Zhu, Zhiliang/I-2686-2018; Cochrane, Mark/A-1735-2018; Liu, Jinxun/H-8604-2018</t>
  </si>
  <si>
    <t>Zhu, Zhiliang/0000-0002-6860-6936; Vogelmann, James/0000-0002-0804-5823; Liu, Jinxun/0000-0003-0561-8988</t>
  </si>
  <si>
    <t>JUL 24</t>
  </si>
  <si>
    <t>10.1016/j.ecolmodel.2011.03.042</t>
  </si>
  <si>
    <t>796GB</t>
  </si>
  <si>
    <t>WOS:000293038700014</t>
  </si>
  <si>
    <t>Engler, R; Randin, CF; Thuiller, W; Dullinger, S; Zimmermann, NE; Araújo, MB; Pearman, PB; Le Lay, G; Piedallu, C; Albert, CH; Choler, P; Coldea, G; De Lamo, X; Dirnböck, T; Gegout, JC; Gómez-García, D; Grytnes, JA; Heegaard, E; Hoistad, F; Nogués-Bravo, D; Normand, S; Puscas, M; Sebastià, MT; Stanisci, A; Theurillat, JP; Trivedi, MR; Vittoz, P; Guisan, A</t>
  </si>
  <si>
    <t>Engler, Robin; Randin, Christophe F.; Thuiller, Wilfried; Dullinger, Stefan; Zimmermann, Niklaus E.; Araujo, Miguel B.; Pearman, Peter B.; Le Lay, Gwenaelle; Piedallu, Christian; Albert, Cecile H.; Choler, Philippe; Coldea, Gheorghe; De Lamo, Xavier; Dirnbock, Thomas; Gegout, Jean-Claude; Gomez-Garcia, Daniel; Grytnes, John-Arvid; Heegaard, Einar; Hoistad, Fride; Nogues-Bravo, David; Normand, Signe; Puscas, Mihai; Sebastia, Maria-Teresa; Stanisci, Angela; Theurillat, Jean-Paul; Trivedi, Mandar R.; Vittoz, Pascal; Guisan, Antoine</t>
  </si>
  <si>
    <t>21st century climate change threatens mountain flora unequally across Europe</t>
  </si>
  <si>
    <t>alpine plants; Europe vegetation; global change; impact assessment; species distribution models</t>
  </si>
  <si>
    <t>LAND-USE CHANGE; SPECIES DISTRIBUTION; DISTRIBUTION MODELS; PLANT-DISTRIBUTION; VASCULAR PLANTS; GLOBAL CHANGE; RANGE; DISTRIBUTIONS; VEGETATION; IMPACT</t>
  </si>
  <si>
    <t>Continental-scale assessments of 21st century global impacts of climate change on biodiversity have forecasted range contractions for many species. These coarse resolution studies are, however, of limited relevance for projecting risks to biodiversity in mountain systems, where pronounced microclimatic variation could allow species to persist locally, and are ill-suited for assessment of species-specific threat in particular regions. Here, we assess the impacts of climate change on 2632 plant species across all major European mountain ranges, using high-resolution (ca. 100 m) species samples and data expressing four future climate scenarios. Projected habitat loss is greater for species distributed at higher elevations; depending on the climate scenario, we find 36-55% of alpine species, 31-51% of subalpine species and 19-46% of montane species lose more than 80% of their suitable habitat by 2070-2100. While our high-resolution analyses consistently indicate marked levels of threat to cold-adapted mountain florae across Europe, they also reveal unequal distribution of this threat across the various mountain ranges. Impacts on florae from regions projected to undergo increased warming accompanied by decreased precipitation, such as the Pyrenees and the Eastern Austrian Alps, will likely be greater than on florae in regions where the increase in temperature is less pronounced and rainfall increases concomitantly, such as in the Norwegian Scandes and the Scottish Highlands. This suggests that change in precipitation, not only warming, plays an important role in determining the potential impacts of climate change on vegetation.</t>
  </si>
  <si>
    <t>[Engler, Robin; Pearman, Peter B.; Le Lay, Gwenaelle; Vittoz, Pascal; Guisan, Antoine] Univ Lausanne, Dept Ecol &amp; Evolut, CH-1015 Lausanne, Switzerland; [Randin, Christophe F.] Univ Basel, Inst Bot, CH-4056 Basel, Switzerland; [Thuiller, Wilfried; Albert, Cecile H.; Choler, Philippe] Univ Grenoble 1, CNRS, UJF, Lab Ecol Alpine,UMR 5553, F-38041 Grenoble, France; [Dullinger, Stefan] Vienna Inst Nat Conservat &amp; Analyses, A-1090 Vienna, Austria; [Dullinger, Stefan] Univ Vienna, Dept Conservat Biol Vegetat &amp; Landscape Ecol, A-1030 Vienna, Austria; [Zimmermann, Niklaus E.; Pearman, Peter B.; Normand, Signe] Swiss Fed Res Inst WSL, CH-8903 Birmensdorf, Switzerland; [Araujo, Miguel B.] CSIC, Natl Museum Nat Sci, E-28006 Madrid, Spain; [Araujo, Miguel B.; Nogues-Bravo, David] Univ Evora, CIBIO, Rui Nabeiro Biodivers Chair, P-7000 Evora, Portugal; [Piedallu, Christian; Gegout, Jean-Claude] AgroParisTech, ENGREF, UMR1092, Lab Etude Ressources Foret Bois LERFoB, FR-54000 Nancy, France; [Piedallu, Christian; Gegout, Jean-Claude] Ctr INRA Nancy, INRA, UMR1092, Lab Etude Ressources Foret Bois LERFoB, F-54280 Champenoux, France; [Choler, Philippe] Univ Grenoble 1, CNRS, UJF, Stn Alpine J Fourier,UMS 2925, F-38041 Grenoble, France; [Coldea, Gheorghe] Inst Biol Res, Dept Plant Ecol, Cluj Napoca 400015, Romania; [De Lamo, Xavier; Sebastia, Maria-Teresa] Forest Technol Ctr Catalonia, Lab Funct Ecol &amp; Global Change, Solsona 25280, Spain; [Dirnbock, Thomas] Environm Agcy Austria, Dep Ecosyst Res &amp; Monitoring, A-1090 Vienna, Austria; [Grytnes, John-Arvid] Univ Bergen, Dept Biol, N-5020 Bergen, Norway; [Gomez-Garcia, Daniel] CSIC, Inst Pirenaico Ecol, Jaca 22700, Spain; [Heegaard, Einar; Hoistad, Fride] Norwegian Forest &amp; Landscape Inst, N-5244 Fana, Norway; [Nogues-Bravo, David] Univ Copenhagen, Dept Biol, Ctr Macroecol Evolut &amp; Climate, DK-2100 Copenhagen, Denmark; [Normand, Signe] Aarhus Univ, Dept Biol Sci, DK-8000 Aarhus C, Denmark; [Puscas, Mihai] Univ Babes Bolyai, A Borza Bot Garden, Cluj Napoca 400015, Romania; [Sebastia, Maria-Teresa] Univ Lleida, ETSEA, Lleida 25198, Spain; [Stanisci, Angela] Univ Molise, Envirometr Lab, I-86090 Pesche, Isernia, Italy; [Theurillat, Jean-Paul] Fdn JM Aubert, Ctr Alpien Phytogeog, CH-1938 Champex Lac, Switzerland; [Theurillat, Jean-Paul] Univ Geneva, Lab Biogeog, Biol Sect, CH-1292 Chambesy, Switzerland; [Trivedi, Mandar R.] John Krebs Field Stn, Global Canopy Programme, Oxford OX2 8QJ, England</t>
  </si>
  <si>
    <t>University of Lausanne; University of Basel; Centre National de la Recherche Scientifique (CNRS); CNRS - Institute of Ecology &amp; Environment (INEE); Communaute Universite Grenoble Alpes; Universite Grenoble Alpes (UGA); Universite Savoie Mont Blanc; University of Vienna; Swiss Federal Institutes of Technology Domain; Swiss Federal Institute for Forest, Snow &amp; Landscape Research; Consejo Superior de Investigaciones Cientificas (CSIC); University of Evora; AgroParisTech; INRAE; Universite de Lorraine; Communaute Universite Grenoble Alpes; Universite Grenoble Alpes (UGA); Centre National de la Recherche Scientifique (CNRS); National Research Institute for Biological Sciences; Centre Tecnologic Forestal de Catalunya (CTFC); University of Bergen; Consejo Superior de Investigaciones Cientificas (CSIC); CSIC - Instituto Pirenaico de Ecologia (IPE); The Norwegian Forest &amp; Landscape Institute; University of Copenhagen; Aarhus University; Babes Bolyai University from Cluj; Universitat de Lleida; University of Molise; University of Geneva; University of Oxford</t>
  </si>
  <si>
    <t>Engler, R (corresponding author), Univ Lausanne, Dept Ecol &amp; Evolut, CH-1015 Lausanne, Switzerland.</t>
  </si>
  <si>
    <t>Robin.Engler@gmail.com</t>
  </si>
  <si>
    <t>; Grytnes, John-Arvid/L-6357-2013; Trivedi, Mandar/IQV-7534-2023; Normand, Signe/A-1561-2012; Albert, Cécile/AAA-5490-2019; Randin, Christophe/K-6969-2016; Thuiller, Wilfried/G-3283-2010; Bastos Araújo, Miguel/B-6117-2008; Randin, Christophe François/K-6969-2016; Pearman, Peter/C-6298-2011; Gegout, Jean-Claude/HKN-8801-2023; Choler, Philippe/A-7270-2008; Zimmermann, Niklaus/A-4276-2008; Guisan, Antoine/A-1057-2011; Sebastia, M./B-5479-2013; Araújo, Miguel/B-6117-2008; Stanisci, Angela/F-4725-2012; Theurillat, Jean-Paul/ABV-4830-2022; Sebastià, M Teresa/B-5479-2013; Puscas, Mihai/C-4689-2012; Coldea, Gheorghe/C-3929-2012; CHOLER, Philippe/A-7270-2008; Albert, Cécile/AAA-5490-2019; Engler, Robin/B-7912-2015</t>
  </si>
  <si>
    <t>Nogués-Bravo, David/0000-0002-4060-0153; Normand, Signe/0000-0002-8782-4154; Albert, Cécile/0000-0002-0991-1068; Theurillat, Jean-Paul/0000-0002-1843-5809; Vittoz, Pascal/0000-0003-4218-4517; Bastos Araújo, Miguel/0000-0002-5107-7265; Randin, Christophe François/0000-0002-4171-0178; Dullinger, Stefan/0000-0003-3919-0887; Pearman, Peter/0000-0002-0794-101X; Gegout, Jean-Claude/0000-0002-5760-9920; Puscas, Mihai/0000-0002-2632-640X; Zimmermann, Niklaus/0000-0003-3099-9604; Stanisci, Angela/0000-0002-5302-0932; Guisan, Antoine/0000-0002-3998-4815; Sebastià, M Teresa/0000-0002-9017-3575; Grytnes, John-Arvid/0000-0002-6365-9676; Dirnböck, Thomas/0000-0002-8294-0690; CHOLER, Philippe/0000-0002-9062-2721; Albert, Cécile/0000-0002-0991-1068; FORSTER, Philippe/0009-0002-2679-8316</t>
  </si>
  <si>
    <t>Herbette Foundation; Faculty of Geosciences and Environment at the University of Lausanne; Mountain Research Initiative (MRI); Swiss National Science Foundation (SNF) [31003A-125145/NCCR, CRSII3_125240, 31003A_122433]; European commission; ECOCHANGE project; CNCSIS-UEFISCSU [123/29.07.2010]; EU [I3A4147E]; MICINN; FCT RangeShift project; French ANR DIVERSITALP [ANR-2007-BDIV-014]; Danish National Research Foundation; Norwegian Research Council; NERC; [R. P.: CGL2010-21642]; Swiss National Science Foundation (SNF) [31003A_122433] Funding Source: Swiss National Science Foundation (SNF)</t>
  </si>
  <si>
    <t>Herbette Foundation(ACEV Foundation); Faculty of Geosciences and Environment at the University of Lausanne; Mountain Research Initiative (MRI); Swiss National Science Foundation (SNF)(Swiss National Science Foundation (SNSF)); European commission(European Union (EU)European Commission Joint Research Centre); ECOCHANGE project(European Union (EU)); CNCSIS-UEFISCSU(Consiliul National al Cercetarii Stiintifice (CNCS)); EU(European Union (EU)); MICINN(Spanish GovernmentMinistry of Science &amp; Innovation, Spain (MICINN)); FCT RangeShift project; French ANR DIVERSITALP(Agence Nationale de la Recherche (ANR)); Danish National Research Foundation(Danmarks Grundforskningsfond); Norwegian Research Council(Research Council of Norway); NERC(UK Research &amp; Innovation (UKRI)Natural Environment Research Council (NERC)); ; Swiss National Science Foundation (SNF)(Swiss National Science Foundation (SNSF))</t>
  </si>
  <si>
    <t>The two workshops leading to this study were granted by the Herbette Foundation, the Faculty of Geosciences and Environment at the University of Lausanne and the Mountain Research Initiative (MRI). A. G. and R. E. received further support from the Swiss National Science Foundation (SNF grant 31003A-125145/NCCR Plant Survival) and the European commission (MACIS and ECOCHANGE projects). S. D. was supported by the ECOCHANGE project and M. P. by CNCSIS-UEFISCSU, project PNII-Resurse Umane (PD_405/no. 123/29.07.2010). M. T. S. was supported by EU INTERREG I3A4147E and MICINN CARBOPAS/CARBOAGROPAS/MONTES. M. B. A. was supported by the FCT RangeShift project. P. B. P. acknowledges support by SNF grants CRSII3_125240 'SPEED' and 31003A_122433 'ENNIS'. W. T. acknowledges support from the French ANR DIVERSITALP (ANR-2007-BDIV-014). D. N. B. thanks the Danish National Research Foundation for support to the Center for Macroecology, Evolution and Climate. F. H., J. A. G. and E. H. received financial support from the Norwegian Research Council. Herbarium JACA was supported by R. P.: CGL2010-21642. M. T. was supported by NERC. Finally we would like to acknowledge the three anonymous referees whose comments allowed us to greatly improve the manuscript.</t>
  </si>
  <si>
    <t>10.1111/j.1365-2486.2010.02393.x</t>
  </si>
  <si>
    <t>772FZ</t>
  </si>
  <si>
    <t>WOS:000291221000006</t>
  </si>
  <si>
    <t>Sebastià, MT; Palero, N; de Bello, F</t>
  </si>
  <si>
    <t>Sebastia, Maria-Teresa; Palero, Noemi; de Bello, Francesco</t>
  </si>
  <si>
    <t>Changes in management modify agro-diversity in sainfoin swards in the Eastern Pyrenees</t>
  </si>
  <si>
    <t>AGRONOMY FOR SUSTAINABLE DEVELOPMENT</t>
  </si>
  <si>
    <t>Agroecosystem; Community assembly; Grazing; Mowing; Onobrychis viciifolia; Plant species diversity</t>
  </si>
  <si>
    <t>FLORISTIC COMPOSITION; ANIMAL PERFORMANCE; GRASSLAND; BIODIVERSITY; SCALE; PRODUCTIVITY; VEGETATION; LANDSCAPE; PASTURES; FORAGE</t>
  </si>
  <si>
    <t>Management affects ecosystem structure in many ways. Structural changes in ecosystems, including shifts in vegetation composition and species diversity, will affect the goods and services provided at ecosystem and regional scales. This is relevant for agricultural production and agro-biodiversity preservation in the context of management changes currently occurring in many regions. We sampled 39 sainfoin swards in the Eastern Pyrenees to assess changes in vegetation structure with sward management and evaluated how those changes might sustain agro-diversity regionally. Three sward managements coexist in the region: (a) mown plus sheep-grazed, (b) mown plus cattle-grazed and (c) only mown. Plant species composition and richness, and various biomass variables were estimated at peak biomass on swards with the three managements and different ages. We used a synchronic approach to study time effects, in which swards of different ages are sampled simultaneously, in a space by time substitution. Multivariate analysis and similarity indices revealed strong shifts in vegetation composition with management, enhanced with sward age, when the suppressive effect of sown on unsown plants relaxed. Generally, plant species richness increased with time. Old mown swards showed the highest number of species per plot (34 in 4 m(2)). Cattle-grazed swards showed the highest within- and between-treatment vegetation dissimilarity with time. Biomass variables responded mainly to time effects, but total aboveground biomass decreased with unsown species and increased with species richness depending on management. Thus, the diversity of managements modified the expected outcome in local and regional agro-diversity and sward structure. Our results are novel because they demonstrate strong effects of grazing by different animals on local and regional agro-diversity and herbage composition in those ephemeral legume-based forage systems. Farmers and managers should take into account those shifts in order to achieve agricultural goals, including agro-diversity conservation and sustainable forage production at ecosystem and regional scales.</t>
  </si>
  <si>
    <t>[Sebastia, Maria-Teresa; Palero, Noemi; de Bello, Francesco] Forest Technol Ctr Catalonia CTFC, Solsona 25280, Spain; [Sebastia, Maria-Teresa] Univ Lleida, Agr Engn Sch, Lleida 25198, Spain</t>
  </si>
  <si>
    <t>Centre Tecnologic Forestal de Catalunya (CTFC); Universitat de Lleida</t>
  </si>
  <si>
    <t>Sebastià, MT (corresponding author), Forest Technol Ctr Catalonia CTFC, Pujada Seminari S-N, Solsona 25280, Spain.</t>
  </si>
  <si>
    <t>teresa.sebastia@ctfc.es</t>
  </si>
  <si>
    <t>Sebastià, M Teresa/B-5479-2013; de Bello, Francesco/H-1582-2014; Sebastia, M./B-5479-2013</t>
  </si>
  <si>
    <t>Sebastià, M Teresa/0000-0002-9017-3575; de Bello, Francesco/0000-0001-9202-8198;</t>
  </si>
  <si>
    <t>Spanish Science Foundation (FECYT) [REN2002-04300-C02-01, REN2002-04300-C02-02, CGL2006-13555-C03-01/BOS]; Dept. Agricultura (DAR); Dept. Treball of the Catalan Government; Fundacio Territori i Paisatge (FTiP); EU [I3A-5-147-E]</t>
  </si>
  <si>
    <t>Spanish Science Foundation (FECYT); Dept. Agricultura (DAR); Dept. Treball of the Catalan Government; Fundacio Territori i Paisatge (FTiP); EU(European Union (EU))</t>
  </si>
  <si>
    <t>We thank the farmers in the study area for their help during the development of this work. A. Michelena and I. Delgado provided useful information about sainfoin in the Pyrenees. Useful comments by three anonymous reviewers, the field editor and the Editor-in-Chief, E. Lichtfouse, contributed significantly to the improvement of the paper. The CARBOPAS (REN2002-04300-C02-01 and 02) and the CARBOAGROPAS (CGL2006-13555-C03-01/BOS) projects from the Spanish Science Foundation (FECYT), the Dept. Agricultura (DAR) and the Dept. Treball of the Catalan Government, the Fundacio Territori i Paisatge (FTiP) and the I3A-5-147-E project of the EU INTERREG III-A program contributed with funding.</t>
  </si>
  <si>
    <t>1774-0746</t>
  </si>
  <si>
    <t>AGRON SUSTAIN DEV</t>
  </si>
  <si>
    <t>Agron. Sustain. Dev.</t>
  </si>
  <si>
    <t>10.1007/s13593-011-0008-2</t>
  </si>
  <si>
    <t>Agronomy; Green &amp; Sustainable Science &amp; Technology</t>
  </si>
  <si>
    <t>Agriculture; Science &amp; Technology - Other Topics</t>
  </si>
  <si>
    <t>780TN</t>
  </si>
  <si>
    <t>WOS:000291882200009</t>
  </si>
  <si>
    <t>Chizinski, CJ; Peterson, A; Hanowski, J; Blinn, CR; Vondracek, B; Niemi, G</t>
  </si>
  <si>
    <t>Chizinski, Christopher J.; Peterson, Anna; Hanowski, JoAnn; Blinn, Charles R.; Vondracek, Bruce; Niemi, Gerald</t>
  </si>
  <si>
    <t>Breeding bird response to partially harvested riparian management zones</t>
  </si>
  <si>
    <t>Early successional bird species; Mature forest bird species; Partial timber harvest; Riparian management</t>
  </si>
  <si>
    <t>LEAST FLYCATCHERS; FOREST HARVEST; BUFFER STRIPS; COMMUNITIES; HABITAT; SUCCESS; BIODIVERSITY; CORRIDORS; ABUNDANCE; WIDTH</t>
  </si>
  <si>
    <t>We compared avian communities among three timber harvesting treatments in 45-m wide even-age riparian management zones (RMZs) placed between upland clearcuts and along one side of first- or second-order streams in northern Minnesota, USA. The RMZs had three treatments: (1) unharvested, (2) intermediate residual basal area (RBA) (targeted goal 11.5 m(2)/ha, realized 16.0 m(2)/ha), and (3) low RBA (targeted goal 5.7 m(2)/ha, realized 8.7 m(2)/ha). Surveys were conducted one year pre-harvest and three consecutive years post-harvest. There was no change in species richness, diversity, or total abundance associated with harvest but there were shifts in the types of birds within the community. In particular, White-throated Sparrows (Zonon-ichia albicollis) and Chestnut-sided Warblers (Dendroica pensylvanica) increased while Ovenbirds (Seiurus aurocapilla) and Red-eyed Vireos (Vireo olivaceus) decreased. The decline of avian species associated with mature forest in the partially harvested treatments relative to controls indicates that maintaining an unharvested RMZ adjacent to an upland harvest may aid in maintaining avian species associated mature forest in Minnesota for at least three years post-harvest. However, our observations do not reflect reproductive success, which is an area for future research. (C) 2011 Elsevier B.V. All rights reserved.</t>
  </si>
  <si>
    <t>[Chizinski, Christopher J.] Univ Minnesota, Minnesota Fish &amp; Wildlife Cooperat Res Unit, St Paul, MN 55108 USA; [Peterson, Anna; Hanowski, JoAnn; Niemi, Gerald] Univ Minnesota, Nat Resources Res Inst, Duluth, MN 55811 USA; [Blinn, Charles R.] Univ Minnesota, Dept Forest Resources, St Paul, MN 55108 USA; [Vondracek, Bruce] Univ Minnesota, Minnesota Cooperat Fish &amp;Wildlife Res Unit, US Geol Survey, St Paul, MN 55108 USA</t>
  </si>
  <si>
    <t>University of Minnesota System; University of Minnesota Twin Cities; University of Minnesota System; University of Minnesota Duluth; University of Minnesota System; University of Minnesota Twin Cities; United States Department of the Interior; United States Geological Survey; University of Minnesota System; University of Minnesota Twin Cities</t>
  </si>
  <si>
    <t>Chizinski, CJ (corresponding author), Univ Nebraska, Sch Nat Resources, Nebraska Cooperat Fish &amp; Wildlife Res Unit, Lincoln, NE 68588 USA.</t>
  </si>
  <si>
    <t>cchizinski2@unl.edu</t>
  </si>
  <si>
    <t>; Chizinski, Christopher/G-6306-2011</t>
  </si>
  <si>
    <t>Chizinski, Christopher/0000-0001-9294-2588; Blinn, Charlie/0000-0003-1981-5421</t>
  </si>
  <si>
    <t>Minnesota Forest Resources Council; Minnesota Environment and Natural Resources Trust</t>
  </si>
  <si>
    <t>This study benefited from the assistance of numerous individuals. Lauren Brudney, James Manolis, and Petra Wood provided helpful comments on an earlier draft of this manuscript. Funding for this project was provided by the Minnesota Forest Resources Council and the Minnesota Environment and Natural Resources Trust Fund as recommended by the Legislative-Citizen Commission on Minnesota Resources (LCCMR). The use of trade, product, industry or firm names or products or software or models, whether commercially available or not, is for informative purposes only and does not constitute an endorsement by the U.S. Government or the U.S. Geological Survey. This is contribution number 512 from the Center for Water and the Environment, Natural Resources Research Institute, University of Minnesota, Duluth.</t>
  </si>
  <si>
    <t>10.1016/j.foreco.2011.02.012</t>
  </si>
  <si>
    <t>770YZ</t>
  </si>
  <si>
    <t>WOS:000291125700019</t>
  </si>
  <si>
    <t>Hema, EM; Barnes, RFW; Guenda, W</t>
  </si>
  <si>
    <t>Hema, Emmanuel M.; Barnes, Richard F. W.; Guenda, Wendengoudi</t>
  </si>
  <si>
    <t>Distribution of savannah elephants (Loxodonta africana africana Blumenbach 1797) within Nazinga game ranch, Southern Burkina Faso</t>
  </si>
  <si>
    <t>AFRICAN JOURNAL OF ECOLOGY</t>
  </si>
  <si>
    <t>Burkina Faso; dung; elephants; occupancy; Nazinga; villages; water</t>
  </si>
  <si>
    <t>SPATIAL AUTOCORRELATION; WOODY VEGETATION; ASIAN ELEPHANT; RED HERRINGS; ECOLOGY; PATTERN; INDIA</t>
  </si>
  <si>
    <t>We tested the hypothesis that elephant distribution inside the Nazinga Game Ranch (Southern Burkina Faso) during the wet season is influenced by villages outside, while in the dry season elephants are restricted only by water. Occupancy was evaluated by recording elephant dung-piles on 54 line transects in each of three seasons: wet 2006, dry 2007 and dry 2008. We measured the distance of each transect from nearest villages, nearest permanent water sources, nearest guard posts and tourist camps. The results were unexpected: elephant occupancy in the wet season was independent of villages but influenced by poaching, while their occupancy in both dry seasons was determined by the proximity of villages as well as water. In the dry season, elephants were attracted to villages by grain stores and fruiting trees. There has been a dramatic shift in the dry season distribution of elephants, and consequently in browsing pressure, over the last two decades. We suggest that this change is a consequence of the expansion of human activities outside the ranch. This study shows that the effects of growing human disturbance on elephant populations in small protected areas are not predictable. Correcting for spatial autocorrelation had a negligible effect upon the models.Resume Nous avons teste l'hypothese selon laquelle la distribution des elephants dans le Ranch de Gibier de Nazinga (dans le sud du Burkina Faso) etait influencee, durant la saison des pluies, par des villages situes a l'exterieur, tandis que, en saison seche, les elephants ne sont limites que par l'eau. On a evalue l'occupation en enregistrant les tas de crottes d'elephant sur 54 transects lineaires pendant trois saisons: saison pluvieuse 2006, saison seche 2007 et saison seche 2008. Nous avons mesure la distance entre chaque transect par rapport aux villages les plus proches, les points d'eau les plus proches, les postes de gardes et les camps de touristes les plus proches. Les resultats furent inattendus : l'occupation des elephants en saison des pluies ne dependait pas des villages mais plutot du braconnage alors que pendant les deux saisons seches, leur taux d'occupation etait determine par la proximite des villages et de l'eau. En saison seche, les elephants etaient attires vers les villages par les stocks de grain et les arbres qui fructifiaient. Il y a eu un spectaculaire changement de la distribution saisonniere des elephants, et par consequent la pression de broutage en saison seche, au cours des deux dernieres decennies. Nous suggerons que ce changement est une consequence de l'expansion des activites humaines hors du ranch. Cette etude montre que les effets des croissantes perturbations humaines sur les populations d'elephants dans de petites aires protegees ne sont pas previsibles. Le fait d'apporter une correction pour l'autocorrelation spatiale n'avait qu'un effet negligeable sur les modeles.</t>
  </si>
  <si>
    <t>[Hema, Emmanuel M.; Guenda, Wendengoudi] Univ Ouagadougou, UFR SVT, Lab Biol &amp; Ecol Anim, Ouagadougou, Burkina Faso; [Barnes, Richard F. W.] Univ Calif San Diego, Div Biol Sci MC 0116, Ecol Behav &amp; Evolut Sect, La Jolla, CA 92093 USA</t>
  </si>
  <si>
    <t>University of California System; University of California San Diego</t>
  </si>
  <si>
    <t>Hema, EM (corresponding author), Univ Ouagadougou, UFR SVT, Lab Biol &amp; Ecol Anim, 09 BP 848 Ouagadougou 09, Ouagadougou, Burkina Faso.</t>
  </si>
  <si>
    <t>hema.emmanuel@yahoo.fr</t>
  </si>
  <si>
    <t>HEMA, Emmanuel/HLQ-2172-2023</t>
  </si>
  <si>
    <t>Nazinga Game Ranch</t>
  </si>
  <si>
    <t>Field work was financed by the Nazinga Game Ranch as part of its Ecological Monitoring Program; we benefited from additional supports from the consortium of WildFoundation in USA, Save the Elephants in Kenya and the Environment &amp; Development Group in UK. The late M. Adama Ouedraogo, Director of the Ranch during the period of the study, gave us permission to work at Nazinga. We are grateful to the Directeur de la Faune et des Chasses M. Urbain Belemsobgo who made the study possible. We thank all field assistants especially M. Banzourou Niagabare , M. Neti Naman, M. Tinsgnimi Dialla, M. Ousmane Badini, M. Boukare Ouedraogo, M. Dominique Zida, M. Boureima Kabore and M. Misson Zida, for their support.</t>
  </si>
  <si>
    <t>0141-6707</t>
  </si>
  <si>
    <t>1365-2028</t>
  </si>
  <si>
    <t>AFR J ECOL</t>
  </si>
  <si>
    <t>Afr. J. Ecol.</t>
  </si>
  <si>
    <t>10.1111/j.1365-2028.2010.01239.x</t>
  </si>
  <si>
    <t>758NQ</t>
  </si>
  <si>
    <t>WOS:000290171900002</t>
  </si>
  <si>
    <t>Urquiza-Haas, T; Peres, CA; Dolman, PM</t>
  </si>
  <si>
    <t>Urquiza-Haas, T.; Peres, C. A.; Dolman, P. M.</t>
  </si>
  <si>
    <t>Large vertebrate responses to forest cover and hunting pressure in communal landholdings and protected areas of the Yucatan Peninsula, Mexico</t>
  </si>
  <si>
    <t>forest cover; hunting pressure; large mammals; game birds; protected areas; communally managed areas</t>
  </si>
  <si>
    <t>MONKEY ALOUATTA-PIGRA; HABITAT PREFERENCES; POPULATION-DENSITY; TROPICAL FOREST; QUINTANA-ROO; FRUIT PRODUCTION; SEED DISPERSAL; NATIONAL-PARK; WILDLIFE; CONSERVATION</t>
  </si>
  <si>
    <t>Although tropical forest vertebrate populations are often heavily impacted by both habitat loss and subsistence hunting, in many human-dominated landscapes their fate depends on the wider habitat matrix outside protected areas. This study used line-transect surveys to examine patterns of vertebrate species richness and encounter rates (ER) throughout Mexico's Yucatan Peninsula across a broad spectrum of anthropogenic forest disturbances. Censuses were carried out at eight forest sites, including two localities within the Sian Ka'an Biosphere Reserve, a communally managed protected area, a private forest reserve and three communal-tenure landholding units. Species richness increased with increasing forest cover in the surrounding landscape, but was not affected by the degree of hunting pressure. Responses to different forms of disturbance varied markedly across species and functional groups. Aggregate ER of old-growth specialists were positively correlated with forest cover, but unrelated to hunting pressure. Hunting pressure was strongly related to aggregate ER of game species, particularly of preferred prey, and a meta-analysis of species-specific correlations showed a significant effect of hunting pressure on the ER across individual game species. Sampling within old-growth forest of Sian Ka'an yielded relatively high ER for almost all species. In comparison, low ER were obtained for several species at Sian Ka'an sites consisting of a higher proportion of open habitat. Landholding units showed low relative abundances, but species ER varied depending on disturbance type. The communally managed reserve exhibited high ER for both game and non-game species. Synthesis of these results with comparable data from 19 additional Mesoamerican sites shows that species-specific ER found across the Yucatan Peninsula are within the ranges observed elsewhere, with a consistent pattern of lower abundances in hunted sites. It is critical that private, communal and public-sector reserves are integrated into a coordinated management approach across the wider landscape in this biodiversity hotspot and throughout the Mesoamerican Biological Corridor.</t>
  </si>
  <si>
    <t>[Urquiza-Haas, T.] Comis Nacl Conocimiento &amp; Uso Biodiversidad, Direcc Anal &amp; Prioridades, Tlalpan 14010, DF, Mexico; [Urquiza-Haas, T.; Peres, C. A.; Dolman, P. M.] Univ E Anglia, Sch Environm Sci, Norwich NR4 7TJ, Norfolk, England</t>
  </si>
  <si>
    <t>University of East Anglia</t>
  </si>
  <si>
    <t>Urquiza-Haas, T (corresponding author), Comis Nacl Conocimiento &amp; Uso Biodiversidad, Direcc Anal &amp; Prioridades, Liga Perifer Insurgentes Sur 4903 Col,Parques Ped, Tlalpan 14010, DF, Mexico.</t>
  </si>
  <si>
    <t>turquiza@conabio.gob.mx</t>
  </si>
  <si>
    <t>Dolman, Paul/AAK-3914-2020; Peres, Carlos/B-1276-2013; Peres, Carlos/B-1276-2013</t>
  </si>
  <si>
    <t>Peres, Carlos/0000-0002-1588-8765; Dolman, Paul/0000-0002-9340-2791; Urquiza-Haas, Tania/0000-0002-7065-6326; Peres, Carlos/0000-0002-1588-8765</t>
  </si>
  <si>
    <t>Wildlife Conservation Society; CONACYT (Consejo Nacional de Ciencia y Tecnologia)</t>
  </si>
  <si>
    <t>Wildlife Conservation Society; CONACYT (Consejo Nacional de Ciencia y Tecnologia)(Consejo Nacional de Ciencia y Tecnologia (CONACyT))</t>
  </si>
  <si>
    <t>This work was supported by a grant from the Wildlife Conservation Society and a CONACYT (Consejo Nacional de Ciencia y Tecnologia) fellowship to T. U.-H. We are grateful to Alejandro Tuz, Arsenio Xool and Cosme Caamal for assistance in the field. T. U.-H is indebted to all Mayan communities from the study area for their help and hospitality and wants to thank Juan Carlos Faller, Cecilia Elizondo, David Lopez and her family for their continuing support. We are grateful to the editor and two anonymous referees for helpful comments.</t>
  </si>
  <si>
    <t>10.1111/j.1469-1795.2010.00426.x</t>
  </si>
  <si>
    <t>769TI</t>
  </si>
  <si>
    <t>WOS:000291040800011</t>
  </si>
  <si>
    <t>Rask, KJ; Rask, N</t>
  </si>
  <si>
    <t>Rask, Kolleen J.; Rask, Norman</t>
  </si>
  <si>
    <t>Economic development and food production-consumption balance: A growing global challenge</t>
  </si>
  <si>
    <t>FOOD POLICY</t>
  </si>
  <si>
    <t>Economic development; Food consumption; Agricultural self-sufficiency; Cereal equivalents</t>
  </si>
  <si>
    <t>Rising affluence in major developing countries (principally China and India) and increasing diversion of agricultural resources for energy production (USA and Brazil) sharply increase agricultural resource demand. Food consumption and production changes during development are analyzed using resource-based cereal-equivalent measures. Diet upgrades to livestock products require fivefold increases in per capita food resource use, reflecting a consistent pattern which is only marginally affected by land base. Food consumption increases exceed production during early development, leading to imports. Consumption eventually stabilizes at high incomes, but production falls short in land-scarce countries. Pork and poultry consumption increase the most; less efficient beef and dairy production command a majority of agricultural resources. (C) 2010 Elsevier Ltd. All rights reserved.</t>
  </si>
  <si>
    <t>[Rask, Kolleen J.] Coll Holy Cross, Dept Econ, Worcester, MA 01610 USA; [Rask, Norman] Ohio State Univ, Columbus, OH 43210 USA</t>
  </si>
  <si>
    <t>College of the Holy Cross; University System of Ohio; Ohio State University</t>
  </si>
  <si>
    <t>Rask, KJ (corresponding author), Coll Holy Cross, Dept Econ, Worcester, MA 01610 USA.</t>
  </si>
  <si>
    <t>krask@holycross.edu; Rask.1@osu.edu</t>
  </si>
  <si>
    <t>0306-9192</t>
  </si>
  <si>
    <t>1873-5657</t>
  </si>
  <si>
    <t>Food Policy</t>
  </si>
  <si>
    <t>10.1016/j.foodpol.2010.11.015</t>
  </si>
  <si>
    <t>Agricultural Economics &amp; Policy; Economics; Food Science &amp; Technology; Nutrition &amp; Dietetics</t>
  </si>
  <si>
    <t>Agriculture; Business &amp; Economics; Food Science &amp; Technology; Nutrition &amp; Dietetics</t>
  </si>
  <si>
    <t>747ST</t>
  </si>
  <si>
    <t>WOS:000289340500011</t>
  </si>
  <si>
    <t>Summerville, KS</t>
  </si>
  <si>
    <t>Summerville, Keith S.</t>
  </si>
  <si>
    <t>Managing the forest for more than the trees: effects of experimental timber harvest on forest Lepidoptera</t>
  </si>
  <si>
    <t>biodiversity; conservation; forest management; landscape; logging; moth; selective harvest; sustainable forestry</t>
  </si>
  <si>
    <t>SPECIES-DIVERSITY; FOLIAR PHENOLICS; LIFE-HISTORY; OAK; COMMUNITY; MANAGEMENT; RICHNESS; MOTH; HERBIVORES; INTENSITY</t>
  </si>
  <si>
    <t>Studies of the effects of timber harvest on forest insect communities have rarely considered how disturbance from a range of harvest levels interacts with temporal variation in species diversity to affect community resistance to change. Here I report the results of a landscape-scale, before-and-after, treatment-control experiment designed to test how communities of forest Lepidoptera experience (1) changes in species richness and composition and (2) shifts in species dominance one year after logging. I sampled Lepidoptera from 20 forest stands allocated to three harvest treatments (control, even-aged shelterwood or clearcuts, and uneven-aged group selection cuts) within three watersheds at Morgan-Monroe State Forest, Indiana, USA. Moths were sampled from all forest stands one year prior to harvest in 2007 and immediately post-harvest in 2009. Species composition was most significantly affected by temporal variation between years, although uneven-aged management also caused significant changes in lepidopteran community structure. Furthermore, species richness of Lepidoptera was higher in 2007 compared to 2009 across all watersheds and forest stands. The decrease in species richness between years, however, was much larger in even-aged and uneven-aged management units compared to the control. Furthermore, matrix stands within the even-aged management unit demonstrated the highest resistance to species loss within any management unit. Species dominance was highly resistant to effects of timber harvest, with pre- and post-harvest values for Simpson diversity nearly invariant. Counter to prediction, however, the suite of dominant taxa differed dramatically among the three management units post-harvest. My results suggest that temporal variation may have strong interactions with timber harvest, precipitating loss of nearly 50% species richness from managed stands regardless of harvest level. Even-aged management, however, appeared to leave the smallest footprint on moth communities. Timber harvest also created greater heterogeneity in species dominance among management units, suggesting that forest watersheds may diverge in post-harvest recovery transients relative to unlogged watersheds in Morgan-Monroe State Forest. Because moth communities appear to be highly sensitive to group-selection cuts, shelterwood cuts, and clearcuts, it will be important to retain unlogged concessions within management units to resist landscape-level loss of Lepidoptera.</t>
  </si>
  <si>
    <t>Drake Univ, Dept Environm Sci &amp; Policy, Des Moines, IA 50311 USA</t>
  </si>
  <si>
    <t>Drake University</t>
  </si>
  <si>
    <t>Summerville, KS (corresponding author), Drake Univ, Dept Environm Sci &amp; Policy, Des Moines, IA 50311 USA.</t>
  </si>
  <si>
    <t>Keith.Summerville@drake.edu</t>
  </si>
  <si>
    <t>Nature Conservancy; Indiana Chapter; Indiana Division of Forestry; Drake University; Hardwood Ecosystems Experiment team; Purdue University</t>
  </si>
  <si>
    <t>This project was funded by grants from The Nature Conservancy, Indiana Chapter, the Indiana Division of Forestry, and Drake University. I am indebted to C. Mycroft, R. Kalb, and J. Riegel for managing sample collection on the ground and for providing logistical support for all aspects of this study. S. Friesen and A. Hess contributed their time and energy to assisting with sample collection. J. Shuey, J. Seifert, T. Crist, B. Dolan, M. Saunders, and D. Vadas contributed their expertise on the ecology of oak-hickory forests in southern Indiana. J. Lane, B. Lang, and A. Archer assisted with sample sorting and specimen curation. R. Brown, E. Metzler, and G. Balogh assisted with specimen identification. This project would not have been possible without the support of the Hardwood Ecosystems Experiment team and Purdue University.</t>
  </si>
  <si>
    <t>10.1890/10-0715.1</t>
  </si>
  <si>
    <t>764VA</t>
  </si>
  <si>
    <t>WOS:000290661300014</t>
  </si>
  <si>
    <t>Tian, HQ; Melillo, J; Lu, CQ; Kicklighter, D; Liu, ML; Ren, W; Xu, XF; Chen, GS; Zhang, C; Pan, SF; Liu, JY; Running, S</t>
  </si>
  <si>
    <t>Tian, Hanqin; Melillo, Jerry; Lu, Chaoqun; Kicklighter, David; Liu, Mingliang; Ren, Wei; Xu, Xiaofeng; Chen, Guangsheng; Zhang, Chi; Pan, Shufen; Liu, Jiyuan; Running, Steven</t>
  </si>
  <si>
    <t>China's terrestrial carbon balance: Contributions from multiple global change factors</t>
  </si>
  <si>
    <t>GLOBAL BIOGEOCHEMICAL CYCLES</t>
  </si>
  <si>
    <t>NET PRIMARY PRODUCTION; LAND-USE HISTORY; CLIMATE-CHANGE; TEMPORAL PATTERNS; SOIL CARBON; NITROGEN INTERACTIONS; DIOXIDE EXCHANGE; OZONE POLLUTION; NORTH-AMERICA; ECOSYSTEMS</t>
  </si>
  <si>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</si>
  <si>
    <t>[Tian, Hanqin; Lu, Chaoqun; Liu, Mingliang; Ren, Wei; Xu, Xiaofeng; Chen, Guangsheng; Zhang, Chi; Pan, Shufen] Auburn Univ, Ecosyst Dynam &amp; Global Ecol Lab, Sch Forestry &amp; Wildlife Sci, Auburn, AL 36849 USA; [Tian, Hanqin; Lu, Chaoqun; Liu, Mingliang; Ren, Wei; Xu, Xiaofeng; Chen, Guangsheng; Zhang, Chi; Pan, Shufen] Auburn Univ, Int Ctr Climate &amp; Global Change Res, Auburn, AL 36849 USA; [Melillo, Jerry; Kicklighter, David] Marine Biol Lab, Ctr Ecosyst, Woods Hole, MA 02543 USA; [Liu, Jiyuan] Chinese Acad Sci, Inst Geog Sci &amp; Nat Resources Res, Beijing 100101, Peoples R China; [Running, Steven] Univ Montana, Coll Forestry &amp; Conservat, Missoula, MT 59812 USA</t>
  </si>
  <si>
    <t>Auburn University System; Auburn University; Auburn University System; Auburn University; Marine Biological Laboratory - Woods Hole; Chinese Academy of Sciences; Institute of Geographic Sciences &amp; Natural Resources Research, CAS; University of Montana System; University of Montana</t>
  </si>
  <si>
    <t>Tian, HQ (corresponding author), Auburn Univ, Ecosyst Dynam &amp; Global Ecol Lab, Sch Forestry &amp; Wildlife Sci, Auburn, AL 36849 USA.</t>
  </si>
  <si>
    <t>Tian, Hanqin/A-6484-2012; Pan, Shufen/JJC-1864-2023; Xu, Xiaofeng/B-2391-2008; Ren, Wei/G-8317-2016; Liu, Mingliang/B-1361-2009; Chen, Guangsheng/AAC-4462-2022; Lu, Chaoqun/HCH-9102-2022; Zhang, Chi/ABB-1176-2021</t>
  </si>
  <si>
    <t>Tian, Hanqin/0000-0002-1806-4091; Xu, Xiaofeng/0000-0002-6553-6514; 张, 弛/0000-0003-4866-1441; Liu, Mingliang/0000-0002-1963-5933; Lu, Chaoqun/0000-0002-1526-0513; Pan, Shufen/0000-0001-7920-1427;</t>
  </si>
  <si>
    <t>NASA [NNG04GM39C, NNX08AL73G_S01]; China's Ministry of Science and Technology (MOST) [2002CB412500]; Direct For Computer &amp; Info Scie &amp; Enginr; Div Of Information &amp; Intelligent Systems [1027955] Funding Source: National Science Foundation</t>
  </si>
  <si>
    <t>NASA(National Aeronautics &amp; Space Administration (NASA)); China's Ministry of Science and Technology (MOST)(Ministry of Science and Technology, China); Direct For Computer &amp; Info Scie &amp; Enginr; Div Of Information &amp; Intelligent Systems(National Science Foundation (NSF)NSF - Directorate for Computer &amp; Information Science &amp; Engineering (CISE)NSF - Division of Information &amp; Intelligent Systems (IIS))</t>
  </si>
  <si>
    <t>This study has been supported by NASA IDS Program (NNG04GM39C), NASA LCLUC Program (NNX08AL73G_S01), and China's Ministry of Science and Technology (MOST) 973 Program (2002CB412500). We thank Maosheng Zhao at the University of Montana for processing the MODIS NPP data, Pieter Tans and his team at NOAA Earth System Science Laboratory for approving us to use the CarbonTracker 2008 results for model evaluation, and three anonymous reviewers for helpful comments on an earlier draft of the manuscript.</t>
  </si>
  <si>
    <t>0886-6236</t>
  </si>
  <si>
    <t>1944-9224</t>
  </si>
  <si>
    <t>GLOBAL BIOGEOCHEM CY</t>
  </si>
  <si>
    <t>Glob. Biogeochem. Cycle</t>
  </si>
  <si>
    <t>MAR 31</t>
  </si>
  <si>
    <t>GB1007</t>
  </si>
  <si>
    <t>10.1029/2010GB003838</t>
  </si>
  <si>
    <t>Environmental Sciences; Geosciences, Multidisciplinary; Meteorology &amp; Atmospheric Sciences</t>
  </si>
  <si>
    <t>Environmental Sciences &amp; Ecology; Geology; Meteorology &amp; Atmospheric Sciences</t>
  </si>
  <si>
    <t>744HL</t>
  </si>
  <si>
    <t>WOS:000289085400001</t>
  </si>
  <si>
    <t>Lambin, EF; Meyfroidt, P</t>
  </si>
  <si>
    <t>Lambin, Eric F.; Meyfroidt, Patrick</t>
  </si>
  <si>
    <t>Global land use change, economic globalization, and the looming land scarcity</t>
  </si>
  <si>
    <t>land change; forest transition</t>
  </si>
  <si>
    <t>AGRICULTURAL INTENSIFICATION; FOOD SECURITY; SMALLHOLDER AGRICULTURE; FOREST TRANSITIONS; POPULATION GROWTH; PROTECTED AREAS; BILLION PEOPLE; UNITED-STATES; DEFORESTATION; CONSERVATION</t>
  </si>
  <si>
    <t>A central challenge for sustainability is how to preserve forest ecosystems and the services that they provide us while enhancing food production. This challenge for developing countries confronts the force of economic globalization, which seeks cropland that is shrinking in availability and triggers deforestation. Four mechanisms-the displacement, rebound, cascade, and remittance effects-that are amplified by economic globalization accelerate land conversion. A few developing countries have managed a land use transition over the recent decades that simultaneously increased their forest cover and agricultural production. These countries have relied on various mixes of agricultural intensification, land use zoning, forest protection, increased reliance on imported food and wood products, the creation of off-farm jobs, foreign capital investments, and remittances. Sound policies and innovations can therefore reconcile forest preservation with food production. Globalization can be harnessed to increase land use efficiency rather than leading to uncontrolled land use expansion. To do so, land systems should be understood and modeled as open systems with large flows of goods, people, and capital that connect local land use with global-scale factors.</t>
  </si>
  <si>
    <t>[Lambin, Eric F.] Stanford Univ, Sch Earth Sci, Stanford, CA 94305 USA; [Lambin, Eric F.] Stanford Univ, Woods Inst, Stanford, CA 94305 USA; [Lambin, Eric F.; Meyfroidt, Patrick] Univ Louvain, Earth &amp; Life Inst, Georges Lemaitre Ctr Earth &amp; Climate Res, B-1348 Louvain, Belgium</t>
  </si>
  <si>
    <t>Stanford University; Stanford University</t>
  </si>
  <si>
    <t>Lambin, EF (corresponding author), Stanford Univ, Sch Earth Sci, Stanford, CA 94305 USA.</t>
  </si>
  <si>
    <t>elambin@stanford.edu</t>
  </si>
  <si>
    <t>; Meyfroidt, Patrick/G-7768-2012</t>
  </si>
  <si>
    <t>Lambin, Eric/0000-0002-0673-5257; Meyfroidt, Patrick/0000-0002-1047-9794</t>
  </si>
  <si>
    <t>European Union [226310]</t>
  </si>
  <si>
    <t>European Union(European Union (EU))</t>
  </si>
  <si>
    <t>We thank B. L. Turner II, A. Angelsen, F. S. Chapin III, H. Gibbs, and N. Ramankutty for their useful comments. This research was partially funded by the European Union FP 7 Grant 226310 Reducing Emissions from Deforestation and Degradation through Alternative Landuses in Rainforests of the Tropics.</t>
  </si>
  <si>
    <t>MAR 1</t>
  </si>
  <si>
    <t>10.1073/pnas.1100480108</t>
  </si>
  <si>
    <t>728AD</t>
  </si>
  <si>
    <t>WOS:000287844400010</t>
  </si>
  <si>
    <t>Remis, MJ; Kpanou, JB</t>
  </si>
  <si>
    <t>Remis, Melissa J.; Kpanou, Jean Bosco</t>
  </si>
  <si>
    <t>Primate and ungulate abundance in response to multi-use zoning and human extractive activities in a Central African Reserve</t>
  </si>
  <si>
    <t>Congo Basin; conservation; elephants; gorillas; hunting</t>
  </si>
  <si>
    <t>GORILLA-GORILLA-GORILLA; INTEGRATED CONSERVATION; WILDLIFE POPULATIONS; TROPICAL FORESTS; NATIONAL-PARK; BUSHMEAT; IMPACTS; MAMMALS; WEST; COMMUNITIES</t>
  </si>
  <si>
    <t>This study examines the abundance of key mammal species at the Dzanga-Sangha Reserve (RDS) in the Central African Republic with respect to conservation zoning and human activities in the reserve. RDS has been funded as an integrated conservation and development project since the mid-1980s. This study illustrates distinct wildlife responses to logging and hunting in RDS sectors that vary in protection and enforcement levels and the erosion of some critical animal communities across the RDS in the face of challenges of increasing human populations and flows of arms and ammunitions there. Our results show elephants (Loxodonta africana cyclotis) to be appreciably absent close to human settlements, and increasingly vulnerable to hunting in the more integrally protected sectors far from town. We have found that duikers (Cephalophus sp.) and western lowland gorillas (Gorilla g. gorilla) make use of recently logged areas but are vulnerable to hunting there. These species are now most abundant farthest from human settlements. Our results have implications for the formulation of adaptive management plans that would benefit from the inclusion of nuanced understandings of site-specific and species-specific responses to microhabitats and the particular kinds of human extractive activities and challenges in the region.Resume Cette etude examine l'abondance d'especes cles de mammiferes dans la Reserve de Dzanga-Sangha (RDS), en Republique centrafricaine, en fonction du zonage de la conservation et des activites humaines dans la reserve. La RDS est financee comme un projet de conservation et de developpement integre (PCDI) depuis le milieu des annees 1980. Cette etude illustre diverses reponses de la faune sauvage aux coupes d'arbres et a la chasse dans des secteurs de la RDS ou le niveau de protection et de maintien de la loi varie, ainsi que l'erosion de certaines communautes animales critiques dans toute la RDS face aux defis que representent l'augmentation des populations humaines et l'afflux d'armes et de munitions. Nos resultats montrent que l'elephant (Loxodonta africana cyclotis) est significativement absent a proximite des installations humaines, et de plus en plus vulnerable a la chasse dans les secteurs mieux proteges loin des localites. Nous avons decouvert que les cephalophes (Cephalophus sp.) et les gorilles des plaines de l'Ouest (Gorilla g. gorilla) frequentent les zones fraichement exploitees mais qu'ils y sont vulnerables a la chasse. Ces especes sont desormais plus abondantes loin des installations humaines. Nos resultats ont des implications pour la conception de plans de gestion adaptative, qui auraient tout a gagner a inclure apprehension nuancee des reponses specifiques des especes et des sites aux conditions de microhabitats et aux types particuliers d'activites extractives humaines et de defis dans la region.</t>
  </si>
  <si>
    <t>[Remis, Melissa J.] Purdue Univ, Dept Anthropol, W Lafayette, IN 47907 USA; [Kpanou, Jean Bosco] World Wildlife Fund, Bangui, Cent Afr Republ</t>
  </si>
  <si>
    <t>Purdue University System; Purdue University</t>
  </si>
  <si>
    <t>Remis, MJ (corresponding author), Purdue Univ, Dept Anthropol, W Lafayette, IN 47907 USA.</t>
  </si>
  <si>
    <t>remis@purdue.edu</t>
  </si>
  <si>
    <t>National Geographic Society [7873-05]; Purdue University</t>
  </si>
  <si>
    <t>National Geographic Society(National Geographic Society); Purdue University</t>
  </si>
  <si>
    <t>We thank RDS and CAR government for permission and B. Bokoto for support. K. Otto and trackers assisted in data collection. National Geographic Society (7873-05) and Purdue University provided funding.</t>
  </si>
  <si>
    <t>10.1111/j.1365-2028.2010.01229.x</t>
  </si>
  <si>
    <t>718BG</t>
  </si>
  <si>
    <t>WOS:000287094000009</t>
  </si>
  <si>
    <t>Hegerl, G; Luterbacher, J; González-Rouco, F; Tett, SFB; Crowley, T; Xoplaki, E</t>
  </si>
  <si>
    <t>Hegerl, Gabriele; Luterbacher, Juerg; Gonzalez-Rouco, Fidel; Tett, Simon F. B.; Crowley, Thomas; Xoplaki, Elena</t>
  </si>
  <si>
    <t>Influence of human and natural forcing on European seasonal temperatures</t>
  </si>
  <si>
    <t>NATURE GEOSCIENCE</t>
  </si>
  <si>
    <t>CLIMATE-CHANGE; SOLAR; VARIABILITY; RECONSTRUCTIONS; SIMULATIONS; MILLENNIUM; ORIGINS; MODEL</t>
  </si>
  <si>
    <t>It is the regional and seasonal expression of climate change that determines the effect of greenhouse warming on ecosystems and society(1). Whereas anthropogenic influences on European temperatures have been detected over the twentieth century(2,3), it has been suggested that the impact of external influences on European temperatures before 1900 is negligible(4). Here we use reconstructions of seasonal European land temperature(5,6) and simulations with three global climate models(7-9) to show that external influences on climate-such as the concentrations of stratospheric volcanic aerosols or greenhouse gases, other anthropogenic effects and possibly changes in total solar irradiance-have had a discernible influence on European temperatures throughout the past five centuries. In particular, we find that external forcing contributes significantly (p &lt; 5%) to the reconstructed long-term variability of winter and spring temperatures and that it is responsible for a best guess of 75% of the observed winter warming since the late seventeenth century. This warming is largely attributable to greenhouse-gas forcing. Summer temperatures show detectable (p &lt; 5%) interdecadal variations in response to external forcing before 1900 only. Finally, throughout the record we detect highly significant summer cooling and significant winter warming following volcanic eruptions.</t>
  </si>
  <si>
    <t>[Hegerl, Gabriele; Tett, Simon F. B.; Crowley, Thomas] Univ Edinburgh, Sch Geosci, Edinburgh EH9 3JW, Midlothian, Scotland; [Luterbacher, Juerg] Univ Giessen, Dept Geog, D-35390 Giessen, Germany; [Gonzalez-Rouco, Fidel] Univ Complutense Madrid, E-28040 Madrid, Spain; [Xoplaki, Elena] Univ Bern, Inst Geog, CH-3012 Bern, Switzerland; [Xoplaki, Elena] Univ Bern, Oeschger Ctr Climate Change Res, CH-3012 Bern, Switzerland</t>
  </si>
  <si>
    <t>University of Edinburgh; Justus Liebig University Giessen; Complutense University of Madrid; University of Bern; University of Bern</t>
  </si>
  <si>
    <t>Hegerl, G (corresponding author), Univ Edinburgh, Sch Geosci, W Mains Rd, Edinburgh EH9 3JW, Midlothian, Scotland.</t>
  </si>
  <si>
    <t>gabi.hegerl@ed.ac.uk</t>
  </si>
  <si>
    <t>; Hegerl, Gabi/ACX-5813-2022; González-Rouco, Jesús Fidel/B-1761-2012; Luterbacher, Juerg/H-2408-2018; Tett, Simon/B-1504-2013; Xoplaki, Elena/AAF-1901-2020</t>
  </si>
  <si>
    <t>Hegerl, Gabriele/0000-0002-4159-1295; Luterbacher, Juerg/0000-0002-8569-0973; González-Rouco, Jesús Fidel/0000-0001-7090-6797; Tett, Simon/0000-0001-7526-560X; Xoplaki, Elena/0000-0002-2745-2467</t>
  </si>
  <si>
    <t>NSF [ATM-0296007]; NERC [NE/G019819/1]; NCAS; EU/FP6 [NO036961]; EU/FP7 [NO212250]; DFG; NERC [NE/G019819/1] Funding Source: UKRI; Natural Environment Research Council [ncas10009, NE/G019819/1] Funding Source: researchfish</t>
  </si>
  <si>
    <t>NSF(National Science Foundation (NSF)); NERC(UK Research &amp; Innovation (UKRI)Natural Environment Research Council (NERC)); NCAS; EU/FP6(European Union (EU)); EU/FP7(European Union (EU)); DFG(German Research Foundation (DFG)); NERC(UK Research &amp; Innovation (UKRI)Natural Environment Research Council (NERC)); Natural Environment Research Council(UK Research &amp; Innovation (UKRI)Natural Environment Research Council (NERC))</t>
  </si>
  <si>
    <t>We thank E. Zorita and C. Ammann for help with data from the ECHO-G and CCSM models. We thank A. Schurer, A. Bozzo and M. Kuttel for comments and discussion and three anonymous reviewers for their constructive comments. The publication was supported by NSF grant ATM-0296007, NERC grant NE/G019819/1 and NCAS. E.X. and J.L. acknowledge support by the EU/FP6 integrated project CIRCE (NO036961) and from the EU/FP7 project ACQWA (NO212250). J. L. also acknowledges support from the DFG Projects PRIME ('Precipitation in the past millennium in Europe') within the Priority Programme 'INTERDYNAMIK' and 'Historical climatology of the Middle East based on Arabic sources back to AD 800'.</t>
  </si>
  <si>
    <t>75 VARICK ST, 9TH FLR, NEW YORK, NY 10013-1917 USA</t>
  </si>
  <si>
    <t>1752-0894</t>
  </si>
  <si>
    <t>1752-0908</t>
  </si>
  <si>
    <t>NAT GEOSCI</t>
  </si>
  <si>
    <t>Nat. Geosci.</t>
  </si>
  <si>
    <t>10.1038/NGEO1057</t>
  </si>
  <si>
    <t>713GN</t>
  </si>
  <si>
    <t>WOS:000286723300014</t>
  </si>
  <si>
    <t>Linder, JM; Oates, JF</t>
  </si>
  <si>
    <t>Linder, Joshua M.; Oates, John F.</t>
  </si>
  <si>
    <t>Differential impact of bushmeat hunting on monkey species and implications for primate conservation in Korup National Park, Cameroon</t>
  </si>
  <si>
    <t>Bushmeat hunting; Differential vulnerability; Competitive release; Korup National Park</t>
  </si>
  <si>
    <t>MBARACAYU RESERVE; AMAZONIAN FORESTS; BIOKO ISLAND; RAIN-FOREST; ABUNDANCE; HABITAT; BIOMASS; EXPLOITATION; EXTINCTION; DENSITIES</t>
  </si>
  <si>
    <t>Bushmeat hunting is one of the primary threats to many large-bodied vertebrate species in African forests. However, species vary in their degree of vulnerability to hunting. We investigated the impact of hunting on monkey species in Cameroon's Korup National Park (KNP) and examined how vulnerability to hunting varies among species. Data on primate abundance and hunting intensity were collected along 10 line transects, distributed across three survey areas in KNP. We assessed how the relative abundance of seven monkey species spatially varied between heavily and lightly hunted areas and evaluated temporal changes in the relative abundance and proportional representation of these species at a single hunted forest site and in bushmeat harvests. The putty-nosed and mona monkeys are most tolerant to heavy hunting pressure whereas the crowned monkey, drill, and red colobus are among the most vulnerable. At our heavily hunted survey site, the overall relative density of monkey groups increased through time but primate species richness declined. The proportional representation of Cercopithecus species, especially putty-nosed monkeys, increased through time, possibly due to competitive release. We also observed an increase in the proportional representation of the putty-nosed and mona monkeys and a reduced percent contribution of the red colobus and drill in hunter harvests. We conclude that hunting is driving some of Africa's most threatened primate species (e.g.. Preuss's red colobus and the drill) to local extinction in KNP. We discuss intrinsic factors of species that might influence their degree of vulnerability and strategies to improve protection efforts in KNP. (C) 2010 Elsevier Ltd. All rights reserved.</t>
  </si>
  <si>
    <t>[Linder, Joshua M.] James Madison Univ, Dept Sociol &amp; Anthropol, Harrisonburg, VA 22807 USA; [Oates, John F.] CUNY Hunter Coll, Dept Anthropol, New York, NY 10065 USA; [Oates, John F.] Oxford Brookes Univ, Dept Geog &amp; Anthropol, Oxford OX3 0BP, England</t>
  </si>
  <si>
    <t>James Madison University; City University of New York (CUNY) System; Hunter College (CUNY); Oxford Brookes University</t>
  </si>
  <si>
    <t>Linder, JM (corresponding author), James Madison Univ, Dept Sociol &amp; Anthropol, MSC 7501, Harrisonburg, VA 22807 USA.</t>
  </si>
  <si>
    <t>linderjm@jmu.edu</t>
  </si>
  <si>
    <t>Wildlife Conservation Society; Center for Tropical Forest Science of the Smithsonian Tropical Research Institute; Conservation International Primate Action Fund; Primate Conservation, Inc.; American Society of Primatologists; Gorilla Foundation; New York Consortium in Evolutionary Primatology; Government of Cameroon; Institutional Animal Use and Care Committee of Hunter College; Institutional Review Board of CUNY for human participants</t>
  </si>
  <si>
    <t>This project was funded by the Wildlife Conservation Society Research Fellowship Program, Center for Tropical Forest Science of the Smithsonian Tropical Research Institute, Conservation International Primate Action Fund, Primate Conservation, Inc., American Society of Primatologists, The Gorilla Foundation's Wildlife Protectors Fund, and the New York Consortium in Evolutionary Primatology. We thank our field personnel in Cameroon, especially David Okon. We also thank those people who contributed data to this study and Dr. Richard Lawler for assistance with statistical analyses and helpful suggestions. All research was approved by the Government of Cameroon, the Institutional Animal Use and Care Committee of Hunter College, and the Institutional Review Board of CUNY for human participants.</t>
  </si>
  <si>
    <t>10.1016/j.biocon.2010.10.023</t>
  </si>
  <si>
    <t>728TJ</t>
  </si>
  <si>
    <t>WOS:000287897100013</t>
  </si>
  <si>
    <t>Bond, N; Thomson, J; Reich, P; Stein, J</t>
  </si>
  <si>
    <t>Bond, Nick; Thomson, Jim; Reich, Paul; Stein, Janet</t>
  </si>
  <si>
    <t>Using species distribution models to infer potential climate change-induced range shifts of freshwater fish in south-eastern Australia</t>
  </si>
  <si>
    <t>MARINE AND FRESHWATER RESEARCH</t>
  </si>
  <si>
    <t>bioclimatic model; conservation planning; environmental filters; hydrology; prediction; validation</t>
  </si>
  <si>
    <t>ASSEMBLAGE STRUCTURE; FLOW REGIME; IMPACTS; HABITAT; VALIDATION; RIVERS; CLASSIFICATION; COMMUNITIES; ECOSYSTEMS; STREAMS</t>
  </si>
  <si>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</si>
  <si>
    <t>[Bond, Nick; Thomson, Jim; Reich, Paul] Monash Univ, Sch Biol Sci, Clayton, Vic 3800, Australia; [Bond, Nick] Monash Univ, EWater Cooperat Res Ctr, Clayton, Vic 3800, Australia; [Stein, Janet] Australian Natl Univ, Fenner Sch Environm &amp; Soc, Canberra, ACT 0200, Australia</t>
  </si>
  <si>
    <t>Monash University; Monash University; Australian National University</t>
  </si>
  <si>
    <t>Bond, N (corresponding author), Griffith Univ, Australian Rivers Inst, Nathan, Qld 4111, Australia.</t>
  </si>
  <si>
    <t>n.bond@griffith.edu.au</t>
  </si>
  <si>
    <t>Bond, Nick/A-1129-2016; Reich, Paul/D-4321-2013; Bond, Nick/A-1129-2016</t>
  </si>
  <si>
    <t>Bond, Nick/0000-0003-4294-6008; Reich, Paul/0000-0003-1192-5909; Bond, Nick/0000-0003-4294-6008; Stein, Janet/0000-0002-0475-0410</t>
  </si>
  <si>
    <t>Victorian Department of Sustainability and Environment</t>
  </si>
  <si>
    <t>We thank John Koehn for organising the special issue and providing useful feedback on the manuscript. The work was funded by the Victorian Department of Sustainability and Environment, and Sam Marwood provided valuable guidance and project management. Mark Kennard, Bill Young, Francis Chiew, Rory Nathan John Koehn, Andrew Boulton and an anonymous reviewer variously provided valuable contributions in the form of data, and comments on the project and manuscript. Thanks also go to Darren Twiggy Giling for his efforts in bringing together the various datasets.</t>
  </si>
  <si>
    <t>CSIRO PUBLISHING</t>
  </si>
  <si>
    <t>CLAYTON</t>
  </si>
  <si>
    <t>UNIPARK, BLDG 1, LEVEL 1, 195 WELLINGTON RD, LOCKED BAG 10, CLAYTON, VIC 3168, AUSTRALIA</t>
  </si>
  <si>
    <t>1323-1650</t>
  </si>
  <si>
    <t>1448-6059</t>
  </si>
  <si>
    <t>MAR FRESHWATER RES</t>
  </si>
  <si>
    <t>Mar. Freshw. Res.</t>
  </si>
  <si>
    <t>10.1071/MF10286</t>
  </si>
  <si>
    <t>Fisheries; Limnology; Marine &amp; Freshwater Biology; Oceanography</t>
  </si>
  <si>
    <t>822XM</t>
  </si>
  <si>
    <t>WOS:000295083900006</t>
  </si>
  <si>
    <t>Hamer, HH; Malzahn, AM; Boersma, M</t>
  </si>
  <si>
    <t>Hamer, Henrike H.; Malzahn, Arne M.; Boersma, Maarten</t>
  </si>
  <si>
    <t>The invasive ctenophore Mnemiopsis leidyi: a threat to fish recruitment in the North Sea?</t>
  </si>
  <si>
    <t>JOURNAL OF PLANKTON RESEARCH</t>
  </si>
  <si>
    <t>invasive species; gelatinous plankton; jellyfish; fish eggs; predation; abundance; stable isotopes</t>
  </si>
  <si>
    <t>BLACK-SEA; RECONSIDERING EVIDENCE; PELAGIC CNIDARIANS; LOBATE CTENOPHORE; PREY SELECTION; FEEDING RATES; PREDATION; ABUNDANCE; BAY; SCYPHOMEDUSAE</t>
  </si>
  <si>
    <t>The invasive ctenophore Mnemiopsis leidyi has a strong reputation as a threat to fish stocks. Apart from competitive relationships between M. leidyi and fish larvae, direct predation by the ctenophore on both eggs and larvae is considered an important factor linking ctenophore and fish populations. We therefore estimated abundances of both the ctenophore and its potential prey in the spring of 2008. No significant correlations were detected between ctenophore numbers and the abundance of fish eggs. We further carried out stable isotope analyses to investigate the trophic position of M. leidyi. Carbon and nitrogen stable isotope signatures of three potential prey groups (fish eggs, small plankton and larger plankton) showed that M. leidyi primarily feeds on plankton, while fish eggs are of minor importance. Mnemiopsis leidyi was located roughly one trophic level above the indigenous ctenophore Bolinopsis infundibulum, whereas its trophic position was more similar to another native ctenophore, Pleurobrachia pileus. A feeding selection experiment, with fish eggs and copepods offered in the same proportion, corroborated these findings. Mnemiopsis leidyi ingested significantly more copepods; feeding on fish eggs was not significantly different from zero. Based on these experiments, we conclude that in the North Sea, M. leidyi has no serious potential as a direct predator of fish eggs, but individuals of this species might compete for food with larval fish as well as with the native ctenophore P. pileus.</t>
  </si>
  <si>
    <t>[Hamer, Henrike H.; Malzahn, Arne M.; Boersma, Maarten] Alfred Wegener Inst Polar &amp; Marine Res, Biol Stn Helgoland, D-27483 Helgoland, Germany; [Malzahn, Arne M.] GKSS Forschungszentrum Geesthacht GmbH, Inst Coastal Res, D-21502 Geesthacht, Germany</t>
  </si>
  <si>
    <t>Helmholtz Association; Alfred Wegener Institute, Helmholtz Centre for Polar &amp; Marine Research; Helmholtz Association; Helmholtz-Zentrum Hereon</t>
  </si>
  <si>
    <t>Boersma, M (corresponding author), Alfred Wegener Inst Polar &amp; Marine Res, Biol Stn Helgoland, Ostkaje 1118, D-27483 Helgoland, Germany.</t>
  </si>
  <si>
    <t>maarten.boersma@awi.de</t>
  </si>
  <si>
    <t>Malzahn, Arne/C-5851-2013; Boersma, Maarten/A-5475-2013</t>
  </si>
  <si>
    <t>Malzahn, Arne/0000-0002-2027-0804; Boersma, Maarten/0000-0003-1010-026X</t>
  </si>
  <si>
    <t>German Science Foundation [DFG AB 289/2-1]</t>
  </si>
  <si>
    <t>German Science Foundation(German Research Foundation (DFG))</t>
  </si>
  <si>
    <t>This study was partly financed by German Science Foundation (DFG AB 289/2-1). This study is part of the AWI Food Web project.</t>
  </si>
  <si>
    <t>0142-7873</t>
  </si>
  <si>
    <t>1464-3774</t>
  </si>
  <si>
    <t>J PLANKTON RES</t>
  </si>
  <si>
    <t>J. Plankton Res.</t>
  </si>
  <si>
    <t>10.1093/plankt/fbq100</t>
  </si>
  <si>
    <t>689SG</t>
  </si>
  <si>
    <t>WOS:000284948600011</t>
  </si>
  <si>
    <t>Last, PR; White, WT; Gledhill, DC; Hobday, AJ; Brown, R; Edgar, GJ; Pecl, G</t>
  </si>
  <si>
    <t>Last, Peter R.; White, William T.; Gledhill, Daniel C.; Hobday, Alistair J.; Brown, Rebecca; Edgar, Graham J.; Pecl, Gretta</t>
  </si>
  <si>
    <t>Long-term shifts in abundance and distribution of a temperate fish fauna: a response to climate change and fishing practices</t>
  </si>
  <si>
    <t>Climate change; fishing; south-eastern Australia; spatial shift; Tasmania; temperate fishes; temporal shift</t>
  </si>
  <si>
    <t>BENTHIC COMMUNITIES; MARINE FISHES; REEF FISHES; AUSTRALIA; ECOSYSTEMS; BRACHIONICHTHYIDAE; LOPHIIFORMES; DYNAMICS; PLANTS; CATCH</t>
  </si>
  <si>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</si>
  <si>
    <t>[Last, Peter R.; White, William T.; Gledhill, Daniel C.; Hobday, Alistair J.] CSIRO Marine &amp; Atmospher Res, Climate Adaptat Flagship, Hobart, Tas 7001, Australia; [Last, Peter R.; White, William T.; Gledhill, Daniel C.; Hobday, Alistair J.] CSIRO Marine &amp; Atmospher Res, Wealth Oceans Flagship, Hobart, Tas 7001, Australia; [Brown, Rebecca; Edgar, Graham J.; Pecl, Gretta] Tasmanian Aquaculture &amp; Fisheries Inst, Hobart, Tas 7001, Australia</t>
  </si>
  <si>
    <t>Commonwealth Scientific &amp; Industrial Research Organisation (CSIRO); Commonwealth Scientific &amp; Industrial Research Organisation (CSIRO); University of Tasmania</t>
  </si>
  <si>
    <t>Last, PR (corresponding author), CSIRO Marine &amp; Atmospher Res, Climate Adaptat Flagship, GPO Box 1538, Hobart, Tas 7001, Australia.</t>
  </si>
  <si>
    <t>peter.last@csiro.au</t>
  </si>
  <si>
    <t>White, William/B-9748-2009; Pecl, Gretta/D-7267-2011; Edgar, Graham/C-8341-2013; Hobday, Alistair/A-1460-2012; Last, Peter/B-9740-2009; Edgar, Graham/AAY-3797-2020</t>
  </si>
  <si>
    <t>White, William/0000-0001-9705-2453; Pecl, Gretta/0000-0003-0192-4339; Edgar, Graham/0000-0003-0833-9001;</t>
  </si>
  <si>
    <t>10.1111/j.1466-8238.2010.00575.x</t>
  </si>
  <si>
    <t>691VP</t>
  </si>
  <si>
    <t>WOS:000285109200005</t>
  </si>
  <si>
    <t>Perry, JJ; Kutt, AS; Garnett, ST; Crowley, GM; Vanderduys, EP; Perkins, GC</t>
  </si>
  <si>
    <t>Perry, J. J.; Kutt, A. S.; Garnett, S. T.; Crowley, G. M.; Vanderduys, E. P.; Perkins, G. C.</t>
  </si>
  <si>
    <t>Changes in the avifauna of Cape York Peninsula over a period of 9 years: the relative effects of fire, vegetation type and climate</t>
  </si>
  <si>
    <t>EMU-AUSTRAL ORNITHOLOGY</t>
  </si>
  <si>
    <t>conservation; fire frequency; MAXENT; niche modelling; northern Australia; species richness; temporal variation</t>
  </si>
  <si>
    <t>TROPICAL SAVANNA WOODLAND; NEOCHMIA-RUFICAUDA; BIRD ASSEMBLAGES; STAR FINCH; AUSTRALIA; PATTERNS; MIGRATION; IMPACT; LANDSCAPES; DECLINE</t>
  </si>
  <si>
    <t>An essential component of conservation science is repeated surveys over time to monitor species that might be responding to local factors, such as land management, or more broadly to global change. A systematic survey of the avifauna of Cape York Peninsula was conducted in the late 1990s and early 2000s providing an ideal basal dataset for measuring change in the avifauna. A subset (n&gt;600) of these sites, primarily within savanna landscapes, was selected for re-survey in 2008 to investigate changes in bird communities on Cape York Peninsula. Changes in mean species richness varied across the study area (decreases in 59 grid cells and increases in 43) with no apparent pattern. Significant change in reporting rates was recorded in 30 species. Four sedentary and highly detectable species declined (Bar-shouldered Dove, Brown Treecreeper, Sulphur-crested Cockatoo and Pale-headed Rosella) and five increased (Peaceful Dove, Pheasant Coucal, Weebill, White-throated Honeyeater and Yellow Oriole). Habitat preference for the species that showed change remained relatively stable between the two survey periods. Some species that were recorded in very low numbers in the original survey and are considered to be threatened (Brown Treecreeper, Black-faced Woodswallow) remained in very low numbers or decreased in our survey suggesting that there has been no regional recovery of these species. Long-term monitoring can describe important patterns of species change over time, though in the case of large, highly seasonal environments like the tropical savannas, signals of change may manifest over decades rather than annually.</t>
  </si>
  <si>
    <t>[Perry, J. J.; Kutt, A. S.; Vanderduys, E. P.; Perkins, G. C.] CSIRO Ecosyst Sci, Aitkenvale, Qld 4814, Australia; [Garnett, S. T.; Crowley, G. M.] Charles Darwin Univ, Casuarina, NT 0810, Australia</t>
  </si>
  <si>
    <t>Commonwealth Scientific &amp; Industrial Research Organisation (CSIRO); Charles Darwin University</t>
  </si>
  <si>
    <t>Perry, JJ (corresponding author), CSIRO Ecosyst Sci, ATSIP Bldg,PMB PO, Aitkenvale, Qld 4814, Australia.</t>
  </si>
  <si>
    <t>justin.perry@csiro.au</t>
  </si>
  <si>
    <t>Garnett, Stephen/M-3877-2013; Vanderduys, Eric/AAI-6259-2021; Crowley, Gabriel/GNP-5984-2022; Perry, Justin/AAX-4932-2020; Kutt, Alex/B-2020-2008; Perry, Justin/F-7740-2011; Perkins, Genevieve/D-3338-2011; Crowley, Gabriel M/GNP-5984-2022</t>
  </si>
  <si>
    <t>Garnett, Stephen/0000-0002-0724-7060; Kutt, Alexander Sulev/0000-0001-9679-2206; Perry, Justin/0000-0002-5823-7364; Crowley, Gabriel M/0000-0002-6171-3026</t>
  </si>
  <si>
    <t>Australian Government Natural Heritage Trust through Cape York Peninsula Sustainable Futures</t>
  </si>
  <si>
    <t>Australian Government Natural Heritage Trust through Cape York Peninsula Sustainable Futures(Australian Government)</t>
  </si>
  <si>
    <t>This project was funded by the Australian Government Natural Heritage Trust through Cape York Peninsula Sustainable Futures. This survey would not have been possible without the expertise of the following staff and volunteers in field data collection: Nick Colman (CSIRO Ecosystem Sciences), George Madani, Damien Farine (CSIRO Ecosystem Sciences), and April Reside (CSIRO Ecosystem Sciences), Inka Veltheim, Kath Shurcliffe, Dave Houghton and Lyle Greene (Birds Australia volunteers). Special thanks to Niilo Gobius from Cape York Peninsula Sustainable Futures for fantastic logistical, planning and GIS support. We thank two anonymous referees for their valuable comments on the original manuscript. Thanks to all of the Cape York Peninsula properties and land managers that allowed us access to their land and gave us advice on local wildlife, and in particular the traditional owners and rangers at Pormpuraaw, Kulla, Lama Lama, Mungkan Kandju, Aurukun and Injinoo. Also, many thanks to Jeremy VanDerWal and Stephen Phillips for providing invaluable advice and technical assistance on species distribution modelling. The first survey was undertaken by numerous volunteers from Birds Australia. The random points were created by H. Mills of the Queensland Government in consultation with one of the authors (S. T. Garnett), Graham Harrington and Alastair Freeman.</t>
  </si>
  <si>
    <t>TAYLOR &amp; FRANCIS AUSTRALIA</t>
  </si>
  <si>
    <t>MELBOURNE</t>
  </si>
  <si>
    <t>LEVEL 2, 11 QUEENS RD, MELBOURNE, VIC 3004, AUSTRALIA</t>
  </si>
  <si>
    <t>0158-4197</t>
  </si>
  <si>
    <t>1448-5540</t>
  </si>
  <si>
    <t>EMU</t>
  </si>
  <si>
    <t>Emu</t>
  </si>
  <si>
    <t>10.1071/MU10009</t>
  </si>
  <si>
    <t>769RM</t>
  </si>
  <si>
    <t>WOS:000291035900004</t>
  </si>
  <si>
    <t>Schon, NL; Mackay, AD; Gray, RAJ; Minor, MA</t>
  </si>
  <si>
    <t>Schon, N. L.; Mackay, A. D.; Gray, R. A. J.; Minor, M. A.</t>
  </si>
  <si>
    <t>Influence of phosphorus inputs and sheep treading on soil macrofauna and mesofauna in hill pastures</t>
  </si>
  <si>
    <t>NEW ZEALAND JOURNAL OF AGRICULTURAL RESEARCH</t>
  </si>
  <si>
    <t>pastures; earthworm; mesofauna; oribatid; food availability; treading pressure</t>
  </si>
  <si>
    <t>GRUB COSTELYTRA-ZEALANDICA; GRASS PRODUCTION; PORE-SPACE; DIVERSITY; COUNTRY; FAUNA; POPULATIONS; COLEOPTERA; EARTHWORM; INTENSITY</t>
  </si>
  <si>
    <t>Earthworm abundance increased and Oribatida abundance decreased on a Brown soil with increasing inputs of phosphorus (P) fertiliser and sheep stocking rates. To determine if the same response to increasing management intensity is found in Allophanic soil, samples were collected from a long-term sheep-grazed trial with two contrasting management regimes, low and high intensity. As pastures on the Allophanic soil became more productive and were grazed with more sheep, there was a tendency for earthworm abundance to increase and oribatid abundance to decrease. Both these trends were consistent with those on the Brown soil, supporting the potential of earthworms and Oribatida as biological indicators. Oribatid mites, which produce nutrient rich faecal pellets, were positively correlated with porosity. The higher earthworm abundances in more intensive sheep grazed pastures may have a positive influence on ecosystem services such as air and water movement, and organic matter incorporation.</t>
  </si>
  <si>
    <t>[Schon, N. L.; Minor, M. A.] Massey Univ, Inst Nat Resources, Palmerston North, New Zealand; [Mackay, A. D.; Gray, R. A. J.] AgRes Grasslands, Palmerston North, New Zealand</t>
  </si>
  <si>
    <t>Massey University; AgResearch - New Zealand</t>
  </si>
  <si>
    <t>Schon, NL (corresponding author), AgRes Lincoln, Christchurch, New Zealand.</t>
  </si>
  <si>
    <t>nicole.schon@agresearch.co.nz</t>
  </si>
  <si>
    <t>; Schon, Nicole/E-5828-2011</t>
  </si>
  <si>
    <t>Schon, Nicole/0000-0002-8975-1382; Mackay, Alec/0000-0001-9006-3918;</t>
  </si>
  <si>
    <t>FRST [CO2XO405]; AGMARDT Doctoral Scholarship</t>
  </si>
  <si>
    <t>FRST(New Zealand Foundation for Research, Science and Technology); AGMARDT Doctoral Scholarship</t>
  </si>
  <si>
    <t>We thank GW Yeates for his extensive and altruistic supervision. We thank MJ Hedley for comments on the manuscript. We wish to thank I Power (AgResearch) and S Lambie (Landcare Research) for valuable technical assistance. S Cattle gave guidance on the method for porosity assessment. The project was funded by the FRST contract CO2XO405 and an AGMARDT Doctoral Scholarship.</t>
  </si>
  <si>
    <t>0028-8233</t>
  </si>
  <si>
    <t>1175-8775</t>
  </si>
  <si>
    <t>NEW ZEAL J AGR RES</t>
  </si>
  <si>
    <t>N. Z. J. Agric. Res.</t>
  </si>
  <si>
    <t>PII 937940344</t>
  </si>
  <si>
    <t>10.1080/00288233.2011.558904</t>
  </si>
  <si>
    <t>768WA</t>
  </si>
  <si>
    <t>WOS:000290968200002</t>
  </si>
  <si>
    <t>Slade, EM; Mann, DJ; Lewis, OT</t>
  </si>
  <si>
    <t>Slade, Eleanor M.; Mann, Darren J.; Lewis, Owen T.</t>
  </si>
  <si>
    <t>Biodiversity and ecosystem function of tropical forest dung beetles under contrasting logging regimes</t>
  </si>
  <si>
    <t>Scarabaeinae; Dung removal; Seed dispersal; Forest management; Biodiversity-ecosystem functioning</t>
  </si>
  <si>
    <t>COMMUNITY STRUCTURE; RAIN-FORESTS; DIVERSITY; FRAGMENTATION; SCARABAEIDAE; CONSEQUENCES; CONSERVATION; COLEOPTERA; DISPERSAL; SECONDARY</t>
  </si>
  <si>
    <t>A key challenge for tropical conservation biologists is to assess how forest management practices affect biodiversity and associated ecosystem functions. Dung beetles (Scarabaeidae: Scarabaeinae) provide an ideal focal guild for such studies. We compared dung beetle assemblages and experimentally assessed rates of dung removal and seed burial in undisturbed forest, low-intensity selectively logged forest under sustainable forest management, and high-intensity logged forest, not under sustainable management in Malaysian Borneo. In total, 7923 individuals from 39 species of dung beetle were collected. There were no significant differences in abundance, biomass or diversity across sites. Species richness was significantly lower in the high-intensity logged sites. Beta diversity was low: of 35 species recorded in undisturbed forest sites, 32 were also captured in low-intensity sites and 29 in high-intensity sites. The environmental and vegetation variables measured had little influence on species composition. An average of 63-99% of dung was removed over 24 h. Mean dung and seed removal were significantly lower in the high-intensity logged sites. Dung removal rates were significantly and positively correlated with dung beetle species richness, but not with dung beetle biomass or abundance. However, the biomass of large-bodied, nocturnal dung beetles was positively correlated with dung removal. In contrast to previous studies, dung beetle biomass and abundance were not correlated with species richness, indicative of density compensation. Overall, dung beetle communities and associated ecosystem functions were robust to low-intensity but not high-intensity selective logging. These differences may be related to changes in the abundance and biomass of particular dung beetle species or guilds rather than community-wide measures of abundance and biomass, highlighting the need to move beyond simplistic biodiversity-ecosystem functioning correlations to understand the functional consequences of habitat modification in high-diversity ecosystems. (C) 2010 Elsevier Ltd. All rights reserved.</t>
  </si>
  <si>
    <t>[Slade, Eleanor M.; Lewis, Owen T.] Univ Oxford, Dept Zool, Oxford OX1 3PS, England; [Slade, Eleanor M.] Univ Oxford, Wildlife Conservat Res Unit, Dept Zoology, Abingdon OX13 5QL, Oxon, England; [Mann, Darren J.] Univ Oxford, Museum Nat Hist, Oxford OX1 3PW, England</t>
  </si>
  <si>
    <t>University of Oxford; University of Oxford; University of Oxford</t>
  </si>
  <si>
    <t>Slade, EM (corresponding author), Univ Oxford, Dept Zool, S Parks Rd, Oxford OX1 3PS, England.</t>
  </si>
  <si>
    <t>eleanor.slade@zoo.ox.ac.uk</t>
  </si>
  <si>
    <t>Slade, Eleanor/O-3874-2014; Mann, Darren/AAC-1049-2020; Lewis, Owen/ABF-7627-2020</t>
  </si>
  <si>
    <t>Slade, Eleanor/0000-0002-6108-1196; Lewis, Owen/0000-0001-7935-6111; Mann, Darren/0000-0002-6732-6940</t>
  </si>
  <si>
    <t>NERC-CASE; Natural History Museum, London; Royal Society; Royal Society [224]</t>
  </si>
  <si>
    <t>NERC-CASE(UK Research &amp; Innovation (UKRI)Natural Environment Research Council (NERC)); Natural History Museum, London; Royal Society(Royal Society UK); Royal Society(Royal Society UK)</t>
  </si>
  <si>
    <t>We thank the Danum Valley Management Committee and the Economic Planning Unit of the Prime Minister's Department for permission. Jerome Villanueva, Arthur Chung, Chris Lyal, Glen Reynolds, Robert Bagchi, Tom Bell, and Chris Grobler provided invaluable support and assistance. We thank Ismail Samat, Shadih Samat, Petrus Boy, Jamil Hanapi and Johnny Larenus for their help in the field, and Tioman Baru for providing cattle dung. E.M.S. was funded by a NERC-CASE studentship with the Natural History Museum, London. O.T.L. was supported by a Royal Society University Research Fellowship. This study was conducted under Permit No. EPU Ruj. UPE: 40/200/19 SJ. 1159 and is project number 224 under the Royal Society SEARRP.</t>
  </si>
  <si>
    <t>10.1016/j.biocon.2010.08.011</t>
  </si>
  <si>
    <t>719AA</t>
  </si>
  <si>
    <t>WOS:000287168100017</t>
  </si>
  <si>
    <t>Geiger, F; de Snoo, GR; Berendse, F; Guerrero, I; Morales, MB; Oñate, JJ; Eggers, S; Pärt, T; Bommarco, R; Bengtsson, J; Clement, LW; Weisser, WW; Olszewski, A; Ceryngier, P; Hawro, V; Inchausti, P; Fischer, C; Flohre, A; Thies, C; Tscharntke, T</t>
  </si>
  <si>
    <t>Geiger, Flavia; de Snoo, Geert R.; Berendse, Frank; Guerrero, Irene; Morales, Manuel B.; Onate, Juan J.; Eggers, Sonke; Part, Tomas; Bommarco, Riccardo; Bengtsson, Jan; Clement, Lars W.; Weisser, Wolfgang W.; Olszewski, Adam; Ceryngier, Piotr; Hawro, Violetta; Inchausti, Pablo; Fischer, Christina; Flohre, Andreas; Thies, Carsten; Tscharntke, Teja</t>
  </si>
  <si>
    <t>Landscape composition influences farm management effects on farmland birds in winter: A pan-European approach</t>
  </si>
  <si>
    <t>Organic farming; Farming practice; Agricultural intensification; Arable; Agri-environment scheme</t>
  </si>
  <si>
    <t>AGRI-ENVIRONMENT SCHEMES; CONVENTIONAL ARABLE FARMS; AGRICULTURAL INTENSIFICATION; GRANIVOROUS BIRDS; POPULATION TRENDS; SOUTHERN ENGLAND; STUBBLE FIELDS; SPECIES RICHNESS; SURVIVAL RATES; WHEAT FIELDS</t>
  </si>
  <si>
    <t>This study examined the effects of agricultural intensity, various farming practices, landscape composition and vegetation cover on the abundance and species richness of wintering farmland birds, assessed simultaneously across seven European regions. The abundance and species richness of wintering farmland birds were negatively affected by agricultural intensity. The effects of yield and farm type were interlinked. Of the 10 farming practices assessed, mechanical weeding and the amount of organic fertilizer applied negatively affected farmland birds, presumably due to reduced food availability on arable fields. Positive effects of organic farming on farmland birds proved to be limited to simplified landscapes. More farmland birds were observed in areas with more stubble, pasture and green manure crops. Species richness was higher in areas with more pasture. The results of this study show that farm management, vegetation cover and landscape composition all influence wintering farmland birds. Heterogeneous landscapes comprising arable crops as well as grasslands support most species of farmland birds in winter. The effectiveness of organic farming and agri-environment schemes depends on landscape composition. Therefore, different agri-environment schemes should be designed for different landscape types. (c) 2010 Elsevier B.V. All rights reserved.</t>
  </si>
  <si>
    <t>[Geiger, Flavia; de Snoo, Geert R.; Berendse, Frank] Wageningen Univ, Nat Conservat &amp; Plant Ecol Grp, NL-6700 AA Wageningen, Netherlands; [de Snoo, Geert R.] Leiden Univ, NL-2300 RA Leiden, Netherlands; [Guerrero, Irene; Morales, Manuel B.; Onate, Juan J.] Univ Autonoma Madrid, Dept Ecol, E-28049 Madrid, Spain; [Eggers, Sonke; Part, Tomas; Bommarco, Riccardo; Bengtsson, Jan] Swedish Univ Agr Sci, Dept Ecol, S-75007 Uppsala, Sweden; [Clement, Lars W.; Weisser, Wolfgang W.] Univ Jena, Inst Ecol, D-07743 Jena, Germany; [Olszewski, Adam] Kampinos Natl Pk, PL-05080 Izabelin, Poland; [Hawro, Violetta] Polish Acad Sci, Ctr Ecol Res, PL-05092 Lomianki, Poland; [Inchausti, Pablo] CNRS, Ctr Biol Studies Chize, Villiers En Bois, France; [Fischer, Christina; Flohre, Andreas; Thies, Carsten; Tscharntke, Teja] Univ Gottingen, Dept Crop Sci, D-37073 Gottingen, Germany</t>
  </si>
  <si>
    <t>Wageningen University &amp; Research; Leiden University; Leiden University - Excl LUMC; Autonomous University of Madrid; Swedish University of Agricultural Sciences; Friedrich Schiller University of Jena; Polish Academy of Sciences; Centre National de la Recherche Scientifique (CNRS); University of Gottingen</t>
  </si>
  <si>
    <t>Geiger, F (corresponding author), Wageningen Univ, Nat Conservat &amp; Plant Ecol Grp, POB 47, NL-6700 AA Wageningen, Netherlands.</t>
  </si>
  <si>
    <t>flavia.geiger@wur.nl</t>
  </si>
  <si>
    <t>Ceryngier, Piotr/ADS-1878-2022; Bommarco, Riccardo/E-7109-2016; Fischer, Christina/B-5568-2011; Guerrero, Irene/K-8172-2017; Oñate Rubalcaba, Juan Jose/D-4618-2009; Morales, Manuel/B-1448-2014; Onate, Juan/D-4618-2009; Tscharntke, Teja/N-5123-2014; Weisser, Wolfgang/B-9718-2014; de Snoo, geert/M-4315-2013; Bengtsson, Jan/AAF-2325-2021</t>
  </si>
  <si>
    <t>Ceryngier, Piotr/0000-0003-1085-9751; Bommarco, Riccardo/0000-0001-8888-0476; Fischer, Christina/0000-0001-7784-1105; Berendse, Frank/0009-0005-0623-1517; Guerrero, Irene/0000-0002-5025-2025; Oñate Rubalcaba, Juan Jose/0000-0002-6984-2615; Weisser, Wolfgang/0000-0002-2757-8959; Morales, Manuel B/0000-0001-8534-7895; Tscharntke, Teja/0000-0002-4482-3178; Pärt, Tomas/0000-0001-7388-6672;</t>
  </si>
  <si>
    <t>European Science Foundation; Polish Ministry of Science and Higher Education; Spanish Ministry of Science and Education; German Federal Ministry of Education and Science BMBF; German Research Foundation; Netherlands Organization for Scientific Research; Swedish Research Council; Centre National de la Recherche Scientifique; Departement Ecologie et Developpement Durable</t>
  </si>
  <si>
    <t>European Science Foundation(European Science Foundation (ESF)); Polish Ministry of Science and Higher Education(Ministry of Science and Higher Education, Poland); Spanish Ministry of Science and Education(Spanish Government); German Federal Ministry of Education and Science BMBF(Federal Ministry of Education &amp; Research (BMBF)); German Research Foundation(German Research Foundation (DFG)); Netherlands Organization for Scientific Research(Netherlands Organization for Scientific Research (NWO)); Swedish Research Council(Swedish Research Council); Centre National de la Recherche Scientifique(Centre National de la Recherche Scientifique (CNRS)); Departement Ecologie et Developpement Durable</t>
  </si>
  <si>
    <t>We are grateful to all ornithologists who conducted the bird surveys. This study is part of the EuroDiversity Agripopes research programme funded by the European Science Foundation and affiliated national science foundations (Polish Ministry of Science and Higher Education, Spanish Ministry of Science and Education, German Federal Ministry of Education and Science BMBF, German Research Foundation, Netherlands Organization for Scientific Research, Swedish Research Council, Centre National de la Recherche Scientifique, Departement Ecologie et Developpement Durable).</t>
  </si>
  <si>
    <t>10.1016/j.agee.2010.09.018</t>
  </si>
  <si>
    <t>720JN</t>
  </si>
  <si>
    <t>WOS:000287277100016</t>
  </si>
  <si>
    <t>Nelson, E; Sander, H; Hawthorne, P; Conte, M; Ennaanay, D; Wolny, S; Manson, S; Polasky, S</t>
  </si>
  <si>
    <t>Nelson, Erik; Sander, Heather; Hawthorne, Peter; Conte, Marc; Ennaanay, Driss; Wolny, Stacie; Manson, Steven; Polasky, Stephen</t>
  </si>
  <si>
    <t>Projecting Global Land-Use Change and Its Effect on Ecosystem Service Provision and Biodiversity with Simple Models</t>
  </si>
  <si>
    <t>URBAN FUTURES MODEL; COVER CHANGE; AVOIDED DEFORESTATION; ALTERNATIVE FUTURES; PROTECTED AREAS; AGRICULTURE; DYNAMICS; CONSERVATION; 2ND-GENERATION; URBANIZATION</t>
  </si>
  <si>
    <t>Background: As the global human population grows and its consumption patterns change, additional land will be needed for living space and agricultural production. A critical question facing global society is how to meet growing human demands for living space, food, fuel, and other materials while sustaining ecosystem services and biodiversity [1]. Methodology/Principal Findings: We spatially allocate two scenarios of 2000 to 2015 global areal change in urban land and cropland at the grid cell-level and measure the impact of this change on the provision of ecosystem services and biodiversity. The models and techniques used to spatially allocate land-use/land-cover (LULC) change and evaluate its impact on ecosystems are relatively simple and transparent [2]. The difference in the magnitude and pattern of cropland expansion across the two scenarios engenders different tradeoffs among crop production, provision of species habitat, and other important ecosystem services such as biomass carbon storage. For example, in one scenario, 5.2 grams of carbon stored in biomass is released for every additional calorie of crop produced across the globe; under the other scenario this tradeoff rate is 13.7. By comparing scenarios and their impacts we can begin to identify the global pattern of cropland and irrigation development that is significant enough to meet future food needs but has less of an impact on ecosystem service and habitat provision. Conclusions/Significance: Urban area and croplands will expand in the future to meet human needs for living space, livelihoods, and food. In order to jointly provide desired levels of urban land, food production, and ecosystem service and species habitat provision the global society will have to become much more strategic in its allocation of intensively managed land uses. Here we illustrate a method for quickly and transparently evaluating the performance of potential global futures.</t>
  </si>
  <si>
    <t>[Nelson, Erik; Conte, Marc; Ennaanay, Driss; Wolny, Stacie] Stanford Univ, Woods Inst Environm, Nat Capital Project, Stanford, CA 94305 USA; [Sander, Heather; Polasky, Stephen] Univ Minnesota, Conservat Biol Grad Program, St Paul, MN 55108 USA; [Hawthorne, Peter] Univ Minnesota, Dept Ecol Evolut &amp; Behav, St Paul, MN 55108 USA; [Manson, Steven] Univ Minnesota, Dept Geog, St Paul, MN 55108 USA; [Polasky, Stephen] Univ Minnesota, Dept Appl Econ, St Paul, MN 55108 USA</t>
  </si>
  <si>
    <t>Stanford University; University of Minnesota System; University of Minnesota Twin Cities; University of Minnesota System; University of Minnesota Twin Cities; University of Minnesota System; University of Minnesota Twin Cities; University of Minnesota System; University of Minnesota Twin Cities</t>
  </si>
  <si>
    <t>Nelson, E (corresponding author), Stanford Univ, Woods Inst Environm, Nat Capital Project, Stanford, CA 94305 USA.</t>
  </si>
  <si>
    <t>enelson2@bowdoin.edu</t>
  </si>
  <si>
    <t>; Polasky, Stephen/AAC-5341-2019; Nelson, Erik/J-4192-2019; Steven, Manson/B-9061-2008</t>
  </si>
  <si>
    <t>Manson, Steven/0000-0001-7697-5339; Sander, Heather/0000-0001-8756-9985; Hawthorne, Peter/0000-0003-1125-5239; Nelson, Erik/0000-0002-7291-5192;</t>
  </si>
  <si>
    <t>P and H Bing foundation; V and R Sant foundation; MacArthur foundation; Winslow foundation; Institute on the Environment at the University of Minnesota; Division Of Behavioral and Cognitive Sci; Direct For Social, Behav &amp; Economic Scie [0814628] Funding Source: National Science Foundation</t>
  </si>
  <si>
    <t>P and H Bing foundation; V and R Sant foundation; MacArthur foundation; Winslow foundation; Institute on the Environment at the University of Minnesota(University of Minnesota System); Division Of Behavioral and Cognitive Sci; Direct For Social, Behav &amp; Economic Scie(National Science Foundation (NSF)NSF - Directorate for Social, Behavioral &amp; Economic Sciences (SBE))</t>
  </si>
  <si>
    <t>We are grateful for support from P and H Bing, V and R Sant, the MacArthur and Winslow foundations, and the Institute on the Environment at the University of Minnesota. The funders had no role in study design, data collection and analysis, decision to publish, or preparation of the manuscript.</t>
  </si>
  <si>
    <t>e14327</t>
  </si>
  <si>
    <t>10.1371/journal.pone.0014327</t>
  </si>
  <si>
    <t>694ZI</t>
  </si>
  <si>
    <t>WOS:000285340000006</t>
  </si>
  <si>
    <t>Aukema, JE; McCullough, DG; Von Holle, B; Liebhold, AM; Britton, K; Frankel, SJ</t>
  </si>
  <si>
    <t>Aukema, Juliann E.; McCullough, Deborah G.; Von Holle, Betsy; Liebhold, Andrew M.; Britton, Kerry; Frankel, Susan J.</t>
  </si>
  <si>
    <t>Historical Accumulation of Nonindigenous Forest Pests in the Continental United States</t>
  </si>
  <si>
    <t>BIOSCIENCE</t>
  </si>
  <si>
    <t>invasive pests; forest insects; forest pathogens; feeding guild; detection rates</t>
  </si>
  <si>
    <t>NORTH-AMERICA; BIOLOGICAL INVASIONS; PHYTOPHAGOUS INSECTS; INTERNATIONAL-TRADE; TEMPORAL TRENDS; WOODY-PLANTS; ARTHROPODS; ECOSYSTEMS; COLEOPTERA; MANAGEMENT</t>
  </si>
  <si>
    <t>Nonindigenous forest insects and pathogens affect a range of ecosystems, industries, and property owners in the United States Evaluating temporal patterns in the accumulation of these nonindigenous forest pests can inform regulatory and policy decisions We compiled a comprehensive species list to assess the accumulation rates of nonindigenous forest insects and pathogens established in the United States More than 450 nonindigenous insects and at least 16 pathogens have colonized forest and urban trees since European settlement Approximately 25 established nonindigenous forest insects per year were detected in the United States between 1860 and 2006 At least 14% of these insects and all 16 pathogens have caused notable damage to trees Although sap feeders and foliage feeders dominated the comprehensive list, phloem- and wood-boring insects and foliage feeders were often more damaging than expected Detections of insects that feed on phloem or wood have increased markedly in recent years</t>
  </si>
  <si>
    <t>[Aukema, Juliann E.] Natl Ctr Ecol Anal &amp; Synth, Santa Barbara, CA USA; [McCullough, Deborah G.] Michigan State Univ, Dept Entomol, E Lansing, MI 48824 USA; [McCullough, Deborah G.] Michigan State Univ, Dept Forestry, E Lansing, MI 48824 USA; [Von Holle, Betsy] Univ Cent Florida, Dept Biol, Orlando, FL 32816 USA; [Liebhold, Andrew M.] US Forest Serv, No Res Stn, USDA, Morgantown, WV USA; [Britton, Kerry] US Forest Serv, USDA, Arlington, VA USA; [Frankel, Susan J.] US Forest Serv, USDA, Pacific SW Res Stn, Albany, CA USA</t>
  </si>
  <si>
    <t>University of California System; University of California Santa Barbara; Michigan State University; Michigan State University; State University System of Florida; University of Central Florida; United States Department of Agriculture (USDA); United States Forest Service; United States Department of Agriculture (USDA); United States Forest Service; United States Department of Agriculture (USDA); United States Forest Service</t>
  </si>
  <si>
    <t>Aukema, JE (corresponding author), Natl Ctr Ecol Anal &amp; Synth, Santa Barbara, CA USA.</t>
  </si>
  <si>
    <t>; Frankel, Susan/AAQ-7781-2021; Von Holle, Betsy/GZG-5112-2022; Liebhold, Andrew/C-1423-2008</t>
  </si>
  <si>
    <t>Von Holle, Betsy/0000-0002-3116-3027;</t>
  </si>
  <si>
    <t>National Science Foundation [DEB-0553768]; University of California, Santa Barbara; State of California</t>
  </si>
  <si>
    <t>National Science Foundation(National Science Foundation (NSF)); University of California, Santa Barbara(University of California System); State of California</t>
  </si>
  <si>
    <t>We are grateful to William J Mattson and David Langor for providing electronic copies of their lists of nonindigenous insect species Thanks to Joe Elkinton, Gary Parsons, Robert Rabaglia, and Nathan Havill, who contributed their expertise on specific insect groups, and to Amy Rossman, Bruce Moltzan, and Brenda Callan for consultations on invasive pathogens We thank Andrea Anulewicz, Ashley Conrad-Saydah, and Amelia Nuding for help in compiling the database Eckehard Brockerhoff and Frank Lowenstein participated in valuable discussions Sylvia Mori, Ann Von Holle, and Jim Regetz provided statistical assistance This project represents part of a larger effort to assess economic impacts of nonindigenous forest pests undertaken by a working group at the National Center for Ecological Analysis and Synthesis (NCEAS) It was supported by The Nature Conservancy and the NCEAS, which is funded by the National Science Foundation (grant #DEB-0553768), the University of California, Santa Barbara, and the state of California</t>
  </si>
  <si>
    <t>AMER INST BIOLOGICAL SCI</t>
  </si>
  <si>
    <t>1444 EYE ST, NW, STE 200, WASHINGTON, DC 20005 USA</t>
  </si>
  <si>
    <t>0006-3568</t>
  </si>
  <si>
    <t>Bioscience</t>
  </si>
  <si>
    <t>10.1525/bio.2010.60.11.5</t>
  </si>
  <si>
    <t>694VZ</t>
  </si>
  <si>
    <t>WOS:000285328400005</t>
  </si>
  <si>
    <t>Anadón, JD; Sánchez-Zapata, JA; Carrete, M; Donázar, JA; Hiraldo, F</t>
  </si>
  <si>
    <t>Anadon, J. D.; Sanchez-Zapata, J. A.; Carrete, M.; Donazar, J. A.; Hiraldo, F.</t>
  </si>
  <si>
    <t>Large-scale human effects on an arid African raptor community</t>
  </si>
  <si>
    <t>species richness; people; land uses; birds; Africa; conservation; harvesting</t>
  </si>
  <si>
    <t>LAND-USE CHANGES; SPECIES RICHNESS; HUMAN PRESSURE; SPATIAL SCALE; WEST-AFRICA; DECLINES; ENERGY; BIODIVERSITY; EXTINCTION; ABUNDANCE</t>
  </si>
  <si>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</si>
  <si>
    <t>[Anadon, J. D.] UFZ Helmholtz Ctr Environm Res, Dept Ecol Modelling, D-04318 Leipzig, Germany; [Anadon, J. D.; Sanchez-Zapata, J. A.] Univ Miguel Hernandez, Dept Biol Aplicada, Alicante, Spain; [Carrete, M.; Donazar, J. A.; Hiraldo, F.] CSIC, Dept Conservat Biol, Estac Biol Donana, E-41080 Seville, Spain</t>
  </si>
  <si>
    <t>Helmholtz Association; Helmholtz Center for Environmental Research (UFZ); Universidad Miguel Hernandez de Elche; Consejo Superior de Investigaciones Cientificas (CSIC); CSIC - Estacion Biologica de Donana (EBD)</t>
  </si>
  <si>
    <t>Anadón, JD (corresponding author), UFZ Helmholtz Ctr Environm Res, Dept Ecol Modelling, Permoserstr 14, D-04318 Leipzig, Germany.</t>
  </si>
  <si>
    <t>jdanadon@umh.es</t>
  </si>
  <si>
    <t>Sanchez-Zapata, Jose/H-1413-2015; Sanchez-Zapata, Jose Antonio/H-1413-2015; Anadon, Jose/H-6482-2015; Carrete, Martina/D-2618-2017; Carrete, Martina/A-6376-2009; Hiraldo, Fernando/AAA-8314-2019</t>
  </si>
  <si>
    <t>Sanchez-Zapata, Jose Antonio/0000-0001-8230-4953; Carrete, Martina/0000-0002-0491-2950; Donázar, José Antonio/0000-0002-9433-9755;</t>
  </si>
  <si>
    <t>Canal Sur Televison (J.M. Montero and the Dream Team); Egmasa Award; Ibersilva Award; BBVA 2004 Conservation Award</t>
  </si>
  <si>
    <t>Canal Sur Televison (J.M. Montero and the Dream Team); Egmasa Award; Ibersilva Award; BBVA 2004 Conservation Award(BBVA Foundation)</t>
  </si>
  <si>
    <t>M. de la Riva, J.R. Benitez, F. Hernandez, O. Ceballos and M. Barcell de Arizon helped with the field work. Pascal Shako and Nadia Loth provided logistic support. This study benefited from funding from Canal Sur Televison (J.M. Montero and the Dream Team), Egmasa, Ibersilva and BBVA 2004 Conservation Awards.</t>
  </si>
  <si>
    <t>10.1111/j.1469-1795.2010.00369.x</t>
  </si>
  <si>
    <t>656VZ</t>
  </si>
  <si>
    <t>WOS:000282370500011</t>
  </si>
  <si>
    <t>Gibbs, HK; Ruesch, AS; Achard, F; Clayton, MK; Holmgren, P; Ramankutty, N; Foley, JA</t>
  </si>
  <si>
    <t>Gibbs, H. K.; Ruesch, A. S.; Achard, F.; Clayton, M. K.; Holmgren, P.; Ramankutty, N.; Foley, J. A.</t>
  </si>
  <si>
    <t>Tropical forests were the primary sources of new agricultural land in the 1980s and 1990s</t>
  </si>
  <si>
    <t>deforestation; expansion pathways; cropland; biofuels; carbon emissions</t>
  </si>
  <si>
    <t>OIL PALM; DEFORESTATION; EMISSIONS; CROPLANDS; REGROWTH; BIOFUELS</t>
  </si>
  <si>
    <t>Global demand for agricultural products such as food, feed, and fuel is now a major driver of cropland and pasture expansion across much of the developing world. Whether these new agricultural lands replace forests, degraded forests, or grasslands greatly influences the environmental consequences of expansion. Although the general pattern is known, there still is no definitive quantification of these land-cover changes. Here we analyze the rich, pan-tropical database of classified Landsat scenes created by the Food and Agricultural Organization of the United Nations to examine pathways of agricultural expansion across the major tropical forest regions in the 1980s and 1990s and use this information to highlight the future land conversions that probably will be needed to meet mounting demand for agricultural products. Across the tropics, we find that between 1980 and 2000 more than 55% of new agricultural land came at the expense of intact forests, and another 28% came from disturbed forests. This study underscores the potential consequences of unabated agricultural expansion for forest conservation and carbon emissions.</t>
  </si>
  <si>
    <t>[Gibbs, H. K.] Stanford Univ, Program Food Secur &amp; Environm, Stanford, CA 94305 USA; [Ruesch, A. S.] Univ Washington, Coll Environm, Sch Forest Resources, Seattle, WA 98195 USA; [Achard, F.] Joint Res Ctr European Commiss, Global Forest Resource Monitoring Project TREES 3, Inst Environm &amp; Sustainabil, I-21027 Ispra, VA, Italy; [Clayton, M. K.] Univ Wisconsin, Dept Plant Pathol, Dept Stat, Madison, WI 53506 USA; [Holmgren, P.] United Nations Food &amp; Agr Org, Climate Change &amp; Bioenergy Div, I-00100 Rome, Italy; [Ramankutty, N.] McGill Univ, Dept Geog, Montreal, PQ H3A 2K6, Canada; [Ramankutty, N.] McGill Univ, Earth Syst Sci Program, Montreal, PQ H3A 2K6, Canada; [Foley, J. A.] Univ Minnesota, Inst Environm, St Paul, MN 55108 USA</t>
  </si>
  <si>
    <t>Stanford University; University of Washington; University of Washington Seattle; European Commission Joint Research Centre; EC JRC ISPRA Site; University of Wisconsin System; University of Wisconsin Madison; Food &amp; Agriculture Organization of the United Nations (FAO); McGill University; McGill University; University of Minnesota System; University of Minnesota Twin Cities</t>
  </si>
  <si>
    <t>Gibbs, HK (corresponding author), Stanford Univ, Program Food Secur &amp; Environm, Stanford, CA 94305 USA.</t>
  </si>
  <si>
    <t>hgibbs@stanford.edu</t>
  </si>
  <si>
    <t>; Ramankutty, Navin/AAM-6074-2020; Foley, Jonathan/GRS-5522-2022</t>
  </si>
  <si>
    <t>Ramankutty, Navin/0000-0002-3737-5717;</t>
  </si>
  <si>
    <t>US Department of Energy; David H. Smith Conservation Research Fellowship; National Aeronautics and Space Agency</t>
  </si>
  <si>
    <t>US Department of Energy(United States Department of Energy (DOE)); David H. Smith Conservation Research Fellowship; National Aeronautics and Space Agency</t>
  </si>
  <si>
    <t>This paper benefited from suggestions by G. Allez, S. Foley, C. Monfreda, and two anonymous reviewers. Funding for this study was provided by a US Department of Energy Global Change Education Program doctoral fellowship (to H.K.G.), a David H. Smith Conservation Research Fellowship (to H.K.G.), and a Terrestrial Ecology Research grant from the National Aeronautics and Space Agency.</t>
  </si>
  <si>
    <t>SEP 21</t>
  </si>
  <si>
    <t>10.1073/pnas.0910275107</t>
  </si>
  <si>
    <t>652JW</t>
  </si>
  <si>
    <t>WOS:000282003700063</t>
  </si>
  <si>
    <t>Law, KL; Moret-Ferguson, S; Maximenko, NA; Proskurowski, G; Peacock, EE; Hafner, J; Reddy, CM</t>
  </si>
  <si>
    <t>Law, Kara Lavender; Moret-Ferguson, Skye; Maximenko, Nikolai A.; Proskurowski, Giora; Peacock, Emily E.; Hafner, Jan; Reddy, Christopher M.</t>
  </si>
  <si>
    <t>Plastic Accumulation in the North Atlantic Subtropical Gyre</t>
  </si>
  <si>
    <t>MARINE-ENVIRONMENT; PACIFIC-OCEAN; DEBRIS; TRANSPORT; SURFACE; SEA; TAR; INVASIONS; CHEMICALS; WATERS</t>
  </si>
  <si>
    <t>Plastic marine pollution is a major environmental concern, yet a quantitative description of the scope of this problem in the open ocean is lacking. Here, we present a time series of plastic content at the surface of the western North Atlantic Ocean and Caribbean Sea from 1986 to 2008. More than 60% of 6136 surface plankton net tows collected buoyant plastic pieces, typically millimeters in size. The highest concentration of plastic debris was observed in subtropical latitudes and associated with the observed large-scale convergence in surface currents predicted by Ekman dynamics. Despite a rapid increase in plastic production and disposal during this time period, no trend in plastic concentration was observed in the region of highest accumulation.</t>
  </si>
  <si>
    <t>[Law, Kara Lavender; Moret-Ferguson, Skye; Proskurowski, Giora] Sea Educ Assoc, Woods Hole, MA 02543 USA; [Moret-Ferguson, Skye; Proskurowski, Giora; Peacock, Emily E.; Reddy, Christopher M.] Woods Hole Oceanog Inst, Dept Marine Chem &amp; Geochem, Woods Hole, MA 02543 USA; [Maximenko, Nikolai A.; Hafner, Jan] Univ Hawaii, Sch Ocean &amp; Earth Sci &amp; Technol, Int Pacific Res Ctr, Honolulu, HI 96822 USA</t>
  </si>
  <si>
    <t>Woods Hole Oceanographic Institution; University of Hawaii System</t>
  </si>
  <si>
    <t>Law, KL (corresponding author), Sea Educ Assoc, POB 6, Woods Hole, MA 02543 USA.</t>
  </si>
  <si>
    <t>klavender@sea.edu</t>
  </si>
  <si>
    <t>; Proskurowski, Giora/B-3862-2013; Law, Kara/OJU-3096-2025</t>
  </si>
  <si>
    <t>Maximenko, Nikolai/0000-0001-6017-6807; Reddy, Christopher/0000-0002-7814-2071; Law, Kara/0000-0002-5298-6751;</t>
  </si>
  <si>
    <t>National Science Foundation [OCE-0842727]; Hollis and Ermine Lovell Charitable Foundation; National Fish and Wildlife Foundation [2008-0066-006]; NASA [NNX08AR49G, NA17RJ1230]; Japan Agency for Marine-Earth Science and Technology (JAMSTEC), NASA [NNX07AG53G]; NASA [NNX08AR49G, 95521] Funding Source: Federal RePORTER</t>
  </si>
  <si>
    <t>National Science Foundation(National Science Foundation (NSF)); Hollis and Ermine Lovell Charitable Foundation; National Fish and Wildlife Foundation; NASA(National Aeronautics &amp; Space Administration (NASA)); Japan Agency for Marine-Earth Science and Technology (JAMSTEC), NASA(National Aeronautics &amp; Space Administration (NASA)); NASA(National Aeronautics &amp; Space Administration (NASA))</t>
  </si>
  <si>
    <t>We thank the thousands of students and staff at Sea Education Association who collected plastic samples onboard the research vessel Westward and the sailing school vessel Corwith Cramer. This work was supported by the National Science Foundation (OCE-0842727) and the Hollis and Ermine Lovell Charitable Foundation. N.A.M. and J.H. were supported by the National Fish and Wildlife Foundation (2008-0066-006); the NASA Physical Oceanography Program through membership in its Ocean Surface Topography Science Team (NNX08AR49G); and the Japan Agency for Marine-Earth Science and Technology (JAMSTEC), NASA (NNX07AG53G), and the National Oceanic and Atmospheric Administration (NA17RJ1230), which sponsor research at the International Pacific Research Center.</t>
  </si>
  <si>
    <t>SEP 3</t>
  </si>
  <si>
    <t>10.1126/science.1192321</t>
  </si>
  <si>
    <t>645SG</t>
  </si>
  <si>
    <t>WOS:000281485600030</t>
  </si>
  <si>
    <t>Guler, Y; Ford, AT</t>
  </si>
  <si>
    <t>Guler, Yasmin; Ford, Alex T.</t>
  </si>
  <si>
    <t>Anti-depressants make amphipods see the light</t>
  </si>
  <si>
    <t>AQUATIC TOXICOLOGY</t>
  </si>
  <si>
    <t>Pollution; Pharmaceuticals; Crustacea; Echinogammarus marinus; Amphipoda; Behaviour; Fluoxetine; Serotonin</t>
  </si>
  <si>
    <t>GAMMARUS-PULEX CRUSTACEA; BRAIN SEROTONERGIC ACTIVITY; BEHAVIORAL-RESPONSES; WASTE-WATER; ECHINOGAMMARUS-MERIDIONALIS; AQUATIC ENVIRONMENT; CHRONIC TOXICITY; PHARMACEUTICALS; FLUOXETINE; EFFLUENTS</t>
  </si>
  <si>
    <t>The effects of serotonin altering parasites, serotonin, the anti-depressant fluoxetine, plus two other highly prescribed pharmaceuticals (carbamazepine and diclofenac) on the behaviour of the marine amphipod, Echinogammarus marinus were investigated Acanthocephalan parasites are known to alter the swimming behaviour in their amphipod hosts through changes in serotonergic activity resulting in increased predation. Behavioural assays were adapted to record changes in phototaxis and geotaxis behaviour in male E marinus following 7, 14 and 21 days exposure to serotonin and each pharmaceutical compound at 4 concentrations compared to a control (between 10 ng/L and 10 mu g/L). E. marinus infected with acanthocephalans parasites had both significantly higher phototaxis and geotaxis scores than those of uninfected specimens Phototaxis and geotaxis behaviour increased significantly in a concentration-dependent manner with exposure to serotonin Fluoxetine significantly altered phototaxis and geotaxis activity in what appeared to be a non-monotonic concentration response curve with the greatest behavioural changes observed at 100 ng/L The main patterns of these behavioural responses were consistent between two trials and the 3 weeks exposure with specimens spending more time within the light and occurring higher in the water column No obvious trends could be concluded in the phototaxis and geotaxis scores from individuals exposed to carbamazepine or diclofenac as might be expected from their known mode of action From this study phototaxis and geotaxis behaviour have been observed to be affected by exposure to serotonin modulators Parasite studies have shown strong links between changes in behaviour and increased predation risk correlating with changes in serotonergic activity This study has highlighted the potential for highly prescribed anti-depressant drugs to change the behaviour of an ecologically relevant marine species in ways which could conceivably lead to population level effects (C) 2010 Elsevier B V All rights reserved</t>
  </si>
  <si>
    <t>[Guler, Yasmin; Ford, Alex T.] Univ Portsmouth, Sch Biol Sci, Inst Marine Sci, Portsmouth PO4 9LY, Hants, England</t>
  </si>
  <si>
    <t>University of Portsmouth</t>
  </si>
  <si>
    <t>Ford, AT (corresponding author), Univ Portsmouth, Sch Biol Sci, Inst Marine Sci, Ferry Rd, Portsmouth PO4 9LY, Hants, England.</t>
  </si>
  <si>
    <t>Ford, Alex/C-3522-2008</t>
  </si>
  <si>
    <t>Ford, Alex/0000-0001-5202-546X</t>
  </si>
  <si>
    <t>0166-445X</t>
  </si>
  <si>
    <t>1879-1514</t>
  </si>
  <si>
    <t>AQUAT TOXICOL</t>
  </si>
  <si>
    <t>Aquat. Toxicol.</t>
  </si>
  <si>
    <t>SEP 1</t>
  </si>
  <si>
    <t>10.1016/j.aquatox.2010.05.019</t>
  </si>
  <si>
    <t>Marine &amp; Freshwater Biology; Toxicology</t>
  </si>
  <si>
    <t>645VD</t>
  </si>
  <si>
    <t>WOS:000281493400010</t>
  </si>
  <si>
    <t>Scursoni, JA; Satorre, EH</t>
  </si>
  <si>
    <t>Scursoni, J. A.; Satorre, Emilio H.</t>
  </si>
  <si>
    <t>Glyphosate management strategies, weed diversity and soybean yield in Argentina</t>
  </si>
  <si>
    <t>Herbicide-resistant soybean; Glyphosate management; Large crabgrass; Spurred anoda; Nutsedges</t>
  </si>
  <si>
    <t>COMMUNITY COMPOSITION; CROP-ROTATION; LONG-TERM; TILLAGE; HERBICIDES; RICHNESS; SEEDBANK; DENSITY</t>
  </si>
  <si>
    <t>From their introduction in 1996, glyphosate resistant (GR) soybean cultivars have been rapidly adopted by farmers in Argentina and in other countries in the world. The high rate of adoption of this technology seems to be based on the simplicity of use provided by a single herbicide (glyphosate), its high efficacy to control many weeds and, the low costs of the technology relative to that used in conventional crops. During 2001-2002, 2002-2003 and 2003-2004 soybean growing seasons, field surveys and field experiments were performed with the aim of studying the effect of different glyphosate management strategies on the diversity of soybean weed communities, weed control, individual survival, fecundity and crop yield. In addition, the emergence pattern of three important weeds. Digitaria sanguinalis, Cyperus rotundus and Anoda cristata, was also studied. Both field surveys and field experiments were carried out on no-till soybean crops sown immediately after wheat or barley harvest (double cropped system). Experiments were set up in commercial soybean crops and consisted of different times of a single glyphosate application, two glyphosate applications and also the application of glyphosate plus a residual herbicide imazethapyr. A. cristata, D. sanguinalis, Stellaria media, Chenopodium album and Cyperus sp. were the most prevalent weeds recorded at pre-harvest of the soybean crops, showing regional constancy higher than 80% in both years. In three out of four field experiments, crop yield was not increased when glyphosate was applied twice compared with a single application of the herbicide. In addition there was a lower negative effect on weed species richness when glyphosate was applied once during the crop cycle than with two applications of glyphosate or glyphosate plus imazethapyr. D. sanguinalis escaped the glyphosate early treatment because of the long weed emergence period, while A. cristata and C. rotundus survived treatments due to their high individual tolerance. The results suggest that it is possible to manage glyphosate application to get high crop yield with a low impact on weed diversity, depending on the weed species and their abundance. (C) 2010 Elsevier Ltd. All rights reserved.</t>
  </si>
  <si>
    <t>[Scursoni, J. A.] FAUBA, Catedra Prod Vegetal, RA-1417 Buenos Aires, DF, Argentina; [Satorre, Emilio H.] FAUBA, Catedra Cerealicultura, RA-1417 Buenos Aires, DF, Argentina</t>
  </si>
  <si>
    <t>University of Buenos Aires; University of Buenos Aires</t>
  </si>
  <si>
    <t>Scursoni, JA (corresponding author), FAUBA, Catedra Prod Vegetal, Av San Martin 4453, RA-1417 Buenos Aires, DF, Argentina.</t>
  </si>
  <si>
    <t>scursoni@agro.uba.ar</t>
  </si>
  <si>
    <t>Agenda Nacional de Promocion Cientifica y Tecnologica, Ministerio de Ciencia, Tecnologia e Innovacion Productiva, Argentina [PICT: 08-0665, PICT 08-14403]</t>
  </si>
  <si>
    <t>Agenda Nacional de Promocion Cientifica y Tecnologica, Ministerio de Ciencia, Tecnologia e Innovacion Productiva, Argentina</t>
  </si>
  <si>
    <t>This work was financially supported by the Projects PICT: 08-0665 and PICT 08-14403 Agenda Nacional de Promocion Cientifica y Tecnologica, Ministerio de Ciencia, Tecnologia e Innovacion Productiva, Argentina.</t>
  </si>
  <si>
    <t>10.1016/j.cropro.2010.05.001</t>
  </si>
  <si>
    <t>641EN</t>
  </si>
  <si>
    <t>WOS:000281107700008</t>
  </si>
  <si>
    <t>Ahrends, A; Burgess, ND; Milledge, SAH; Bulling, MT; Fisher, B; Smart, JCR; Clarke, GP; Mhoro, BE; Lewis, SL</t>
  </si>
  <si>
    <t>Ahrends, Antje; Burgess, Neil D.; Milledge, Simon A. H.; Bulling, Mark T.; Fisher, Brendan; Smart, James C. R.; Clarke, G. Philip; Mhoro, Boniface E.; Lewis, Simon L.</t>
  </si>
  <si>
    <t>Predictable waves of sequential forest degradation and biodiversity loss spreading from an African city</t>
  </si>
  <si>
    <t>biodiversity conservation; carbon emissions; reducing emissions from deforestation and forest degradation sustainability; tropical forest degradation</t>
  </si>
  <si>
    <t>GREENHOUSE-GAS EMISSIONS; LAND-USE; DEFORESTATION; MANAGEMENT; ECONOMICS; IMPACTS; BANDITS; ROADS; WOOD</t>
  </si>
  <si>
    <t>Tropical forest degradation emits carbon at a rate of similar to 0.5 Pg.y(-1), reduces biodiversity, and facilitates forest clearance. Understanding degradation drivers and patterns is therefore crucial to managing forests to mitigate climate change and reduce biodiversity loss. Putative patterns of degradation affecting forest stocks, carbon, and biodiversity have variously been described previously, but these have not been quantitatively assessed together or tested systematically. Economic theory predicts a systematic allocation of land to its highest use value in response to distance from centers of demand. We tested this theory to see if forest exploitation would expand through time and space as concentric waves, with each wave targeting lower value products. We used forest data along a transect from 10 to 220 km from Dar es Salaam (DES), Tanzania, collected at two points in time (1991 and 2005). Our predictions were confirmed: high-value logging expanded 9 km.y(-1), and an inner wave of lower value charcoal production 2 km.y(-1). This resource utilization is shown to reduce the public goods of carbon storage and species richness, which significantly increased with each kilometer from DES [carbon, 0.2 Mg.ha(-1); 0.1 species per sample area (0.4 ha)]. Our study suggests that tropical forest degradation can be modeled and predicted, with its attendant loss of some public goods. In sub-Saharan Africa, an area experiencing the highest rate of urban migration worldwide, coupled with a high dependence on forest based resources, predicting the spatiotemporal patterns of degradation can inform policies designed to extract resources without unsustainably reducing carbon storage and biodiversity.</t>
  </si>
  <si>
    <t>[Ahrends, Antje] Royal Bot Garden, Edinburgh EH3 5LR, Midlothian, Scotland; [Ahrends, Antje; Smart, James C. R.] Univ York, Dept Environm, York YO10 5DD, N Yorkshire, England; [Burgess, Neil D.] Univ Cambridge, Dept Zool, Cambridge CB2 3EJ, England; [Burgess, Neil D.] World Wildlife Fund US, Washington, DC 20037 USA; [Burgess, Neil D.] Univ Copenhagen, Dept Biol, Ctr Macroecol Evolut &amp; Climate, DK-2100 Copenhagen, Denmark; [Milledge, Simon A. H.] Wildlife Trade Monitoring Org, TRAFFIC, Dar Es Salaam, Tanzania; [Bulling, Mark T.] Univ Aberdeen, Oceanlab, Newburgh AB41 6AA, Aberdeen, Scotland; [Fisher, Brendan] Princeton Univ, Woodrow Wilson Sch Publ &amp; Int Affairs, Program Sci Technol &amp; Environm Policy, Princeton, NJ 08540 USA; [Clarke, G. Philip] The Hermitage, Crewkerne TA18 8HA, Somerset, England; [Mhoro, Boniface E.] Univ Dar Es Salaam, Dept Bot, Dar Es Salaam, Tanzania; [Lewis, Simon L.] Univ Leeds, Sch Geog, Earth &amp; Biosphere Inst, Leeds LS2 9JT, W Yorkshire, England</t>
  </si>
  <si>
    <t>University of York - UK; University of Cambridge; University of Copenhagen; University of Aberdeen; Princeton University; University of Dar es Salaam; University of Leeds</t>
  </si>
  <si>
    <t>Ahrends, A (corresponding author), Royal Bot Garden, 20A Inverleith Row, Edinburgh EH3 5LR, Midlothian, Scotland.</t>
  </si>
  <si>
    <t>aahrends@rbge.ac.uk</t>
  </si>
  <si>
    <t>; Smart, James/AAC-8967-2021; Lewis, Simon/I-9025-2012</t>
  </si>
  <si>
    <t>Lewis, Simon/0000-0002-8066-6851; Bulling, Mark/0000-0002-0742-256X; Smart, James/0000-0003-4597-1460</t>
  </si>
  <si>
    <t>Critical Ecosystem Partnership Fund; World Wildlife Fund; Deutscher Akademischer Austauschdienst; Marie Curie Actions [MEXT-CT-2004-517098]; Leverhulme Trust; Royal Society; UK Natural Environment Research Council [NE/E006795/1]; Natural Environment Research Council [NE/E006795/1, NE/H017445/1] Funding Source: researchfish; NERC [NE/E006795/1, NE/H017445/1] Funding Source: UKRI</t>
  </si>
  <si>
    <t>Critical Ecosystem Partnership Fund; World Wildlife Fund; Deutscher Akademischer Austauschdienst(Deutscher Akademischer Austausch Dienst (DAAD)); Marie Curie Actions(European Union (EU)Marie Curie Actions); Leverhulme Trust(Leverhulme Trust); Royal Society(Royal Society UK); UK Natural Environment Research Council(UK Research &amp; Innovation (UKRI)Natural Environment Research Council (NERC)); Natural Environment Research Council(UK Research &amp; Innovation (UKRI)Natural Environment Research Council (NERC)); NERC(UK Research &amp; Innovation (UKRI)Natural Environment Research Council (NERC))</t>
  </si>
  <si>
    <t>We thank N. Doggart, C. Meshack, and P. Sumbi for assistance with fieldwork arrangements. A. Balmford, S. A. Bhagwat, P. M. Hollingsworth, J. C. Lovett, R. Marchant, A. R. Marshall, R. T. Pennington, D. Raffaelli, and two anonymous reviewers provided helpful comments on the manuscript. Funding was provided by the Critical Ecosystem Partnership Fund, World Wildlife Fund, Deutscher Akademischer Austauschdienst, and Marie Curie Actions (Grant MEXT-CT-2004-517098 to A. A.), the Leverhulme Trust's Valuing the Arc programme (B. F. and S. L. L.), the Royal Society (S. L. L.), and UK Natural Environment Research Council (Grant NE/E006795/1 to M. T. B.), and data from the 1990/1994 survey were provided by Frontier Tanzania.</t>
  </si>
  <si>
    <t>AUG 17</t>
  </si>
  <si>
    <t>10.1073/pnas.0914471107</t>
  </si>
  <si>
    <t>643IA</t>
  </si>
  <si>
    <t>WOS:000281287600010</t>
  </si>
  <si>
    <t>Robinson, C; Steinberg, DK; Anderson, TR; Arístegui, J; Carlson, CA; Frost, JR; Ghiglione, JF; Hernández-Léon, S; Jackson, GA; Koppelmann, R; Quéguiner, B; Ragueneau, O; Rassoulzadegan, F; Robison, BH; Tamburini, C; Tanaka, T; Wishner, KF; Zhang, J</t>
  </si>
  <si>
    <t>Robinson, Carol; Steinberg, Deborah K.; Anderson, Thomas R.; Aristegui, Javier; Carlson, Craig A.; Frost, Jessica R.; Ghiglione, Jean-Francois; Hernandez-Leon, Santiago; Jackson, George A.; Koppelmann, Rolf; Queguiner, Bernard; Ragueneau, Olivier; Rassoulzadegan, Fereidoun; Robison, Bruce H.; Tamburini, Christian; Tanaka, Tsuneo; Wishner, Karen F.; Zhang, Jing</t>
  </si>
  <si>
    <t>Mesopelagic zone ecology and biogeochemistry - a synthesis</t>
  </si>
  <si>
    <t>DEEP-SEA RESEARCH PART II-TOPICAL STUDIES IN OCEANOGRAPHY</t>
  </si>
  <si>
    <t>mesopelagic zone; marine ecology; microbial; metazoan; twilight zone</t>
  </si>
  <si>
    <t>NW MEDITERRANEAN SEA; RIBOSOMAL-RNA GENES; ZOOPLANKTON VERTICAL MIGRATION; PARTICLE-SIZE DISTRIBUTIONS; BIOGENIC SILICA DISSOLUTION; DISSOLVED ORGANIC-CARBON; GIANT LARVACEAN HOUSES; OXYGEN-MINIMUM ZONES; FREE-LIVING BACTERIA; ARABIAN-SEA</t>
  </si>
  <si>
    <t>The mesopelagic zone is the oceanic region through which carbon and other elements must pass in order to reach deeper waters or the sea floor. However, the food web interactions that occur in the mesopelagic zone are difficult to measure and so, despite their crucial importance to global elemental cycles, are not very well known. Recent developments in technology and new approaches have advanced the study of the variability in and controls upon the distribution and diversity of organisms in the mesopelagic zone, including the roles of respiration, recycling, and repackaging of particulate and dissolved organic material. However, there are remarkably few syntheses of the ecology and biogeochemistry of the microbes and metazoa that permanently reside or habitually visit this 'twilight zone'. Without this synthesis, it is difficult to assess the impact of ongoing changes in ocean hydrography and chemistry, due to increasing atmospheric carbon dioxide levels, on the biological carbon pump. This paper reviews what is known about the distribution of microbes and metazoa in the mesopelagic zone in relation to their activity and impact on global biogeochemical cycles. Thus, gaps in our knowledge are identified and suggestions made for priority research programmes that will improve our ability to predict the effects of climate change on carbon sequestration. (C) 2010 Elsevier Ltd. All rights reserved.</t>
  </si>
  <si>
    <t>[Robinson, Carol] Univ E Anglia, Sch Environm Sci, Norwich NR4 7TJ, Norfolk, England; [Steinberg, Deborah K.] Virginia Inst Marine Sci, Gloucester Point, VA 23062 USA; [Anderson, Thomas R.] Univ Southampton, Natl Oceanog Ctr, Southampton SO14 3ZH, Hants, England; [Aristegui, Javier; Hernandez-Leon, Santiago] Univ Las Palmas Gran Canaria, Fac Ciencias Mar, Las Palmas Gran Canaria 35017, Spain; [Carlson, Craig A.] Univ Calif Santa Barbara, Dept Ecol Evolut &amp; Marine Biol, Santa Barbara, CA 93106 USA; [Frost, Jessica R.; Koppelmann, Rolf] Univ Hamburg, Inst Hydrobiol &amp; Fisheries Sci, D-22767 Hamburg, Germany; [Ghiglione, Jean-Francois] CNRS, Observ Oceanol Banyuls, UMR 7621, F-66651 Banyuls Sur Mer, France; [Jackson, George A.] Texas A&amp;M Univ, Dept Oceanog, College Stn, TX 77843 USA; [Queguiner, Bernard] Aix Marseille Univ, F-13288 Marseille 9, France; [Queguiner, Bernard] Ctr Oceanol Marseille, LOPB, UMR 6535, OSU, F-13288 Marseille 9, France; [Ragueneau, Olivier] Inst Univ Europeen Mer, UMR 6539, F-29280 Plouzane, France; [Rassoulzadegan, Fereidoun; Tanaka, Tsuneo] Lab Oceanog Villefranche, UMR 7093, Stn Zool, F-06234 Villefranche Sur Mer, France; [Robison, Bruce H.] Monterey Bay Aquarium Res Inst, Moss Landing, CA 95039 USA; [Tamburini, Christian] Univ Mediterranee, Ctr Oceanol Marseille, Lab Microbiol Geochim &amp; Ecol Marines, CNRS,INSU,UMR 6117, F-13288 Marseille 9, France; [Wishner, Karen F.] Univ Rhode Isl, Narragansett, RI 02882 USA; [Zhang, Jing] E China Normal Univ, State Key Lab Estuarine &amp; Coastal Res, Shanghai 200062, Peoples R China</t>
  </si>
  <si>
    <t>University of East Anglia; William &amp; Mary; Virginia Institute of Marine Science; NERC National Oceanography Centre; University of Southampton; Universidad de Las Palmas de Gran Canaria; University of California System; University of California Santa Barbara; University of Hamburg; Centre National de la Recherche Scientifique (CNRS); CNRS - National Institute for Earth Sciences &amp; Astronomy (INSU); Sorbonne Universite; Texas A&amp;M University System; Texas A&amp;M University College Station; Aix-Marseille Universite; Universite de Bretagne Occidentale; Institut Universitaire Europeen de la Mer (IUEM); Centre National de la Recherche Scientifique (CNRS); CNRS - Institute of Ecology &amp; Environment (INEE); Ifremer; Institut de Recherche pour le Developpement (IRD); Sorbonne Universite; Centre National de la Recherche Scientifique (CNRS); CNRS - National Institute for Earth Sciences &amp; Astronomy (INSU); Monterey Bay Aquarium Research Institute; Aix-Marseille Universite; Centre National de la Recherche Scientifique (CNRS); CNRS - National Institute for Earth Sciences &amp; Astronomy (INSU); University of Rhode Island; East China Normal University</t>
  </si>
  <si>
    <t>Robinson, C (corresponding author), Univ E Anglia, Sch Environm Sci, Norwich NR4 7TJ, Norfolk, England.</t>
  </si>
  <si>
    <t>carol.robinson@uea.ac.uk</t>
  </si>
  <si>
    <t>; Quéguiner, Bernard/B-4060-2008; Robinson, Carol/F-7649-2011; Ragueneau, Olivier/H-6021-2017; Hernández-León, Santiago/M-2563-2014; Arístegui, Javier/D-5833-2013; Carlson, Craig/LWI-9996-2024; Tanaka, Tsuneo/G-3751-2011; Tamburini, Christian/I-7821-2012; Anderson, Thomas/K-5487-2012; Ghiglione, Jean-Francois/A-7540-2011; Rassoulzadegan, Fereidoun/A-2650-2012</t>
  </si>
  <si>
    <t>Steinberg, Deborah K/0000-0001-9884-4655; Quéguiner, Bernard/0000-0001-5020-8297; Robinson, Carol/0000-0003-3033-4565; Ragueneau, Olivier/0000-0001-8598-1730; Arístegui, Javier/0000-0002-7526-7741; Hernández-León, Santiago/0000-0002-3085-4969; Tamburini, Christian/0000-0003-3752-7423; Koppelmann, Rolf/0000-0002-0561-9617;</t>
  </si>
  <si>
    <t>Ocean Carbon and Biogeochemistry (OCB); Scientific Committee on Oceanic Research (SCOR); National Science Foundation (NSF) [OCE-0628444, OCE-0526502, OCE-0801991]; EurOceans fellowship [WP4-SYSMS-1101]; ANR-POTES [ANR-05-BLAN-0161-01]; Anderson by the Natural Environment Research Council, UK; NERC [noc010005, noc010010] Funding Source: UKRI; Natural Environment Research Council [noc010010, noc010005] Funding Source: researchfish; Division Of Ocean Sciences; Directorate For Geosciences [0927863] Funding Source: National Science Foundation</t>
  </si>
  <si>
    <t>Ocean Carbon and Biogeochemistry (OCB); Scientific Committee on Oceanic Research (SCOR); National Science Foundation (NSF)(National Science Foundation (NSF)); EurOceans fellowship; ANR-POTES(Agence Nationale de la Recherche (ANR)); Anderson by the Natural Environment Research Council, UK; NERC(UK Research &amp; Innovation (UKRI)Natural Environment Research Council (NERC)); Natural Environment Research Council(UK Research &amp; Innovation (UKRI)Natural Environment Research Council (NERC)); Division Of Ocean Sciences; Directorate For Geosciences(National Science Foundation (NSF)NSF - Directorate for Geosciences (GEO))</t>
  </si>
  <si>
    <t>This review was developed out of discussions during the mesopelagic workshop at the first IMBER IMBIZO meeting 'Integrating biogeochemistry and ecosystems in a changing ocean' held in Miami in November 2008. We thank all those involved in co-ordinating this meeting including the IMBER International Project Office, the scientific organizing committee, the session chairs and the sponsors. Financial support for workshop attendees came from the Ocean Carbon and Biogeochemistry (OCB) program and the Scientific Committee on Oceanic Research (SCOR). During the preparation of this manuscript D.K. Steinberg was supported by National Science Foundation (NSF) grant OCE-0628444, J.R. Frost by EurOceans fellowship award WP4-SYSMS-1101, K.F. Wishner by NSF grant OCE-0526502, CA Carlson by NSF grant OCE-0801991, C.T. by the ANR-POTES (ANR-05-BLAN-0161-01) grant, and T.R. Anderson by the Natural Environment Research Council, UK.</t>
  </si>
  <si>
    <t>0967-0645</t>
  </si>
  <si>
    <t>1879-0100</t>
  </si>
  <si>
    <t>DEEP-SEA RES PT II</t>
  </si>
  <si>
    <t>Deep-Sea Res. Part II-Top. Stud. Oceanogr.</t>
  </si>
  <si>
    <t>10.1016/j.dsr2.2010.02.018</t>
  </si>
  <si>
    <t>631VI</t>
  </si>
  <si>
    <t>WOS:000280377900008</t>
  </si>
  <si>
    <t>Camphuysen, KCJ</t>
  </si>
  <si>
    <t>Camphuysen, Kees C. J.</t>
  </si>
  <si>
    <t>Declines in oil-rates of stranded birds in the North Sea highlight spatial patterns in reductions of chronic oil pollution</t>
  </si>
  <si>
    <t>Trends; Oil rates; Seabirds; Chronic pollution; Spatial patterns; Temporal variation</t>
  </si>
  <si>
    <t>SEABIRDS</t>
  </si>
  <si>
    <t>Strandings of oiled seabirds are used to signal the problem of chronic oil pollution. Species-specific oil rates reflect the risk for marine birds to become oiled at sea. High oil rates were characteristic for seabirds common in areas with frequent oil spills; low oil rates for birds wintering away from the busiest shipping lanes. Declining trends in oil-rates were found, reflecting a reduction in the amount of oil intentionally discharged over the past 50 years. Spatial patterns in the risk to become oiled could be identified, when the winter distribution patterns of the affected birds were incorporated in the analysis. Declines in oil rates were most pronounced in coastal birds. These trends were consistent with tendencies to police nearshore waters more effectively than offshore waters. While levels of chronic oil pollution are much reduced, future emphasis should be to reduce chronic oiling more effectively in offshore waters. (C) 2010 Elsevier Ltd. All rights reserved.</t>
  </si>
  <si>
    <t>Royal Netherlands Inst Sea Res, NL-1790 AB Den Burg, Netherlands</t>
  </si>
  <si>
    <t>Utrecht University; Royal Netherlands Institute for Sea Research (NIOZ)</t>
  </si>
  <si>
    <t>Camphuysen, KCJ (corresponding author), Royal Netherlands Inst Sea Res, POB 59, NL-1790 AB Den Burg, Netherlands.</t>
  </si>
  <si>
    <t>kees.camphuysen@nioz.nl</t>
  </si>
  <si>
    <t>Dutch Ministry of Transport and Public Works (Rijswijk); Royal NIOZ (Texel)</t>
  </si>
  <si>
    <t>Beached bird surveys in The Netherlands have been conducted by numerous volunteers and without their ongoing help, this scheme would have been impossible. More than 1000 of these volunteers have completed record forms, but they represent only a fraction of the many thousands of people that have participated in searching parties along the coast since the late 1950s. Statistical advice was kindly provided by Jaap van der Meer (Royal NIOZ). The BBS scheme is currently co-financed by the Dutch Ministry of Transport and Public Works (Rijswijk), the Royal NIOZ (Texel), and is organized by the Dutch Seabird group (NZG; Texel). Dick Knoester, two anonymous referees and the editor made suggestions on the basis of which this contribution could be improved.</t>
  </si>
  <si>
    <t>10.1016/j.marpolbul.2010.03.012</t>
  </si>
  <si>
    <t>645PC</t>
  </si>
  <si>
    <t>WOS:000281474000029</t>
  </si>
  <si>
    <t>Coleman, FC; Koenig, CC</t>
  </si>
  <si>
    <t>Coleman, Felicia C.; Koenig, Christopher C.</t>
  </si>
  <si>
    <t>The Effects of Fishing, Climate Change, and Other Anthropogenic Disturbances on Red Grouper and Other Reef Fishes in the Gulf of Mexico</t>
  </si>
  <si>
    <t>INTEGRATIVE AND COMPARATIVE BIOLOGY</t>
  </si>
  <si>
    <t>SEA-LEVEL RISE; LOPHOLATILUS-CHAMAELEONTICEPS; GOLIATH GROUPER; INTERACTION STRENGTH; EPINEPHELUS-ITAJARA; YELLOWEDGE GROUPER; MANGROVE FORESTS; MID-ATLANTIC; MARINE FISH; OIL-SPILL</t>
  </si>
  <si>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</si>
  <si>
    <t>[Coleman, Felicia C.] Florida State Univ, Coastal &amp; Marine Lab, St Teresa, FL 32358 USA; [Coleman, Felicia C.; Koenig, Christopher C.] Florida State Univ, Dept Biol Sci, Tallahassee, FL 32306 USA</t>
  </si>
  <si>
    <t>State University System of Florida; Florida State University; State University System of Florida; Florida State University</t>
  </si>
  <si>
    <t>Coleman, FC (corresponding author), Florida State Univ, Coastal &amp; Marine Lab, 3618 Coastal Highway, St Teresa, FL 32358 USA.</t>
  </si>
  <si>
    <t>coleman@bio.fsu.edu</t>
  </si>
  <si>
    <t>Coleman, Felicia/IAN-6791-2023</t>
  </si>
  <si>
    <t>Coleman, Felicia/0000-0001-6286-9471; Koenig, Christopher/0000-0002-2592-7975</t>
  </si>
  <si>
    <t>Marine Conservation Biology Institute; The Pew Fellows Program in Marine Conservation; The National Sea [R/LR-B-51]; The National Undersea Research Center, University of North Carolina, Wilmington (NOAA) [03OAR4300088]; The National Oceanic and Atmospheric Administration Fisheries Service Marine Fisheries Initiative [NA17FF2876]; Direct For Biological Sciences; Division Of Integrative Organismal Systems [0938257] Funding Source: National Science Foundation</t>
  </si>
  <si>
    <t>Marine Conservation Biology Institute; The Pew Fellows Program in Marine Conservation; The National Sea; The National Undersea Research Center, University of North Carolina, Wilmington (NOAA)(National Oceanic Atmospheric Admin (NOAA) - USA); The National Oceanic and Atmospheric Administration Fisheries Service Marine Fisheries Initiative; Direct For Biological Sciences; Division Of Integrative Organismal Systems(National Science Foundation (NSF)NSF - Directorate for Biological Sciences (BIO)NSF - Division of Integrative Organismal Systems (IOS))</t>
  </si>
  <si>
    <t>Marine Conservation Biology Institute; The Pew Fellows Program in Marine Conservation; The National Sea Grant (R/LR-B-51); The National Undersea Research Center, University of North Carolina, Wilmington (NOAA grant #03OAR4300088); and The National Oceanic and Atmospheric Administration Fisheries Service Marine Fisheries Initiative (NA17FF2876).</t>
  </si>
  <si>
    <t>OXFORD UNIV PRESS INC</t>
  </si>
  <si>
    <t>CARY</t>
  </si>
  <si>
    <t>JOURNALS DEPT, 2001 EVANS RD, CARY, NC 27513 USA</t>
  </si>
  <si>
    <t>1540-7063</t>
  </si>
  <si>
    <t>1557-7023</t>
  </si>
  <si>
    <t>INTEGR COMP BIOL</t>
  </si>
  <si>
    <t>Integr. Comp. Biol.</t>
  </si>
  <si>
    <t>10.1093/icb/icq072</t>
  </si>
  <si>
    <t>630NJ</t>
  </si>
  <si>
    <t>WOS:000280279800005</t>
  </si>
  <si>
    <t>Hejcman, M; Cesková, M; Schellberg, J; Pätzold, S</t>
  </si>
  <si>
    <t>Hejcman, Michal; Ceskova, Michaela; Schellberg, Juergen; Paetzold, Stefan</t>
  </si>
  <si>
    <t>The Rengen Grassland Experiment: Effect of Soil Chemical Properties on Biomass Production, Plant Species Composition and Species Richness</t>
  </si>
  <si>
    <t>FOLIA GEOBOTANICA</t>
  </si>
  <si>
    <t>Competition; Long-term fertilizer application; Nardus stricta grassland; Nutrient limitation; Phosphorus depletion and accumulation; Plant-soil interaction; Sampling area</t>
  </si>
  <si>
    <t>MEADOW HAY PLOTS; N-P RATIOS; NUTRIENT LIMITATION; FERTILIZER APPLICATION; PHOSPHORUS RATIOS; VEGETATION; NITROGEN; MANAGEMENT; DIVERSITY; DYNAMICS</t>
  </si>
  <si>
    <t>The Rengen Grassland Experiment (RGE), set up on a Nardus grassland in 1941, consists of a control and five fertilizer treatments (Ca, CaN, CaNP, CaNP-KCl and CaNP-K2SO4). In 2005, soil chemical properties were analyzed to investigate the effect of soil variables on biomass production, plant species composition and species richness of vascular plants. Further, the effect of sampling scale (from 0.02 to 5.76 m(2)) on species richness was investigated. Soil properties (plant-available contents of K, P, C: N ratio, and pH) and biomass production were found to be strictly dependent on the fertilizers applied. Diversification of soil P content between treatments with and without P application is still in progress. Biomass production was most positively affected by P and K soil contents under N application. Furthermore, pH had a small positive effect on biomass production, and C: N ratio a moderately negative one. Two types of nutrient limitation were recognized: (1) limitation of total biomass production and (2) limitation of individual plant species. Long-term addition of a limiting nutrient affected the grassland ecosystem in three ways: (1) causing a change in plant species composition without significant increase in total biomass production, (2) causing no change in species composition but with significant increase in total biomass production, and (3) causing substantial change in plant species composition accompanied by significant increase in total biomass production. The explanatory power of all measured soil properties on plant species composition was almost the same as the power of the treatment effect (61.7% versus 62% of explained variability in RDA). The most powerful predictors of plant species composition were soil P, K and Mg contents, pH, and biomass production. The soil P content and biomass production were the only variables leading to a significant negative effect on species richness. An almost parallel increase in species richness with increasing sampling area was detected in all treatments. Constant differences among treatments were independent of sampling area.</t>
  </si>
  <si>
    <t>[Schellberg, Juergen; Paetzold, Stefan] Univ Bonn, Inst Crop Sci &amp; Resource Conservat, D-53115 Bonn, Germany; [Ceskova, Michaela] Czech Univ Life Sci, Dept Dendrol &amp; Forest Tree Breeding, Prague 6, Suchdol, Czech Republic; [Hejcman, Michal] Crop Res Inst, Dept Nutr Management, Prague 6, Ruzyne, Czech Republic; [Hejcman, Michal] Czech Univ Life Sci, Dept Ecol, Fac Environm Sci, Prague 6, Suchdol, Czech Republic</t>
  </si>
  <si>
    <t>University of Bonn; Czech University of Life Sciences Prague; CARC Czech Agrifood Research Center; Czech Crop Research Institute (CRI); Czech University of Life Sciences Prague</t>
  </si>
  <si>
    <t>Schellberg, J (corresponding author), Univ Bonn, Inst Crop Sci &amp; Resource Conservat, D-53115 Bonn, Germany.</t>
  </si>
  <si>
    <t>j.schellberg@uni-bonn.de</t>
  </si>
  <si>
    <t>; Pätzold, Stefan/J-6521-2016</t>
  </si>
  <si>
    <t>Hejcman, Michal/0000-0002-3513-2017;</t>
  </si>
  <si>
    <t>Czech projects [GACR 521/08/1131, MZE 0002700604]</t>
  </si>
  <si>
    <t>Czech projects</t>
  </si>
  <si>
    <t>Special thanks for sample preparation go to the last administrator Dieter Hoffman-Gaber and technician Manfred Schwickerath. Some soil analyses data were part of the diploma thesis by Daniel Bosse. Two anonymous reviewers and Jorg Ewald are gratefully acknowledged for their useful comments. The completion of the present paper was funded by the Czech projects GACR 521/08/1131 and MZE 0002700604.</t>
  </si>
  <si>
    <t>1211-9520</t>
  </si>
  <si>
    <t>1874-9348</t>
  </si>
  <si>
    <t>FOLIA GEOBOT</t>
  </si>
  <si>
    <t>Folia Geobot.</t>
  </si>
  <si>
    <t>10.1007/s12224-010-9062-9</t>
  </si>
  <si>
    <t>642JI</t>
  </si>
  <si>
    <t>WOS:000281207800002</t>
  </si>
  <si>
    <t>Li, RQ; Tian, HD; Li, XH</t>
  </si>
  <si>
    <t>Li, Renqiang; Tian, Huidong; Li, Xinhai</t>
  </si>
  <si>
    <t>Climate change induced range shifts of Galliformes in China</t>
  </si>
  <si>
    <t>INTEGRATIVE ZOOLOGY</t>
  </si>
  <si>
    <t>climate change; Galliformes; generalized additive model; principal component analysis; range shift</t>
  </si>
  <si>
    <t>EXTINCTIONS; MODELS</t>
  </si>
  <si>
    <t>Climate change will cause range shifts of many species in the future. Galliformes might be particularly vulnerable to climate change, as they have low dispersal ability. Little is known about their possible responses to the future climate. We used a generalized additive model to predict the current and future ranges of all 63 Galliformes in China, based on a comprehensive species occurrence database and a combination of climate variables. Other environmental variables (e.g. elevation and human footprint index) were also considered, as well as the latitude and longitude of the occurrences. Principal component analysis was conducted to illustrate the association between environmental variables and Galliformes distributions. Using the Special Report on Emissions Scenarios (SRES) A2 climate change scenario for 2071-2100, we projected that 29 species would have range shifts over 50%, including 13 endemic species. Galliformes at higher elevation face greater range shifts. Northward shifts are greater than those in other directions. We suggest conservationists pay special attention to the 29 Galliformes that face extensive range shifts, especially the endemic species among them.</t>
  </si>
  <si>
    <t>[Li, Xinhai] Chinese Acad Sci, Inst Zool, Key Lab Zool Systemat &amp; Evolut, Beijing 100101, Peoples R China; [Li, Renqiang] Chinese Acad Sci, Inst Geog Sci &amp; Nat Resources Res, Key Lab Ecosyst Network Observat &amp; Modeling, Beijing 100101, Peoples R China; [Tian, Huidong] Chinese Acad Sci, Inst Zool, State Key Lab Integrated Pest Management Pest Ins, Beijing 100101, Peoples R China; [Tian, Huidong] Chinese Acad Sci, Grad Univ, Beijing 100101, Peoples R China</t>
  </si>
  <si>
    <t>Chinese Academy of Sciences; Institute of Zoology, CAS; Chinese Academy of Sciences; Institute of Geographic Sciences &amp; Natural Resources Research, CAS; Chinese Academy of Sciences; Institute of Zoology, CAS; Chinese Academy of Sciences; University of Chinese Academy of Sciences, CAS</t>
  </si>
  <si>
    <t>Li, XH (corresponding author), Chinese Acad Sci, Inst Zool, Key Lab Zool Systemat &amp; Evolut, 1-5 Beichen W Rd, Beijing 100101, Peoples R China.</t>
  </si>
  <si>
    <t>Chinese Academy of Sciences (CAS) [KSCX2-YW-R-162, KSCX2-YW-N-063]; Chinese Ministry of Science and Technology; United States Department of Agriculture; Bureau of International Cooperation, Chinese Academy of Sciences [GJHZ200810]</t>
  </si>
  <si>
    <t>Chinese Academy of Sciences (CAS)(Chinese Academy of Sciences); Chinese Ministry of Science and Technology(Ministry of Science and Technology, China); United States Department of Agriculture(United States Department of Agriculture (USDA)); Bureau of International Cooperation, Chinese Academy of Sciences(Chinese Academy of Sciences)</t>
  </si>
  <si>
    <t>This work was supported by Chinese Academy of Sciences (CAS) (Knowledge Innovation Project, Grant No. KSCX2-YW-R-162 to X. L. and KSCX2-YW-N-063 to F. L.), Chinese Ministry of Science and Technology (Technical Platform Program), and United States Department of Agriculture (Cooperative Project of Surveillance on Avian Influenza). We would also like to thank the ISZS international research program Biological Consequences of Global Change (BCGC) sponsored by Bureau of International Cooperation, Chinese Academy of Sciences (GJHZ200810).</t>
  </si>
  <si>
    <t>1749-4877</t>
  </si>
  <si>
    <t>1749-4869</t>
  </si>
  <si>
    <t>INTEGR ZOOL</t>
  </si>
  <si>
    <t>Integr. Zool.</t>
  </si>
  <si>
    <t>10.1111/j.1749-4877.2010.00198.x</t>
  </si>
  <si>
    <t>605KB</t>
  </si>
  <si>
    <t>WOS:000278345400009</t>
  </si>
  <si>
    <t>van Donkelaar, A; Martin, RV; Brauer, M; Kahn, R; Levy, R; Verduzco, C; Villeneuve, PJ</t>
  </si>
  <si>
    <t>van Donkelaar, Aaron; Martin, Randall V.; Brauer, Michael; Kahn, Ralph; Levy, Robert; Verduzco, Carolyn; Villeneuve, Paul J.</t>
  </si>
  <si>
    <t>Global Estimates of Ambient Fine Particulate Matter Concentrations from Satellite-Based Aerosol Optical Depth: Development and Application</t>
  </si>
  <si>
    <t>ENVIRONMENTAL HEALTH PERSPECTIVES</t>
  </si>
  <si>
    <t>aerosol; aerosol optical depth; AOD; particulate matter; PM2.5</t>
  </si>
  <si>
    <t>IMAGING SPECTRORADIOMETER MISR; GROUND-LEVEL PM2.5; AIR-POLLUTION; UNITED-STATES; MORTALITY; THICKNESS; NETWORK; AERONET</t>
  </si>
  <si>
    <t>BACKGROUND: Epidemiologic and health impact studies of fine particulate matter with diameter &lt; 2.5 mu m (PM2.5) are limited by the lack of monitoring data, especially in developing countries. Satellite observations offer valuable global information about PM2.5 concentrations. OBJECTIVE: In this study, we developed a technique for estimating surface PM2.5 concentrations from satellite observations. METHODS: We mapped global ground-level PM2.5 concentrations using total column aerosol optical depth (AOD) from the MODIS (Moderate Resolution Imaging Spectroradiometer) and MISR (Multiangle Imaging Spectroradiometer) satellite instruments and coincident aerosol vertical profiles from the GEOS-Chem global chemical transport model. RESULTS: We determined that global estimates of long-term average (1 January 2001 to 31 December 2006) PM2.5 concentrations at approximately 10 km x 10 km resolution indicate a global population-weighted geometric mean PM2.5 concentration of 20 mu g/m(3). The World Health Organization Air Quality PM2.5 Interim Target-1 (35 mu g/m(3) annual average) is exceeded over central and eastern Asia for 38% and for 50% of the population, respectively. Annual mean PM2.5 concentrations exceed 80 mu g/m(3) over eastern China. Our evaluation of the satellite-derived estimate with ground-based in situ measurements indicates significant spatial agreement with North American measurements (r = 0.77; slope = 1.07; n = 1057) and with noncoincident measurements elsewhere (r = 0133; slope = 0.86; n = 244). The 1 SD of uncertainty in the satellite-derived PM2.5 is 25%, which is inferred from the AOD retrieval and from aerosol vertical profile errors and sampling. The global population-weighted mean uncertainty is 6.7 mu g/m(3). CONCLUSIONS: Satellite-derived total-column AOD, when combined with a chemical transport model, provides estimates of global long-term average PM2.5 concentrations.</t>
  </si>
  <si>
    <t>[van Donkelaar, Aaron; Martin, Randall V.; Verduzco, Carolyn] Dalhousie Univ, Dept Phys &amp; Atmospher Sci, Halifax, NS B3H 3J5, Canada; [Martin, Randall V.] Harvard Smithsonian Ctr Astrophys, Cambridge, MA 02138 USA; [Brauer, Michael] Univ British Columbia, Sch Environm Hlth, Vancouver, BC V5Z 1M9, Canada; [Kahn, Ralph; Levy, Robert] NASA, Goddard Space Flight Ctr, Greenbelt, MD 20771 USA; [Villeneuve, Paul J.] Univ Toronto, Dalla Lana Sch Publ Hlth, Toronto, ON, Canada; [Villeneuve, Paul J.] Hlth Canada, Populat Studies Div, Ottawa, ON K1A 0L2, Canada</t>
  </si>
  <si>
    <t>Dalhousie University; Smithsonian Institution; Smithsonian Astrophysical Observatory; Harvard University; University of British Columbia; National Aeronautics &amp; Space Administration (NASA); NASA Goddard Space Flight Center; University of Toronto; Health Canada</t>
  </si>
  <si>
    <t>van Donkelaar, A (corresponding author), Dalhousie Univ, Dept Phys &amp; Atmospher Sci, 6300 Coburg Rd, Halifax, NS B3H 3J5, Canada.</t>
  </si>
  <si>
    <t>Aaron.van.Donkelaar@dal.ca</t>
  </si>
  <si>
    <t>Kahn, Ralph A/D-5371-2012; Martin, Randall/C-1205-2014; Kahn, Ralph/D-5371-2012; Brauer, Michael/Y-2810-2019; van Donkelaar, Aaron/AAF-8355-2021; Levy, Robert/M-7764-2013</t>
  </si>
  <si>
    <t>Kahn, Ralph A/0000-0002-5234-6359; Martin, Randall/0000-0003-2632-8402; Brauer, Michael/0000-0002-9103-9343; Levy, Robert/0000-0002-8933-5303; Villeneuve, Paul/0000-0001-7786-7997</t>
  </si>
  <si>
    <t>Health Canada [4500171909, 4500220294]; Natural Sciences and Engineering Research of Canada; Killam Trust</t>
  </si>
  <si>
    <t>Health Canada; Natural Sciences and Engineering Research of Canada(Natural Sciences and Engineering Research Council of Canada (NSERC)); Killam Trust</t>
  </si>
  <si>
    <t>This study was funded by contracts from Health Canada (4500171909 and 4500220294). A.v.D. was supported by graduate fellowships from the Natural Sciences and Engineering Research of Canada and the Killam Trust.</t>
  </si>
  <si>
    <t>US DEPT HEALTH HUMAN SCIENCES PUBLIC HEALTH SCIENCE</t>
  </si>
  <si>
    <t>RES TRIANGLE PK</t>
  </si>
  <si>
    <t>NATL INST HEALTH, NATL INST ENVIRONMENTAL HEALTH SCIENCES, PO BOX 12233, RES TRIANGLE PK, NC 27709-2233 USA</t>
  </si>
  <si>
    <t>0091-6765</t>
  </si>
  <si>
    <t>1552-9924</t>
  </si>
  <si>
    <t>ENVIRON HEALTH PERSP</t>
  </si>
  <si>
    <t>Environ. Health Perspect.</t>
  </si>
  <si>
    <t>10.1289/ehp.0901623</t>
  </si>
  <si>
    <t>Environmental Sciences; Public, Environmental &amp; Occupational Health; Toxicology</t>
  </si>
  <si>
    <t>Environmental Sciences &amp; Ecology; Public, Environmental &amp; Occupational Health; Toxicology</t>
  </si>
  <si>
    <t>608NP</t>
  </si>
  <si>
    <t>WOS:000278591300031</t>
  </si>
  <si>
    <t>Butchart, SHM; Walpole, M; Collen, B; van Strien, A; Scharlemann, JPW; Almond, REA; Baillie, JEM; Bomhard, B; Brown, C; Bruno, J; Carpenter, KE; Carr, GM; Chanson, J; Chenery, AM; Csirke, J; Davidson, NC; Dentener, F; Foster, M; Galli, A; Galloway, JN; Genovesi, P; Gregory, RD; Hockings, M; Kapos, V; Lamarque, JF; Leverington, F; Loh, J; McGeoch, MA; McRae, L; Minasyan, A; Morcillo, MH; Oldfield, TEE; Pauly, D; Quader, S; Revenga, C; Sauer, JR; Skolnik, B; Spear, D; Stanwell-Smith, D; Stuart, SN; Symes, A; Tierney, M; Tyrrell, TD; Vié, JC; Watson, R</t>
  </si>
  <si>
    <t>Butchart, Stuart H. M.; Walpole, Matt; Collen, Ben; van Strien, Arco; Scharlemann, Joern P. W.; Almond, Rosamunde E. A.; Baillie, Jonathan E. M.; Bomhard, Bastian; Brown, Claire; Bruno, John; Carpenter, Kent E.; Carr, Genevieve M.; Chanson, Janice; Chenery, Anna M.; Csirke, Jorge; Davidson, Nick C.; Dentener, Frank; Foster, Matt; Galli, Alessandro; Galloway, James N.; Genovesi, Piero; Gregory, Richard D.; Hockings, Marc; Kapos, Valerie; Lamarque, Jean-Francois; Leverington, Fiona; Loh, Jonathan; McGeoch, Melodie A.; McRae, Louise; Minasyan, Anahit; Morcillo, Monica Hernandez; Oldfield, Thomasina E. E.; Pauly, Daniel; Quader, Suhel; Revenga, Carmen; Sauer, John R.; Skolnik, Benjamin; Spear, Dian; Stanwell-Smith, Damon; Stuart, Simon N.; Symes, Andy; Tierney, Megan; Tyrrell, Tristan D.; Vie, Jean-Christophe; Watson, Reg</t>
  </si>
  <si>
    <t>Global Biodiversity: Indicators of Recent Declines</t>
  </si>
  <si>
    <t>CONSERVATION; FOREST; IMPACT; BIRDS</t>
  </si>
  <si>
    <t>In 2002, world leaders committed, through the Convention on Biological Diversity, to achieve a significant reduction in the rate of biodiversity loss by 2010. We compiled 31 indicators to report on progress toward this target. Most indicators of the state of biodiversity (covering species' population trends, extinction risk, habitat extent and condition, and community composition) showed declines, with no significant recent reductions in rate, whereas indicators of pressures on biodiversity (including resource consumption, invasive alien species, nitrogen pollution, overexploitation, and climate change impacts) showed increases. Despite some local successes and increasing responses (including extent and biodiversity coverage of protected areas, sustainable forest management, policy responses to invasive alien species, and biodiversity-related aid), the rate of biodiversity loss does not appear to be slowing.</t>
  </si>
  <si>
    <t>[Butchart, Stuart H. M.; Walpole, Matt; Scharlemann, Joern P. W.; Almond, Rosamunde E. A.; Chenery, Anna M.; Kapos, Valerie; Morcillo, Monica Hernandez; Stanwell-Smith, Damon; Stuart, Simon N.; Tierney, Megan; Tyrrell, Tristan D.] UN, Environm Programme, World Conservat Monitoring Ctr, Cambridge CB3 0DL, England; [Butchart, Stuart H. M.; Symes, Andy] BirdLife Int, Cambridge CB3 0NA, England; [Collen, Ben; Baillie, Jonathan E. M.; McRae, Louise] Zool Soc London, Inst Zool, London NW1 4RY, England; [van Strien, Arco] Stat Netherlands, NL-2490 HA The Hague, Netherlands; [Bruno, John] Univ N Carolina, Dept Marine Sci, Chapel Hill, NC 27599 USA; [Carpenter, Kent E.] Old Dominion Univ, Norfolk, VA 23529 USA; [Carr, Genevieve M.] Natl Water Res Inst Branch, United Nations Environm Programme, Burlington, ON L7R 4A6, Canada; [Chanson, Janice] Conservat Int, Ctr Appl Biodivers Sci, Biodivers Assessment Unit, IUCN Species Survival Commiss, Arlington, VA 22202 USA; [Csirke, Jorge] UN, Food &amp; Agr Org, Fisheries &amp; Aquaculture Management Div, I-00153 Rome, Italy; [Davidson, Nick C.] Secretariat Ramsar Convent Wetlands, CH-1196 Gland, Switzerland; [Dentener, Frank] European Commiss, Joint Res Ctr, Inst Environm &amp; Sustainabil, I-21027 Ispra, VA, Italy; [Galli, Alessandro] Global Footprint Network, Oakland, CA 94607 USA; [Galloway, James N.] Univ Virginia, Dept Environm Sci, Charlottesville, VA 22903 USA; [Genovesi, Piero] Ist Super Protez &amp; Ric Ambientale, I-00185 Rome, Italy; [Gregory, Richard D.] Royal Soc Protect Birds, Sandy SG19 2DL, Beds, England; [Hockings, Marc; Leverington, Fiona] Univ Queensland, Sch Integrat Syst, Brisbane, Qld 4067, Australia; [Kapos, Valerie] Univ Cambridge, Dept Zool, Cambridge CB2 3EJ, England; [Lamarque, Jean-Francois] Natl Ctr Atmospher Res, Boulder, CO 80301 USA; [Loh, Jonathan] World Wildlife Fund Int, CH-1196 Gland, Switzerland; [McGeoch, Melodie A.] S African Natl Pk, Ctr Invas Biol, ZA-7947 Steenberg, South Africa; [McGeoch, Melodie A.] S African Natl Pk, Global Invas Species Programme, ZA-7947 Steenberg, South Africa; [Minasyan, Anahit] United Nations Educ Sci &amp; Cultural Org, F-75352 Paris, France; [Oldfield, Thomasina E. E.] TRAFFIC Int, Cambridge CB3 0DL, England; [Pauly, Daniel; Watson, Reg] Univ British Columbia, Fisheries Ctr, Sea Us Project, Vancouver, BC V6T 1Z4, Canada; [Quader, Suhel] Natl Ctr Biol Sci, Tata Inst Fundamental Res, Bangalore 560065, Karnataka, India; [Revenga, Carmen] Nature Conservancy, Arlington, VA 22203 USA; [Sauer, John R.] US Geol Survey, Patuxent Wildlife Res Ctr, Laurel, MD 20708 USA; [Skolnik, Benjamin] Amer Bird Conservancy, Washington, DC 20009 USA; [Spear, Dian] Univ Stellenbosch, Ctr Invas Biol, ZA-7602 Matieland, South Africa; [Stuart, Simon N.] Univ Bath, Dept Biol &amp; Biochem, IUCN Species Survival Commiss, Bath BA2 7AY, Avon, England; [Stuart, Simon N.] Al Ain Wildlife Pk &amp; Resort, Abu Dhabi, U Arab Emirates; [Vie, Jean-Christophe] IUCN, CH-1196 Gland, Switzerland</t>
  </si>
  <si>
    <t>United Nations Environment Programme; BirdLife International; Zoological Society of London; University of North Carolina; University of North Carolina Chapel Hill; Old Dominion University; Environment &amp; Climate Change Canada; National Water Research Institute; Conservation International; Food &amp; Agriculture Organization of the United Nations (FAO); European Commission Joint Research Centre; EC JRC ISPRA Site; University of Virginia; Italian Institute for Environmental Protection &amp; Research (ISPRA); Royal Society for Protection of Birds; University of Queensland; University of Cambridge; National Center Atmospheric Research (NCAR) - USA; World Wildlife Fund; University of British Columbia; Tata Institute of Fundamental Research (TIFR); National Centre for Biological Sciences (NCBS); Nature Conservancy; United States Department of the Interior; United States Geological Survey; Stellenbosch University; University of Bath</t>
  </si>
  <si>
    <t>Butchart, SHM (corresponding author), UN, Environm Programme, World Conservat Monitoring Ctr, 219 Huntingdon Rd, Cambridge CB3 0DL, England.</t>
  </si>
  <si>
    <t>stuart.butchart@birdlife.org</t>
  </si>
  <si>
    <t>Quader, Suhel/D-4454-2011; van Strien, Arco J/AAG-1843-2020; Collen, Ben/F-2543-2016; McGeoch, Melodie/F-8353-2011; Scharlemann, Jorn/A-4737-2008; van Strien, Arco/AAG-1843-2020; Spear, Dian/B-2469-2009; Dentener, Frank/ABW-0482-2022; Lamarque, Jean-Francois/L-2313-2014; Pauly, Daniel/AAY-2316-2021; Davidson, Nicholas/AAA-9921-2019; Hockings, Marc/A-1283-2007; Genovesi, Piero/Z-1571-2019; Butchart, Stuart/Y-2711-2018; Bertzky, Bastian/I-6909-2013; Collen, Ben/D-5055-2011; Watson, Reg/F-4850-2012; Kapos, Valerie/G-3136-2010; Galloway, James/C-2769-2013</t>
  </si>
  <si>
    <t>van Strien, Arco J/0000-0003-0451-073X; Collen, Ben/0000-0003-2564-4243; McGeoch, Melodie/0000-0003-3388-2241; Scharlemann, Jorn/0000-0002-2834-6367; Pauly, Daniel/0000-0003-3756-4793; Spear, Dian/0000-0002-2417-3980; Galloway, James/0000-0001-7676-8698; Galli, Alessano/0000-0001-9503-4104; Gregory, Richard/0000-0002-7419-5053; Hockings, Marc/0000-0003-4419-8963; Csirke, Jorge/0000-0002-0253-3535; Watson, Reg/0000-0001-7201-8865; Butchart, Stuart/0000-0002-1140-4049; Kapos, Valerie/0000-0002-5739-8262; Bertzky, Bastian/0000-0001-7025-4733;</t>
  </si>
  <si>
    <t>Global Environment Facility; Shell Foundation; European Commission; University of British Columbia/Pew Environment Group; Nature Conservancy; University of Queensland; New Hampshire Charitable Foundation; National Science Foundation (NSF)</t>
  </si>
  <si>
    <t>Global Environment Facility; Shell Foundation; European Commission(European Union (EU)European Commission Joint Research Centre); University of British Columbia/Pew Environment Group; Nature Conservancy; University of Queensland(University of Queensland); New Hampshire Charitable Foundation; National Science Foundation (NSF)(National Science Foundation (NSF))</t>
  </si>
  <si>
    <t>We are grateful for comments, data, or help from R. Akcakaya, L. Alvarez-Filip, A. Angulo, L. Bennun, L. Coad, N. Cox, M. Dube, C. Estreguil, M. Evans, B. Galil, V. Gaveau, F. Gherardi, S. Goldfinger, R. Green, A. Grigg, P. Herkenrath, C. Hilton-Taylor, M. Hoffmann, E. Kleynhans, J. Lamoreux, S. Livingstone, E. Marais, P. Martin, I. May, A. Milam, K. Noonan-Mooney, H. Pavese, B. Polidoro, C. Pollock, D. Pritchard, J. Schipper, F. Schutyser, V. Shutte, S. Simons, J. Skorpilova, A. Stattersfield, P. Vorisek, R. Wright, M. Wackernagel, and M. Waycott. We acknowledge support from the Global Environment Facility to the 2010 Biodiversity Indicators Partnership; Shell Foundation; European Commission; the Sea Around Us Project (University of British Columbia/Pew Environment Group) to D. P. and R. W.; World Wildlife Fund, The Nature Conservancy, and the University of Queensland to M. H. and F. L.; T. Haas and the New Hampshire Charitable Foundation to K. E. C.; and the National Science Foundation (NSF) to J.-F.L. Opinions and findings expressed here do not necessarily reflect the views of the NSF or other funding bodies.</t>
  </si>
  <si>
    <t>MAY 28</t>
  </si>
  <si>
    <t>10.1126/science.1187512</t>
  </si>
  <si>
    <t>601YR</t>
  </si>
  <si>
    <t>WOS:000278104700046</t>
  </si>
  <si>
    <t>Sinervo, B; Méndez-de-la-Cruz, F; Miles, DB; Heulin, B; Bastiaans, E; Cruz, MVS; Lara-Resendiz, R; Martínez-Méndez, N; Calderón-Espinosa, ML; Meza-Lázaro, RN; Gadsden, H; Avila, LJ; Morando, M; De la Riva, IJ; Sepulveda, PV; Rocha, CFD; Ibargüengoytía, N; Puntriano, CA; Massot, M; Lepetz, V; Oksanen, TA; Chapple, DG; Bauer, AM; Branch, WR; Clobert, J; Sites, JW</t>
  </si>
  <si>
    <t>Sinervo, Barry; Mendez-de-la-Cruz, Fausto; Miles, Donald B.; Heulin, Benoit; Bastiaans, Elizabeth; Villagran-Santa Cruz, Maricela; Lara-Resendiz, Rafael; Martinez-Mendez, Norberto; Lucia Calderon-Espinosa, Martha; Nelsi Meza-Lazaro, Rubi; Gadsden, Hector; Javier Avila, Luciano; Morando, Mariana; De la Riva, Ignacio J.; Victoriano Sepulveda, Pedro; Duarte Rocha, Carlos Frederico; Ibargueengoytia, Nora; Aguilar Puntriano, Cesar; Massot, Manuel; Lepetz, Virginie; Oksanen, Tuula A.; Chapple, David G.; Bauer, Aaron M.; Branch, William R.; Clobert, Jean; Sites, Jack W., Jr.</t>
  </si>
  <si>
    <t>Erosion of Lizard Diversity by Climate Change and Altered Thermal Niches</t>
  </si>
  <si>
    <t>EXTINCTION RISK; EVOLUTION; UNCERTAINTY; ECOLOGY; TEMPERATURE; PREDICTIONS; ECTOTHERMS; PHYSIOLOGY; SELECTION; MODELS</t>
  </si>
  <si>
    <t>It is predicted that climate change will cause species extinctions and distributional shifts in coming decades, but data to validate these predictions are relatively scarce. Here, we compare recent and historical surveys for 48 Mexican lizard species at 200 sites. Since 1975, 12% of local populations have gone extinct. We verified physiological models of extinction risk with observed local extinctions and extended projections worldwide. Since 1975, we estimate that 4% of local populations have gone extinct worldwide, but by 2080 local extinctions are projected to reach 39% worldwide, and species extinctions may reach 20%. Global extinction projections were validated with local extinctions observed from 1975 to 2009 for regional biotas on four other continents, suggesting that lizards have already crossed a threshold for extinctions caused by climate change.</t>
  </si>
  <si>
    <t>[Sinervo, Barry; Bastiaans, Elizabeth] Univ Calif Santa Cruz, Dept Ecol &amp; Evolutionary Biol, Santa Cruz, CA 95064 USA; [Mendez-de-la-Cruz, Fausto; Lara-Resendiz, Rafael; Martinez-Mendez, Norberto; Nelsi Meza-Lazaro, Rubi] Univ Nacl Autonoma Mexico, Inst Biol, Lab Herpetol, Mexico City 04510, DF, Mexico; [Miles, Donald B.] Ohio Univ, Dept Biol, Athens, OH 45701 USA; [Heulin, Benoit] CNRS, UMR 6553, Stn Biol, F-35380 Paimpont, France; [Villagran-Santa Cruz, Maricela] Univ Nacl Autonoma Mexico, Fac Ciencias, Dept Biol Comparada, Lab Biol Reprod Anim, Mexico City 04510, DF, Mexico; [Lucia Calderon-Espinosa, Martha] Univ Nacl Colombia, Inst Ciencias Nat, Bogota, Colombia; [Gadsden, Hector] Inst Ecol AC, Chihuahua 31109, Mexico; [Javier Avila, Luciano; Morando, Mariana] Consejo Nacl Invest Cient &amp; Tecn, Ctr Nacl Patagon, Puerto Madryn, Chubut, Argentina; [De la Riva, Ignacio J.] CSIC, Museo Nacl Ciencias Nat, E-28006 Madrid, Spain; [Victoriano Sepulveda, Pedro] Univ Concepcion, Dpto Zool, Concepcion, Chile; [Duarte Rocha, Carlos Frederico] Univ Estado Rio de Janeiro, Inst Biol, Dept Ecol, BR-20550019 Rio De Janeiro, Brazil; [Ibargueengoytia, Nora] Univ Nacl Comahue, Ctr Reg Univ Bariloche, Consejo Nacl Invest Cient &amp; Tecn, INIBIOMA, RA-8400 San Carlos De Bariloche, Rio Negro, Argentina; [Aguilar Puntriano, Cesar] Univ Nacl Mayor San Marcos, Museo Hist Nat, Dept Herpetol, Lima 14, Peru; [Massot, Manuel] Univ UPMC, CNRS, UMR 7625, Lab Ecol Evolut, F-75005 Paris, France; [Lepetz, Virginie; Clobert, Jean] CNRS, USR 2936, Stat Ecol Expt, F-09200 Moulis, Saint Girons, France; [Oksanen, Tuula A.] Univ Jyvaskyla, Dept Biol &amp; Environm Sci, Ctr Excellence Evolutionary Res, FI-40014 Jyvaskyla, Finland; [Chapple, David G.] Monash Univ, Sch Biol Sci, Clayton, Vic 3800, Australia; [Bauer, Aaron M.] Villanova Univ, Dept Biol, Villanova, PA 19085 USA; [Branch, William R.] Bayworld, ZA-6013 Humewood, South Africa; [Sites, Jack W., Jr.] Brigham Young Univ, Dept Biol, Provo, UT 84602 USA; [Sites, Jack W., Jr.] Brigham Young Univ, Bean Life Sci Museum, Provo, UT 84602 USA</t>
  </si>
  <si>
    <t>University of California System; University of California Santa Cruz; Universidad Nacional Autonoma de Mexico; University System of Ohio; Ohio University; Centre National de la Recherche Scientifique (CNRS); CNRS - Institute of Ecology &amp; Environment (INEE); Universidad Nacional Autonoma de Mexico; Universidad Nacional de Colombia; Instituto de Ecologia - Mexico; Consejo Nacional de Investigaciones Cientificas y Tecnicas (CONICET); Centro Nacional Patagonico (CENPAT); Consejo Superior de Investigaciones Cientificas (CSIC); CSIC - Museo Nacional de Ciencias Naturales (MNCN); Universidad de Concepcion; Universidade do Estado do Rio de Janeiro; Universidad Nacional del Comahue; Consejo Nacional de Investigaciones Cientificas y Tecnicas (CONICET); Universidad Nacional Mayor de San Marcos; Centre National de la Recherche Scientifique (CNRS); Sorbonne Universite; Centre National de la Recherche Scientifique (CNRS); University of Jyvaskyla; Monash University; Villanova University; Brigham Young University; Brigham Young University</t>
  </si>
  <si>
    <t>Sinervo, B (corresponding author), Univ Calif Santa Cruz, Dept Ecol &amp; Evolutionary Biol, Santa Cruz, CA 95064 USA.</t>
  </si>
  <si>
    <t>lizardrps@gmail.com</t>
  </si>
  <si>
    <t>; Martínez-Méndez, Norberto/AAB-2710-2021; Lara-Resendiz, Rafael A/K-3764-2013; Morando, Mariana/AGA-6105-2022; Rocha, Carlos Frederico/A-6225-2013; Chapple, David/B-9073-2008; Lara-Resendiz, Rafael/AAG-5451-2021; Gadsden, Hector/A-2066-2015; Duarte Rocha, Carlos Frederico/A-6225-2013; Massot, Manuel/AGH-2703-2022; Aguilar Puntriano, Cesar/Q-6148-2018; Miles, Donald/AFW-0480-2022; Mendez, Fausto/O-3512-2018; Aguilar, Cesar/Q-6148-2018; Avila, Luciano/AFN-1475-2022</t>
  </si>
  <si>
    <t>Martínez-Méndez, Norberto/0000-0002-4029-4387; Lara-Resendiz, Rafael A/0000-0002-6922-0330; Bastiaans, Elizabeth/0000-0002-7322-1088; Oksanen, Tuula/0000-0003-3481-6158; De la Riva, Ignacio/0000-0001-5064-4507; Massot, Manuel/0000-0002-2762-4417; Chapple, David/0000-0002-7720-6280; Gadsden, Hector/0000-0002-1164-0578; Duarte Rocha, Carlos Frederico/0000-0003-3000-1242; Aguilar Puntriano, Cesar/0000-0001-6372-7926; Avila, Luciano Javier/0000-0003-4641-6581; Calderón Espinosa, Martha/0000-0002-3602-013X; Mendez, Fausto/0000-0002-5084-1276; Miles, Donald/0000-0001-5768-179X</t>
  </si>
  <si>
    <t>National Geographic Society, UC Mexus; UCSC Committee-On-Research; NSF [DEB 0108577, IBN 0213179, LTREB DEB 051597, DEB 0515909, 0844523, OISE 0530267]; CNRS; Museum Nationale d'Histoire Naturelle, Universite Paris 6, Universite Paul Sabatier Toulouse III [PAPIIT-UNAM IN213405, 224208]; Universite Paul Sabatier Toulouse III; CONACYT [4171N, 52852Q]; CONACYT-SEP [43142-Q]; ANR Blanche; FONDYCET [1090664]; SMSI [CGL2005-03156, CLG2008-04164, APCT-PICT1086]; Universidad Nacional Autonoma de Mexico; American Museum of Natural History; Academy of Finland [108955]; Australian Research Council; PIRE-Patagonia; Brigham Young University; Division Of Environmental Biology; Direct For Biological Sciences [0844523] Funding Source: National Science Foundation</t>
  </si>
  <si>
    <t>National Geographic Society, UC Mexus(National Geographic Society); UCSC Committee-On-Research; NSF(National Science Foundation (NSF)); CNRS(Centre National de la Recherche Scientifique (CNRS)); Museum Nationale d'Histoire Naturelle, Universite Paris 6, Universite Paul Sabatier Toulouse III; Universite Paul Sabatier Toulouse III; CONACYT(Consejo Nacional de Ciencia y Tecnologia (CONACyT)); CONACYT-SEP(Consejo Nacional de Ciencia y Tecnologia (CONACyT)); ANR Blanche(Agence Nationale de la Recherche (ANR)); FONDYCET; SMSI; Universidad Nacional Autonoma de Mexico(Universidad Nacional Autonoma de Mexico); American Museum of Natural History; Academy of Finland(Research Council of Finland); Australian Research Council(Australian Research Council); PIRE-Patagonia; Brigham Young University; Division Of Environmental Biology; Direct For Biological Sciences(National Science Foundation (NSF)NSF - Directorate for Biological Sciences (BIO))</t>
  </si>
  <si>
    <t>Research of B. S. was funded by the National Geographic Society, UC Mexus, UCSC Committee-On-Research, NSF awards (DEB 0108577, IBN 0213179, LTREB DEB 051597), CNRS fellowships, and visiting professorships (Museum Nationale d'Histoire Naturelle, Universite Paris 6, Universite Paul Sabatier Toulouse III), PAPIIT-UNAM IN213405 and 224208 to F. M.-C., a Universite Paul Sabatier Toulouse III Visiting Professorship to D. B. M., CONACYT grants (4171N and 52852Q) to M.V.-S.C., grant CONACYT-SEP (43142-Q) to H. G., a CONACYT fellowship to R.N.M.-L., CNRS funding to B. H., and M. M., Biodivera: Tenlamas and from ANR Blanche: DIAME to J.C., CONICET grants to L.J.A. and M. M., FONDYCET 1090664 grants to P. V. S., CGL2005-03156 and CLG2008-04164 grant from SMSI to I.J.R., APCT-PICT1086 grant to N.I., scholarships and grants from Universidad Nacional Autonoma de Mexico and American Museum of Natural History to M.V.-S.C., Academy of Finland grant (108955) to T.A.O., Australian Research Council grants to D. G. C., NSF awards DEB 0515909 and 0844523 to A. M. B., NSF award OISE 0530267, PIRE-Patagonia grant to J.W.S., L.J.A., M. M., and P. V. S. and Brigham Young University funding (Biology Department, Kennedy Center for International Studies, Bean Life Science Museum) to J.W.S.</t>
  </si>
  <si>
    <t>MAY 14</t>
  </si>
  <si>
    <t>10.1126/science.1184695</t>
  </si>
  <si>
    <t>595NT</t>
  </si>
  <si>
    <t>WOS:000277618800050</t>
  </si>
  <si>
    <t>Shackell, NL; Frank, KT; Fisher, JAD; Petrie, B; Leggett, WC</t>
  </si>
  <si>
    <t>Shackell, Nancy L.; Frank, Kenneth T.; Fisher, Jonathan A. D.; Petrie, Brian; Leggett, William C.</t>
  </si>
  <si>
    <t>Decline in top predator body size and changing climate alter trophic structure in an oceanic ecosystem</t>
  </si>
  <si>
    <t>climate change; trophic interactions; body size; marine fisheries</t>
  </si>
  <si>
    <t>MARINE FISH COMMUNITIES; CASCADES; PREY; INDICATORS; STABILITY; DYNAMICS; SHELF</t>
  </si>
  <si>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</si>
  <si>
    <t>[Shackell, Nancy L.; Frank, Kenneth T.; Fisher, Jonathan A. D.; Petrie, Brian] Bedford Inst Oceanog, Ocean Sci Div, Dartmouth, NS B2Y 4A2, Canada; [Fisher, Jonathan A. D.; Leggett, William C.] Queens Univ, Dept Biol, Kingston, ON K7L 3N6, Canada</t>
  </si>
  <si>
    <t>Bedford Institute of Oceanography; Fisheries &amp; Oceans Canada; Queens University - Canada</t>
  </si>
  <si>
    <t>Shackell, NL (corresponding author), Bedford Inst Oceanog, Ocean Sci Div, POB 1006, Dartmouth, NS B2Y 4A2, Canada.</t>
  </si>
  <si>
    <t>nancy.shackell@dfo-mpo.gc.ca</t>
  </si>
  <si>
    <t>Leggett, William/F-6009-2011; Shackell, Nancy/AAF-8209-2019</t>
  </si>
  <si>
    <t>Shackell, Nancy/0000-0001-5128-948X;</t>
  </si>
  <si>
    <t>Department of Fisheries and Oceans, Canada; Natural Sciences and Engineering Research Council of Canada</t>
  </si>
  <si>
    <t>Department of Fisheries and Oceans, Canada; Natural Sciences and Engineering Research Council of Canada(Natural Sciences and Engineering Research Council of Canada (NSERC)CGIAR)</t>
  </si>
  <si>
    <t>This research was supported by the Department of Fisheries and Oceans, Canada, and Natural Sciences and Engineering Research Council of Canada Discovery grants to K. T. F. and W. C. L. We thank the Editor and two anonymous reviewers, whose comments helped us clarify our ideas.</t>
  </si>
  <si>
    <t>MAY 7</t>
  </si>
  <si>
    <t>10.1098/rspb.2009.1020</t>
  </si>
  <si>
    <t>574PI</t>
  </si>
  <si>
    <t>WOS:000276003400008</t>
  </si>
  <si>
    <t>Edgar, GJ; Last, PR; Barrett, NS; Gowlett-Holmes, K; Driessen, M; Mooney, P</t>
  </si>
  <si>
    <t>Edgar, Graham J.; Last, Peter R.; Barrett, Neville S.; Gowlett-Holmes, Karen; Driessen, Michael; Mooney, Peter</t>
  </si>
  <si>
    <t>Conservation of natural wilderness values in the Port Davey marine and estuarine protected area, south-western Tasmania</t>
  </si>
  <si>
    <t>benthic invertebrates; climate change; diver impacts; fishes; introduced marine pests; World Heritage Area</t>
  </si>
  <si>
    <t>CLIMATE-CHANGE; IMPACTS; CORAL; COMMUNITIES; EXTINCTION; HABITAT; SCALE; VULNERABILITY; ENVIRONMENT; OIL</t>
  </si>
  <si>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</si>
  <si>
    <t>[Edgar, Graham J.; Barrett, Neville S.] Univ Tasmania, Tasmanian Aquaculture &amp; Fisheries Inst, Hobart, Tas 7001, Australia; [Edgar, Graham J.] Aquenal Pty Ltd, Hobart, Tas 7001, Australia; [Last, Peter R.; Gowlett-Holmes, Karen] CSIRO, Div Marine &amp; Atmospher Res, Hobart, Tas 7000, Australia; [Driessen, Michael] Dept Primary Ind &amp; Water, Hobart, Tas 7000, Australia; [Mooney, Peter] Pk &amp; Wildlife Serv, Hobart, Tas 7000, Australia</t>
  </si>
  <si>
    <t>University of Tasmania; Commonwealth Scientific &amp; Industrial Research Organisation (CSIRO)</t>
  </si>
  <si>
    <t>Edgar, GJ (corresponding author), Univ Tasmania, Tasmanian Aquaculture &amp; Fisheries Inst, GPO Box 252-49, Hobart, Tas 7001, Australia.</t>
  </si>
  <si>
    <t>g.edgar@utas.edu.au</t>
  </si>
  <si>
    <t>Edgar, Graham/AAY-3797-2020; Edgar, Graham/C-8341-2013; Barrett, Neville/J-7593-2014; Driessen, Michael/X-3642-2019; Last, Peter/B-9740-2009</t>
  </si>
  <si>
    <t>Edgar, Graham/0000-0003-0833-9001; Barrett, Neville/0000-0002-6167-1356;</t>
  </si>
  <si>
    <t>Tasmanian government through the Wilderness Ecosystem Baseline Studies (WEBS); Australian government through the Wilderness Ecosystem Baseline Studies (WEBS); Tasmanian Aquaculture and Fisheries Institute; Australian Research Council; National Heritage Trust; Fisheries Research and Development Corporation; Commonwealth Environment Research Facilities programme</t>
  </si>
  <si>
    <t>Tasmanian government through the Wilderness Ecosystem Baseline Studies (WEBS); Australian government through the Wilderness Ecosystem Baseline Studies (WEBS)(Australian Government); Tasmanian Aquaculture and Fisheries Institute; Australian Research Council(Australian Research Council); National Heritage Trust; Fisheries Research and Development Corporation; Commonwealth Environment Research Facilities programme</t>
  </si>
  <si>
    <t>We would particularly like to thank support to the project from the Tasmanian and Australian governments through the Wilderness Ecosystem Baseline Studies (WEBS) and associated Tasmanian Wilderness World Heritage Area fauna programmes, and from the Tasmanian Aquaculture and Fisheries Institute. The Australian Research Council, National Heritage Trust, Fisheries Research and Development Corporation, and Commonwealth Environment Research Facilities programme provided additional funding. We thank Miles Lawler for drafting Figure 1.</t>
  </si>
  <si>
    <t>10.1002/aqc.1079</t>
  </si>
  <si>
    <t>598IW</t>
  </si>
  <si>
    <t>WOS:000277830200007</t>
  </si>
  <si>
    <t>Quinton, JN; Govers, G; Van Oost, K; Bardgett, RD</t>
  </si>
  <si>
    <t>Quinton, John N.; Govers, Gerard; Van Oost, Kristof; Bardgett, Richard D.</t>
  </si>
  <si>
    <t>The impact of agricultural soil erosion on biogeochemical cycling</t>
  </si>
  <si>
    <t>CARBON; DECOMPOSITION; NUTRIENTS; NITROGEN; COVER</t>
  </si>
  <si>
    <t>Soils are the main terrestrial reservoir of nutrients, such as nitrogen and phosphorus, and of organic carbon. Synthesizing earlier studies, we find that the mobilization and deposition of agricultural soils can significantly alter nutrient and carbon cycling. Specifically, erosion can result in lateral fluxes of nitrogen and phosphorus that are similar in magnitude to those induced by fertilizer application and crop removal. Furthermore, the translocation and burial of soil reduces decomposition of soil organic carbon, and could lead to long-term carbon storage. The cycling of carbon, nitrogen and phosphorus are strongly interrelated. For example, erosion-induced burial of soils stabilizes soil nutrient and carbon pools, thereby increasing primary productivity and carbon uptake, and potentially reducing erosion. Our analysis shows soils as dynamic systems in time and space.</t>
  </si>
  <si>
    <t>[Quinton, John N.; Bardgett, Richard D.] Univ Lancaster, Lancaster Environm Ctr, Lancaster LA1 4YQ, England; [Govers, Gerard] Katholieke Univ Leuven, Dept Earth &amp; Environm Sci, B-3001 Heverlee, Belgium; [Van Oost, Kristof] Catholic Univ Louvain, Georges Lemaitre Ctr Earth &amp; Climate Res TECLIM, B-1348 Louvain, Belgium</t>
  </si>
  <si>
    <t>Lancaster University; KU Leuven; Universite Catholique Louvain</t>
  </si>
  <si>
    <t>Quinton, JN (corresponding author), Univ Lancaster, Lancaster Environm Ctr, Lancaster LA1 4YQ, England.</t>
  </si>
  <si>
    <t>J.Quinton@Lancaster.ac.uk</t>
  </si>
  <si>
    <t>Bardgett, Richard/E-5599-2014; Quinton, John/B-1290-2011; Govers, Gerard/A-8298-2008; Van Oost, Kristof/B-6941-2008</t>
  </si>
  <si>
    <t>Quinton, John/0000-0003-1746-4795; Bardgett, Richard/0000-0002-5131-0127; Govers, Gerard/0000-0001-9884-4778;</t>
  </si>
  <si>
    <t>Fonds de la Recherche Scientifique (FNRS), Belgium; Communaute Francaise de Belgique [09/14-022]</t>
  </si>
  <si>
    <t>Fonds de la Recherche Scientifique (FNRS), Belgium(Fonds de la Recherche Scientifique - FNRS); Communaute Francaise de Belgique(Australian Research Council)</t>
  </si>
  <si>
    <t>K.V.O is a research associate of the Fonds de la Recherche Scientifique (FNRS), Belgium, and is supported by the Communaute Francaise de Belgique (convention number 09/14-022).</t>
  </si>
  <si>
    <t>10.1038/ngeo838</t>
  </si>
  <si>
    <t>589XW</t>
  </si>
  <si>
    <t>WOS:000277188500011</t>
  </si>
  <si>
    <t>Stokes, EJ; Strindberg, S; Bakabana, PC; Elkan, PW; Iyenguet, FC; Madzoké, B; Malanda, GAF; Mowawa, BS; Moukoumbou, C; Ouakabadio, FK; Rainey, HJ</t>
  </si>
  <si>
    <t>Stokes, Emma J.; Strindberg, Samantha; Bakabana, Parfait C.; Elkan, Paul W.; Iyenguet, Fortune C.; Madzoke, Bola; Malanda, Guy Aime F.; Mowawa, Brice S.; Moukoumbou, Calixte; Ouakabadio, Franck K.; Rainey, Hugo J.</t>
  </si>
  <si>
    <t>Monitoring Great Ape and Elephant Abundance at Large Spatial Scales: Measuring Effectiveness of a Conservation Landscape</t>
  </si>
  <si>
    <t>LOXODONTA-AFRICANA-CYCLOTIS; WESTERN LOWLAND GORILLAS; LOGGING CONCESSION; FOREST ELEPHANTS; SPECIES APPROACH; PROTECTED AREAS; SWAMP FOREST; CONGO; CHIMPANZEES; MANAGEMENT</t>
  </si>
  <si>
    <t>Protected areas are fundamental to biodiversity conservation, but there is growing recognition of the need to extend beyond protected areas to meet the ecological requirements of species at larger scales. Landscape-scale conservation requires an evaluation of management impact on biodiversity under different land-use strategies; this is challenging and there exist few empirical studies. In a conservation landscape in northern Republic of Congo we demonstrate the application of a large-scale monitoring program designed to evaluate the impact of conservation interventions on three globally threatened species: western gorillas, chimpanzees and forest elephants, under three land-use types: integral protection, commercial logging, and community-based natural resource management. We applied distance-sampling methods to examine species abundance across different land-use types under varying degrees of management and human disturbance. We found no clear trends in abundance between land-use types. However, units with interventions designed to reduce poaching and protect habitats irrespective of land-use type - harboured all three species at consistently higher abundance than a neighbouring logging concession undergoing no wildlife management. We applied Generalized-Additive Models to evaluate a priori predictions of species response to different landscape processes. Our results indicate that, given adequate protection from poaching, elephants and gorillas can profit from herbaceous vegetation in recently logged forests and maintain access to ecologically important resources located outside of protected areas. However, proximity to the single integrally protected area in the landscape maintained an overriding positive influence on elephant abundance, and logging roads - even subject to anti-poaching controls - were exploited by elephant poachers and had a major negative influence on elephant distribution. Chimpanzees show a clear preference for unlogged or more mature forests and human disturbance had a negative influence on chimpanzee abundance, in spite of anti-poaching interventions. We caution against the pitfalls of missing and confounded co-variables in model-based estimation approaches and highlight the importance of spatial scale in the response of different species to landscape processes. We stress the importance of a stratified design-based approach to monitoring species status in response to conservation interventions and advocate a holistic framework for landscape-scale monitoring that includes smaller-scale targeted research and punctual assessment of threats.</t>
  </si>
  <si>
    <t>[Stokes, Emma J.; Strindberg, Samantha; Elkan, Paul W.; Rainey, Hugo J.] Wildlife Conservat Soc, Global Conservat Program, New York, NY USA; [Bakabana, Parfait C.; Iyenguet, Fortune C.; Madzoke, Bola; Malanda, Guy Aime F.; Ouakabadio, Franck K.] Wildlife Conservat Soc, Congo Program, Brazzaville, Rep Congo; [Mowawa, Brice S.] Minist Econ Forestiere, Brazzaville, Rep Congo</t>
  </si>
  <si>
    <t>Wildlife Conservation Society</t>
  </si>
  <si>
    <t>Stokes, EJ (corresponding author), Wildlife Conservat Soc, Global Conservat Program, New York, NY USA.</t>
  </si>
  <si>
    <t>estokes@wcs.org</t>
  </si>
  <si>
    <t>Rainey, Hugo/I-6047-2012</t>
  </si>
  <si>
    <t>United States Fish and Wildlife Service; United States Agency for International Development; Wildlife Conservation Society</t>
  </si>
  <si>
    <t>United States Fish and Wildlife Service(US Fish &amp; Wildlife Service); United States Agency for International Development(United States Agency for International Development (USAID)); Wildlife Conservation Society</t>
  </si>
  <si>
    <t>This work was funded by the United States Fish and Wildlife Service Great Ape and African Elephant Conservation Funds (http://www.fws.gov/international/DIC/species/species.html) with additional support from the United States Agency for International Development, Central African Regional Program for the Environment (http://carpe.umd.edu), and the Wildlife Conservation Society's Global Conservation Program (http://www.wcs.org). The views expressed here do not necessarily represent those of the US government or its agencies. The funders had no role in study design, data collection and analysis, decision to publish, or preparation of the manuscript.</t>
  </si>
  <si>
    <t>APR 23</t>
  </si>
  <si>
    <t>e10294</t>
  </si>
  <si>
    <t>10.1371/journal.pone.0010294</t>
  </si>
  <si>
    <t>588NU</t>
  </si>
  <si>
    <t>WOS:000277079300006</t>
  </si>
  <si>
    <t>Polidoro, BA; Carpenter, KE; Collins, L; Duke, NC; Ellison, AM; Ellison, JC; Farnsworth, EJ; Fernando, ES; Kathiresan, K; Koedam, NE; Livingstone, SR; Miyagi, T; Moore, GE; Vien, NN; Ong, JE; Primavera, JH; Salmo, SG; Sanciangco, JC; Sukardjo, S; Wang, YM; Yong, JWH</t>
  </si>
  <si>
    <t>Polidoro, Beth A.; Carpenter, Kent E.; Collins, Lorna; Duke, Norman C.; Ellison, Aaron M.; Ellison, Joanna C.; Farnsworth, Elizabeth J.; Fernando, Edwino S.; Kathiresan, Kandasamy; Koedam, Nico E.; Livingstone, Suzanne R.; Miyagi, Toyohiko; Moore, Gregg E.; Vien Ngoc Nam; Ong, Jin Eong; Primavera, Jurgenne H.; Salmo, Severino G., III; Sanciangco, Jonnell C.; Sukardjo, Sukristijono; Wang, Yamin; Yong, Jean Wan Hong</t>
  </si>
  <si>
    <t>The Loss of Species: Mangrove Extinction Risk and Geographic Areas of Global Concern</t>
  </si>
  <si>
    <t>RED LIST INDEXES; CONSERVATION; BIODIVERSITY; ECOSYSTEM; FORESTS; MANAGEMENT; DYNAMICS; TRENDS; FISH; SUSTAINABILITY</t>
  </si>
  <si>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</si>
  <si>
    <t>[Polidoro, Beth A.; Carpenter, Kent E.; Livingstone, Suzanne R.; Sanciangco, Jonnell C.] Old Dominion Univ, IUCN Species Programme, SSC, Norfolk, VA 23529 USA; [Collins, Lorna] Nature Conservancy, Ctr Global Trends, Arlington, VA USA; [Collins, Lorna] Univ Plymouth, Sch Biol Sci, Plymouth PL4 8AA, Devon, England; [Duke, Norman C.; Salmo, Severino G., III] Univ Queensland, Ctr Marine Studies, St Lucia, Qld, Australia; [Ellison, Aaron M.] Harvard Univ, Petersham, MA USA; [Ellison, Joanna C.] Univ Tasmania, Sch Geog &amp; Environm Studies, Launceston, Tas 7250, Australia; [Farnsworth, Elizabeth J.] New England Wild Flower Soc, Framingham, MA USA; [Fernando, Edwino S.] Univ Philippines, Los Banos Coll, Dept Forest Biol Sci, Laguna, Philippines; [Kathiresan, Kandasamy] Annamalai Univ, Ctr Adv Study Marine Biol, Parangipettai, India; [Koedam, Nico E.] Vrije Univ Brussel, Fac Sci &amp; Bioengn Sci, Brussels, Belgium; [Miyagi, Toyohiko] Tohoku Gakuin Univ, Fac Liberal Art, Dept Reg Management, Sendai, Miyagi 980, Japan; [Moore, Gregg E.] Univ New Hampshire, Dept Biol Sci, Durham, NH 03824 USA; [Moore, Gregg E.] Univ New Hampshire, Jackson Estuarine Lab, Durham, NH 03824 USA; [Vien Ngoc Nam] Nong Lam Univ, Fac Forestry, Ho Chi Minh City, Vietnam; [Ong, Jin Eong] Univ Sains Malaysia, Ctr Marine &amp; Coastal Studies, George Town, Malaysia; [Primavera, Jurgenne H.] SE Asian Fisheries Dev Ctr, Dept Aquaculture, Iloilo, Philippines; [Salmo, Severino G., III] Cent Luzon State Univ, Coll Agr, Sci City Of Munoz, Nueva Ecija, Philippines; [Sukardjo, Sukristijono] Indonesian Inst Sci, Ctr Oceanol Res &amp; Dev, Jakarta, Indonesia; [Wang, Yamin] Shandong Univ, Coll Ocean, Weihai, Peoples R China; [Yong, Jean Wan Hong] Nanyang Technol Univ, Natl Inst Educ, Nat Sci &amp; Sci Educ Acad Grp, Singapore, Singapore</t>
  </si>
  <si>
    <t>Old Dominion University; Nature Conservancy; University of Plymouth; University of Queensland; Harvard University; University of Tasmania; University of the Philippines System; University of the Philippines Los Banos; Annamalai University; Vrije Universiteit Brussel; Tohoku Gakuin University; University System Of New Hampshire; University of New Hampshire; University System Of New Hampshire; University of New Hampshire; Nong Lam University; Universiti Sains Malaysia; Southeast Asian Fisheries Development Center; Central Luzon State University; National Research &amp; Innovation Agency of Indonesia (BRIN); Shandong University; Nanyang Technological University; National Institute of Education (NIE) Singapore</t>
  </si>
  <si>
    <t>Polidoro, BA (corresponding author), Old Dominion Univ, IUCN Species Programme, SSC, Norfolk, VA 23529 USA.</t>
  </si>
  <si>
    <t>bpolidor@odu.edu</t>
  </si>
  <si>
    <t>Wang, Yamin/JZT-3868-2024; Duke, Norman/K-5729-2013; Ellison, Joanna/C-2372-2014; Salmo, Severino/T-4794-2018; Kandasamy, Kathiresan/X-7933-2019; Yong, Jean/B-9976-2019</t>
  </si>
  <si>
    <t>Duke, Norman/0000-0003-2081-9120; Ellison, Joanna/0000-0003-0692-8347; Sanciangco, Jonnell Cueto/0000-0001-8268-3180; Salmo, Severino/0000-0001-6807-4397; Yong, Jean/0000-0003-3325-8254; Kandasamy, Kathiresan/0000-0003-1203-0023; Ellison, Aaron/0000-0003-4151-6081; Fernando, Edwino/0000-0001-9422-5451;</t>
  </si>
  <si>
    <t>Tom Haas; New Hampshire Charitable Foundation</t>
  </si>
  <si>
    <t>This research was generously supported by core funding from Tom Haas and the New Hampshire Charitable Foundation. The funders had no role in study design, data collection and analysis, decision to publish, or preparation of the manuscript.</t>
  </si>
  <si>
    <t>APR 8</t>
  </si>
  <si>
    <t>e10095</t>
  </si>
  <si>
    <t>10.1371/journal.pone.0010095</t>
  </si>
  <si>
    <t>580WT</t>
  </si>
  <si>
    <t>WOS:000276482000021</t>
  </si>
  <si>
    <t>Tozer, DC; Burke, DM; Nol, E; Elliott, KA</t>
  </si>
  <si>
    <t>Tozer, Douglas C.; Burke, Dawn M.; Nol, Erica; Elliott, Ken A.</t>
  </si>
  <si>
    <t>Short-term effects of group-selection harvesting on breeding birds in a northern hardwood forest</t>
  </si>
  <si>
    <t>Forest bird community; Group-selection harvesting; Partial harvesting; Single-tree selection harvesting; Uneven-aged management</t>
  </si>
  <si>
    <t>TIMBER HARVEST; CREATED GAPS; HABITAT; COMMUNITIES; SONGBIRDS; ABUNDANCE; SUCCESS; TREES</t>
  </si>
  <si>
    <t>We used a before-after, control-impact design (one year pre-harvest, two years post-harvest) and unlimited-radius point counts to study the effects of typical group-selection harvesting (0.5 gaps ha(-1) placed near seed trees within a standard single-tree selection harvest) and intensive group-selection harvesting (4 gaps ha(-1) placed on a grid with no harvesting between gaps) on the composition and abundance of breeding birds in tolerant hardwood forests in Algonquin Provincial Park, Ontario. Percent similarity between pre- and post-harvest bird communities was 5-9% lower in selection harvested stands than in reference stands. Differences in percent similarity among the three treatments were not significant, however, suggesting that the changes in the bird community in stands harvested with group selection were not substantially different than those in reference stands. Abundance of aerial foragers and tree-and-shrub nesters increased in response to typical and intensive group selection in the second year post-harvest. By contrast, bark foragers and cavity-nesters decreased in the first year post-harvest and then increased in the second year post-harvest in response to typical group selection. Abundance of 16(73%) of 22 species was not affected by harvesting. Blue Jay (Cyanocitta cristata), Chestnut-sided Warbler (Dendroica pensylyanica), Least Flycatcher (Empidonax minimus), and White-throated Sparrow (Zonotrichia albicollis) increased in response to intensive group selection in the first or second year post-harvest, whereas Chestnut-sided Warbler, Hairy Woodpecker (Picoides yillosus), and White-throated Sparrow increased in response to typical group selection in the first or second year post-harvest. Ovenbird (Seiurus aurocapilla) decreased slightly in response to typical group selection in the second year post-harvest. Our short-term data suggest that intensive, rather than typical, group-selection harvesting is preferred for maintaining densities of cavity-nesting birds and Ovenbird; whether these advantages continue through the remainder of the cutting cycle and beyond requires further investigation. (C) 2010 Elsevier B.V. All rights reserved.</t>
  </si>
  <si>
    <t>[Tozer, Douglas C.] Trent Univ, Environm &amp; Life Sci Grad Program, Ctr Environm Sci, Peterborough, ON K9J 7B8, Canada; [Burke, Dawn M.; Elliott, Ken A.] Ontario Minist Nat Resources, London, ON N6E 1L3, Canada; [Nol, Erica] Trent Univ, Dept Biol, Ctr Environm Sci, Peterborough, ON K9J 7B8, Canada</t>
  </si>
  <si>
    <t>Trent University; Ministry of Natural Resources &amp; Forestry; Trent University</t>
  </si>
  <si>
    <t>Tozer, DC (corresponding author), Trent Univ, Environm &amp; Life Sci Grad Program, Ctr Environm Sci, 1600 W Bank Dr, Peterborough, ON K9J 7B8, Canada.</t>
  </si>
  <si>
    <t>dtozer@trentu.ca</t>
  </si>
  <si>
    <t>Algonquin Forestry Authority; Bancroft-Minden Forest Co.; Canadian Forest Service; Canadian Wildlife Service; Enhanced Forest Productivity Science Program; Mazinaw-Lanark Forest Inc.; Natural Sciences and Engineering Research Council of Canada; Ontario Ministry of Natural Resources; Ottawa Valley Forest Inc.; Tembec Inc.; Trent University; Westwind Forest Stewardship; Ontario Graduate Scholarship in science and technology</t>
  </si>
  <si>
    <t>Algonquin Forestry Authority; Bancroft-Minden Forest Co.; Canadian Forest Service(Natural Resources CanadaCanadian Forest Service); Canadian Wildlife Service; Enhanced Forest Productivity Science Program; Mazinaw-Lanark Forest Inc.; Natural Sciences and Engineering Research Council of Canada(Natural Sciences and Engineering Research Council of Canada (NSERC)CGIAR); Ontario Ministry of Natural Resources; Ottawa Valley Forest Inc.; Tembec Inc.; Trent University; Westwind Forest Stewardship; Ontario Graduate Scholarship in science and technology</t>
  </si>
  <si>
    <t>We thank K. Fletcher and the Algonquin Forestry Authority for their enthusiastic participation in the project. E. Proctor kindly took time to conduct point counts. K. Falk provided valuable comments and statistical advice. P. Gelok, B. Steinberg, and the staff at the Algonquin Park Wildlife Research Station helped with logistics. Two anonymous referees improved the paper. Funding and in-kind support was provided by Algonquin Forestry Authority, Bancroft-Minden Forest Co., Canadian Forest Service, Canadian Wildlife Service, Enhanced Forest Productivity Science Program, Mazinaw-Lanark Forest Inc., Natural Sciences and Engineering Research Council of Canada, Ontario Ministry of Natural Resources, Ottawa Valley Forest Inc., Tembec Inc., Trent University, and Westwind Forest Stewardship. DCT was supported by an Ontario Graduate Scholarship in science and technology.</t>
  </si>
  <si>
    <t>10.1016/j.foreco.2010.01.028</t>
  </si>
  <si>
    <t>578KS</t>
  </si>
  <si>
    <t>WOS:000276292900019</t>
  </si>
  <si>
    <t>Endo, W; Peres, CA; Salas, E; Mori, S; Sanchez-Vega, JL; Shepard, GH; Pacheco, V; Yu, DW</t>
  </si>
  <si>
    <t>Endo, Whaldener; Peres, Carlos A.; Salas, Edith; Mori, Sandra; Sanchez-Vega, Jose-Luis; Shepard, Glenn H.; Pacheco, Victor; Yu, Douglas W.</t>
  </si>
  <si>
    <t>Game Vertebrate Densities in Hunted and Nonhunted Forest Sites in Manu National Park, Peru</t>
  </si>
  <si>
    <t>BIOTROPICA</t>
  </si>
  <si>
    <t>bushmeat; defaunation; distance sampling; forest vertebrates; hunting; indigenous people; Manu National Park; trophic cascade</t>
  </si>
  <si>
    <t>NEOTROPICAL FORESTS; COMMUNITY STRUCTURE; AMAZONIAN FORESTS; CONSERVATION; SUBSISTENCE; SUSTAINABILITY; RESERVES; MAMMALS; MONKEYS; PERILS</t>
  </si>
  <si>
    <t>Manu National Park of southern Peru is one of the most renowned protected areas in the world, yet large-bodied vertebrate surveys conducted to date have been restricted to Cocha Cashu Biological Station, a research station covering &lt;0.06 percent of the 1.7Mha park. Manu Park is occupied by &gt;460 settled Matsigenka Amerindians, 300-400 isolated Matsigenka, and several, little-known groups of isolated hunter-gatherers, yet the impact of these native Amazonians on game vertebrate populations within the park remains poorly understood. On the basis of 1495 km of standardized line-transect censuses, we present density and biomass estimates for 23 mammal, bird, and reptile species for seven lowland and upland forest sites in Manu Park, including Cocha Cashu. We compare these estimates between hunted and nonhunted sites within Manu Park, and with other Neotropical forest sites. Manu Park safeguards some of the most species-rich and highest biomass assemblages of arboreal and terrestrial mammals ever recorded in Neotropical forests, most likely because of its direct Andean influence and high levels of soil fertility. Relative to Barro Colorado Island, seed predators and arboreal folivores in Manu are rare, and generalist frugivores specializing on mature fruit pulp are abundant. The impact of such a qualitative shift in the vertebrate community on the dynamics of plant regeneration, and therefore, on our understanding of tropical plant ecology, must be profound. Despite a number of external threats, Manu Park continues to serve as a baseline against which other Neotropical forests can be gauged.</t>
  </si>
  <si>
    <t>[Endo, Whaldener; Yu, Douglas W.] Chinese Acad Sci, State Key Lab Genet Resources &amp; Evolut, ECEC, Kunming Inst Zool, Kunming 650223, Yunnan, Peoples R China; [Endo, Whaldener; Peres, Carlos A.; Shepard, Glenn H.; Yu, Douglas W.] Univ E Anglia, Sch EnvironmSci, CEEC, Norwich NR4 7TJ, Norfolk, England; [Endo, Whaldener; Peres, Carlos A.; Shepard, Glenn H.; Yu, Douglas W.] Univ E Anglia, Sch Biol Sci, Norwich NR4 7TJ, Norfolk, England; [Salas, Edith; Mori, Sandra; Sanchez-Vega, Jose-Luis; Pacheco, Victor] Univ Nacl Mayor San Marcos, Museo Hist Nat, Lima 14, Peru</t>
  </si>
  <si>
    <t>Chinese Academy of Sciences; Kunming Institute of Zoology, CAS; University of East Anglia; University of East Anglia; Universidad Nacional Mayor de San Marcos</t>
  </si>
  <si>
    <t>Yu, DW (corresponding author), Chinese Acad Sci, State Key Lab Genet Resources &amp; Evolut, ECEC, Kunming Inst Zool, Kunming 650223, Yunnan, Peoples R China.</t>
  </si>
  <si>
    <t>douglas.yu@uea.ac.uk</t>
  </si>
  <si>
    <t>Pacheco, Víctor/F-5882-2011; Yu, Douglas/D-2536-2009; Shepard, Glenn/C-3667-2014; Peres, Carlos/B-1276-2013; Peres, Carlos/B-1276-2013; Endo, Whaldener/D-1726-2012</t>
  </si>
  <si>
    <t>Pacheco, Víctor/0000-0002-1005-135X; Shepard, Glenn/0000-0003-3195-8230; Salas Perez, Edith/0000-0002-7644-8974; Peres, Carlos/0000-0002-1588-8765; Peres, Carlos/0000-0002-1588-8765; Endo, Whaldener/0000-0002-7305-4398</t>
  </si>
  <si>
    <t>National Geographic Society's Committee for Research and Exploration; Leverhulme Trust; Yunnan provincial government [20080A001]; Chinese Academy of Sciences [0902281081]</t>
  </si>
  <si>
    <t>National Geographic Society's Committee for Research and Exploration(National Geographic Society); Leverhulme Trust(Leverhulme Trust); Yunnan provincial government; Chinese Academy of Sciences(Chinese Academy of Sciences)</t>
  </si>
  <si>
    <t>We thank Peru's Instituto de Recursos Naturales (INRENA) for permission to conduct research in Manu Park, the Matsigenka residents of Tayakome and Yomybato for their hospitality, the Matsigenka spotters for their help during the censuses, and J. Terborgh for his support. We were funded by the National Geographic Society's Committee for Research and Exploration, the Leverhulme Trust, the Yunnan provincial government ((sic) 20080A001) and the Chinese Academy of Sciences (0902281081) to DWY.</t>
  </si>
  <si>
    <t>0006-3606</t>
  </si>
  <si>
    <t>1744-7429</t>
  </si>
  <si>
    <t>Biotropica</t>
  </si>
  <si>
    <t>10.1111/j.1744-7429.2009.00546.x</t>
  </si>
  <si>
    <t>564LK</t>
  </si>
  <si>
    <t>WOS:000275215700017</t>
  </si>
  <si>
    <t>Heikkinen, RK; Luoto, M; Leikola, N; Pöyry, J; Settele, J; Kudrna, O; Marmion, M; Fronzek, S; Thuiller, W</t>
  </si>
  <si>
    <t>Heikkinen, Risto K.; Luoto, Miska; Leikola, Niko; Poyry, Juha; Settele, Josef; Kudrna, Otakar; Marmion, Mathieu; Fronzek, Stefan; Thuiller, Wilfried</t>
  </si>
  <si>
    <t>Assessing the vulnerability of European butterflies to climate change using multiple criteria</t>
  </si>
  <si>
    <t>Bioclimatic model; Climate change; Land cover; Lepidoptera; Range shift; Species characteristics; Susceptibility; Topographical heterogeneity</t>
  </si>
  <si>
    <t>SPECIES DISTRIBUTIONS; EXTINCTION RISK; RANDOM FORESTS; CHANGE IMPACTS; RANGE SHIFTS; LAND-USE; DIVERSITY; BIODIVERSITY; CAPE; RESPONSES</t>
  </si>
  <si>
    <t>Vulnerability of 100 European butterfly species to climate change was assessed using 13 different criteria and data on species distributions, climate, land cover and topography from 1,608 grid squares 30' x 60' in size, and species characteristics increasing the susceptibility to climate change. Four bioclimatic model-based criteria were developed for each species by comparing the present-day distribution and climatic suitability of the occupied grid cells with projected distribution and suitability in the future using the HadCM3-A2 climate scenario for 2051-2080. The proportions of disadvantageous land cover types (bare areas, water, snow and ice, artificial surfaces) and cultivated and managed land in the occupied grid squares and their surroundings were measured to indicate the amount of unfavourable land cover and dispersal barriers for butterflies, and topographical heterogeneity to indicate the availability of potential climatic refugia. Vulnerability was also assessed based on species dispersal ability, geographical localization and habitat specialization. Northern European species appeared to be amongst the most vulnerable European butterflies. However, there is much species-to-species variation, and species appear to be threatened due to different combinations of critical characteristics. Inclusion of additional criteria, such as life-history species characteristics, topography and land cover to complement the bioclimatic model-based species vulnerability measures can significantly deepen the assessments of species susceptibility to climate change.</t>
  </si>
  <si>
    <t>[Heikkinen, Risto K.; Poyry, Juha] Finnish Environm Inst, Res Programme Biodivers, Res Dept, Helsinki 00251, Finland; [Luoto, Miska; Marmion, Mathieu] Univ Oulu, Dept Geog, Oulu 90014, Finland; [Leikola, Niko] Finnish Environm Inst, Nat Div, Expert Serv Dept, Helsinki 00251, Finland; [Settele, Josef] UFZ Helmholtz Ctr Environm Res, Dept Community Ecol, Helmholtz Ctr Environm Res, D-06120 Halle, Germany; [Kudrna, Otakar] Nat Museum Sudtirol, I-39100 Bolzano, Sudtirol, Italy; [Fronzek, Stefan] Finnish Environm Inst, Res Programme Global Change, Res Dept, Helsinki 00251, Finland; [Thuiller, Wilfried] Univ Grenoble 1, Lab Ecol Alpine, UMR CNRS 5553, F-38041 Grenoble 9, France</t>
  </si>
  <si>
    <t>Finnish Environment Institute; University of Oulu; Finnish Environment Institute; Helmholtz Association; Helmholtz Center for Environmental Research (UFZ); Finnish Environment Institute; Communaute Universite Grenoble Alpes; Universite Grenoble Alpes (UGA); Centre National de la Recherche Scientifique (CNRS); Universite Savoie Mont Blanc; CNRS - Institute of Ecology &amp; Environment (INEE)</t>
  </si>
  <si>
    <t>Heikkinen, RK (corresponding author), Finnish Environm Inst, Res Programme Biodivers, Res Dept, POB 140, Helsinki 00251, Finland.</t>
  </si>
  <si>
    <t>risto.heikkinen@ymparisto.fi</t>
  </si>
  <si>
    <t>Pöyry, Juha/B-7487-2013; Settele, Josef/A-6371-2009; Luoto, Miska/E-6693-2014; Fronzek, Stefan/W-5724-2019; Thuiller, Wilfried/G-3283-2010; Heikkinen, Risto/AAN-6257-2020</t>
  </si>
  <si>
    <t>Pöyry, Juha/0000-0002-5548-1046; Settele, Josef/0000-0002-8624-4983; Luoto, Miska/0000-0001-6203-5143; Fronzek, Stefan/0000-0003-2478-8050;</t>
  </si>
  <si>
    <t>EC [GOCE-CT-2003-506675]; Academy of Finland [116544]; EU</t>
  </si>
  <si>
    <t>EC(European Union (EU)European Commission Joint Research Centre); Academy of Finland(Research Council of Finland); EU(European Union (EU))</t>
  </si>
  <si>
    <t>Zdravko Kolev helped with the assessment of butterfly species dispersal ability for S European species. Different parts of this research were funded by the EC FP6 Integrated Project ALARM (Settele et al. 2005; GOCE-CT-2003-506675). MM was funded by the Academy of Finland ( project grant 116544). WT was partly funded by the EU FP6 MACIS project (Kuhn et al. 2008; Minimisation of and Adaptation to Climate change: Impacts on biodiversity, contract No.: 044399) and EU FP6 ECOCHANGE integrated project (Challenges in assessing and forecasting biodiversity and ecosystem changes in Europe). M. Bailey helped with correction of the English text.</t>
  </si>
  <si>
    <t>10.1007/s10531-009-9728-x</t>
  </si>
  <si>
    <t>552YI</t>
  </si>
  <si>
    <t>WOS:000274330800007</t>
  </si>
  <si>
    <t>Schmitt, CB; Senbeta, F; Denich, M; Preisinger, H; Boehmer, HJ</t>
  </si>
  <si>
    <t>Schmitt, Christine B.; Senbeta, Feyera; Denich, Manfred; Preisinger, Helmut; Boehmer, Hans Juergen</t>
  </si>
  <si>
    <t>Wild coffee management and plant diversity in the montane rainforest of southwestern Ethiopia</t>
  </si>
  <si>
    <t>certification; Coffea arabica; coffee yield; conservation; forest disturbance; ordination</t>
  </si>
  <si>
    <t>REGENERATION; RESOURCES; ARABICA; UGANDA</t>
  </si>
  <si>
    <t>Coffea arabica occurs naturally in the montane rainforests of Ethiopia, but large areas of these unique forests have been converted to other land-uses. In the remaining forest, wild coffee is managed and harvested with increasing intensity because of rising coffee prices in the world market. This study evaluated the impact of coffee management on wild coffee populations and the forest vegetation as a basis for conservation planning in southwestern Ethiopia. Vegetation surveys and yield assessments were carried out in unmanaged natural forest and in managed semi-forest coffee (SFC) systems. Analyses show that wild coffee density and coffee yields were low in natural forest (max. 15 kg ha(-1) year(-1)). In SFC systems, 30% of the canopy trees and most undergrowth vegetation were removed. This stimulated wild coffee growth and strongly enhanced yields (max. 54 kg ha(-1) year(-1)), but severely disturbed forest structure. Species richness increased by 26% because of an increase in species of ruderal and secondary vegetation; however, species richness and abundance of typical forest species declined. Conservation of the natural forest therefore requires the control of wild coffee management. Wild coffee certification is discussed as one tool to reconcile conservation measures and the interests of local farmers.</t>
  </si>
  <si>
    <t>[Schmitt, Christine B.] Univ Freiburg, Inst Landscape Management, D-79106 Freiburg, Germany; [Schmitt, Christine B.; Senbeta, Feyera; Denich, Manfred] Univ Bonn, Ctr Dev Res ZEF, D-53113 Bonn, Germany; [Senbeta, Feyera] ECFF, Addis Ababa, Ethiopia; [Boehmer, Hans Juergen] Univ Bonn, Interdisciplinary Latin Amer Ctr ILZ, D-53113 Bonn, Germany; [Boehmer, Hans Juergen] Tech Univ Munich, Dept Ecol, D-85350 Freising Weihenstephan, Germany</t>
  </si>
  <si>
    <t>University of Freiburg; University of Bonn; University of Bonn; Technical University of Munich</t>
  </si>
  <si>
    <t>Schmitt, CB (corresponding author), Univ Freiburg, Inst Landscape Management, Tennenbacher Str 4, D-79106 Freiburg, Germany.</t>
  </si>
  <si>
    <t>christine.schmitt@landespflege.uni-freiburg.de</t>
  </si>
  <si>
    <t>Boehmer, Juergen/KBQ-8073-2024; Boehmer, Hans/AAO-7599-2020; Schmitt, Christine/H-9044-2019</t>
  </si>
  <si>
    <t>Boehmer, Juergen/0000-0002-9176-4836; Schmitt, Christine B/0000-0002-8527-9682; Senbeta, Feyera/0000-0002-6502-4797;</t>
  </si>
  <si>
    <t>German Federal Ministry for Education and Research [01LM0201]</t>
  </si>
  <si>
    <t>German Federal Ministry for Education and Research(Federal Ministry of Education &amp; Research (BMBF))</t>
  </si>
  <si>
    <t>This study was financed by the German Federal Ministry for Education and Research (BMBF) through the project 'Conservation and use of wild populations of Coffea arabica in the montane rainforests of Ethiopia (CoCE)' (project number 01LM0201).</t>
  </si>
  <si>
    <t>10.1111/j.1365-2028.2009.01084.x</t>
  </si>
  <si>
    <t>551IF</t>
  </si>
  <si>
    <t>WOS:000274199800011</t>
  </si>
  <si>
    <t>Thieu, V; Garnier, J; Billen, G</t>
  </si>
  <si>
    <t>Thieu, Vincent; Garnier, Josette; Billen, Gilles</t>
  </si>
  <si>
    <t>Assessing the effect of nutrient mitigation measures in the watersheds of the Southern Bight of the North Sea</t>
  </si>
  <si>
    <t>Nutrient reduction; Eutrophication; Seine; Somme; Scheldt; Seneque-Riverstrahler model</t>
  </si>
  <si>
    <t>DRAINAGE NETWORK; SEINE RIVER; RIVERSTRAHLER MODEL; NITROGEN BUDGETS; COASTAL ZONE; LITTER FALL; FLUXES; SYSTEMS; NITRATE; FOREST</t>
  </si>
  <si>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</si>
  <si>
    <t>[Thieu, Vincent; Garnier, Josette; Billen, Gilles] Univ Paris 06, UMR Sisyphe 7619, F-75005 Paris, France; [Garnier, Josette; Billen, Gilles] CNRS, UMR Sisyphe 7619, F-75005 Paris, France</t>
  </si>
  <si>
    <t>Centre National de la Recherche Scientifique (CNRS); CNRS - Institute of Ecology &amp; Environment (INEE); Sorbonne Universite; Centre National de la Recherche Scientifique (CNRS); CNRS - Institute of Ecology &amp; Environment (INEE); Sorbonne Universite</t>
  </si>
  <si>
    <t>Thieu, V (corresponding author), Univ Paris 06, UMR Sisyphe 7619, F-75005 Paris, France.</t>
  </si>
  <si>
    <t>vincent.thieu@upmc.fr; josette.garnier@upmc.fr</t>
  </si>
  <si>
    <t>; Garnier, Josette/T-2111-2019</t>
  </si>
  <si>
    <t>Thieu, Vincent/0000-0002-5753-8624;</t>
  </si>
  <si>
    <t>Vincent Thieu's Ph-D</t>
  </si>
  <si>
    <t>This research was carried out as part of the Thresholds IP program which supported the Vincent Thieu's Ph-D. The work was also carried out in the framework of the French PIREN-Seine (CNRS, UMR Sisyphe) and TIMOTHY (Belgian Science Policy) programs. Thanks are due to Christiane Lancelot (ESA, Univ. of Brussels) and Marc Bendit (INRAMirecourt, France) for constructive discussions on the scenarios.</t>
  </si>
  <si>
    <t>10.1016/j.scitotenv.2009.12.031</t>
  </si>
  <si>
    <t>561AT</t>
  </si>
  <si>
    <t>WOS:000274948000002</t>
  </si>
  <si>
    <t>Rebelo, H; Tarroso, P; Jones, G</t>
  </si>
  <si>
    <t>Rebelo, Hugo; Tarroso, Pedro; Jones, Gareth</t>
  </si>
  <si>
    <t>Predicted impact of climate change on European bats in relation to their biogeographic patterns</t>
  </si>
  <si>
    <t>bats; bioclimatic envelope; climate change; Europe; maximum entropy models; spatial PCA; species distributions</t>
  </si>
  <si>
    <t>FORAGING HABITATS; SPECIES RICHNESS; ENVELOPE MODELS; MYOTIS-MYOTIS; CONSERVATION; DIVERSITY; DISTRIBUTIONS; PROJECTIONS</t>
  </si>
  <si>
    <t>There has been considerable recent interest concerning the impact of climate change on a wide range of taxa. However, little is known about how the biogeographic affinities of taxa may affect their responses to these impacts. Our main aim was to study how predicted climate change will affect the distribution of 28 European bat species grouped by their biogeographic patterns as determined by a spatial Principal Component Analysis. Using presence-only modelling techniques and climatic data (minimum temperature, average temperature, precipitation, humidity and daily temperature range) for four different climate change scenarios (IPCC scenarios ranging from the most extreme A1FI, A2, B2 to the least severe, B1), we predict the potential geographic distribution of bat species in Europe grouped according to their biogeographic patterns for the years 2020-2030, 2050-2060 and 2090-2100. Biogeographic patterns exert a great influence on a species' response to climate change. Bat species more associated with colder climates, hence northern latitudes, could be more severely affected with some extinctions predicted by the end of the century. The Mediterranean and Temperate groups seem to be more tolerant of temperature increases, however, their projections varied considerably under different climate change scenarios. Scenario A1FI was clearly the most detrimental for European bat diversity, with several extinctions and declines in occupied area predicted for several species. The B scenarios were less damaging and even predicted that some species could increase their geographical ranges. However, all models only took into account climatic envelopes whereas available habitat and species interactions will also probably play an important role in delimiting future distribution patterns. The models may therefore generate 'best case' predictions about future changes in the distribution of European bats.</t>
  </si>
  <si>
    <t>[Rebelo, Hugo; Tarroso, Pedro] Ctr Invest Biodiversidade &amp; Recursos Genet, Inst Ciencias Agr Vairao, P-4485661 Vairao, Portugal; [Rebelo, Hugo; Jones, Gareth] Univ Bristol, Sch Biol Sci, Bristol BS8 1UG, Avon, England</t>
  </si>
  <si>
    <t>Universidade do Porto; University of Bristol</t>
  </si>
  <si>
    <t>Rebelo, H (corresponding author), Ctr Invest Biodiversidade &amp; Recursos Genet, Inst Ciencias Agr Vairao, P-4485661 Vairao, Portugal.</t>
  </si>
  <si>
    <t>hugo_reb@sapo.pt</t>
  </si>
  <si>
    <t>Rebelo, Hugo/C-9005-2009; Tarroso, Peo/I-3023-2012; Tarroso, Pedro/I-3023-2012</t>
  </si>
  <si>
    <t>Rebelo, Hugo/0000-0002-7118-4068; Tarroso, Peo/0000-0002-2694-1170; Jones, Gareth/0000-0002-1904-3735;</t>
  </si>
  <si>
    <t>Fundacao da Ciencia e Tecnologia [SFRH/BD/17755/2004, SFRH/BD/42480/2007]; Fundação para a Ciência e a Tecnologia [SFRH/BD/42480/2007, SFRH/BD/17755/2004] Funding Source: FCT</t>
  </si>
  <si>
    <t>Fundacao da Ciencia e Tecnologia(Fundacao para a Ciencia e a Tecnologia (FCT)); Fundação para a Ciência e a Tecnologia(Fundacao para a Ciencia e a Tecnologia (FCT))</t>
  </si>
  <si>
    <t>The authors wish to thank Jose Carlos Brito for the advices and Dr. Tim Mitchell for the valuable help in converting climatic data. HR and PT were funded by Fundacao da Ciencia e Tecnologia (SFRH/BD/17755/2004 and SFRH/BD/42480/2007, respectively).</t>
  </si>
  <si>
    <t>10.1111/j.1365-2486.2009.02021.x</t>
  </si>
  <si>
    <t>554EX</t>
  </si>
  <si>
    <t>WOS:000274419400007</t>
  </si>
  <si>
    <t>Bender, MA; Knutson, TR; Tuleya, RE; Sirutis, JJ; Vecchi, GA; Garner, ST; Held, IM</t>
  </si>
  <si>
    <t>Bender, Morris A.; Knutson, Thomas R.; Tuleya, Robert E.; Sirutis, Joseph J.; Vecchi, Gabriel A.; Garner, Stephen T.; Held, Isaac M.</t>
  </si>
  <si>
    <t>Modeled Impact of Anthropogenic Warming on the Frequency of Intense Atlantic Hurricanes</t>
  </si>
  <si>
    <t>TROPICAL CYCLONE ACTIVITY; NORTH-ATLANTIC; CLIMATE-CHANGE; VARIABILITY; SIMULATIONS</t>
  </si>
  <si>
    <t>Several recent models suggest that the frequency of Atlantic tropical cyclones could decrease as the climate warms. However, these models are unable to reproduce storms of category 3 or higher intensity. We explored the influence of future global warming on Atlantic hurricanes with a downscaling strategy by using an operational hurricane-prediction model that produces a realistic distribution of intense hurricane activity for present-day conditions. The model projects nearly a doubling of the frequency of category 4 and 5 storms by the end of the 21st century, despite a decrease in the overall frequency of tropical cyclones, when the downscaling is based on the ensemble mean of 18 global climate-change projections. The largest increase is projected to occur in the Western Atlantic, north of 20 degrees N.</t>
  </si>
  <si>
    <t>[Bender, Morris A.; Knutson, Thomas R.; Sirutis, Joseph J.; Vecchi, Gabriel A.; Garner, Stephen T.; Held, Isaac M.] NOAA, Geophys Fluid Dynam Lab, Princeton, NJ 08540 USA; [Tuleya, Robert E.] Old Dominion Univ, Ctr Coastal Phys Oceanog, Norfolk, VA 23508 USA</t>
  </si>
  <si>
    <t>National Oceanic Atmospheric Admin (NOAA) - USA; Old Dominion University</t>
  </si>
  <si>
    <t>Bender, MA (corresponding author), NOAA, Geophys Fluid Dynam Lab, 201 Forrestal Rd, Princeton, NJ 08540 USA.</t>
  </si>
  <si>
    <t>Morris.Bender@noaa.gov</t>
  </si>
  <si>
    <t>; Knutson, Thomas/G-7457-2019; Held, Isaac/F-3911-2012; Knutson, Thomas/P-7225-2019; Vecchi, Gabriel/A-2413-2008</t>
  </si>
  <si>
    <t>Held, Isaac/0000-0002-6744-439X; Knutson, Thomas/0000-0003-4541-519X; Vecchi, Gabriel/0000-0002-5085-224X</t>
  </si>
  <si>
    <t>Office of Science, U. S. Department of Energy</t>
  </si>
  <si>
    <t>Office of Science, U. S. Department of Energy(United States Department of Energy (DOE))</t>
  </si>
  <si>
    <t>We wish to thank T. Marchok, R. Stouffer, A. Wittenburg, and three Science reviewers for their helpful comments and suggestions on earlier versions of the manuscript. We are also grateful to T. Marchok for his assistance in the preparation of several figures and to S. Sellars for assistance with some statistical calculations. Special appreciation goes to the current director of GFDL, V. Ramaswamy, for his support and encouragement. We thank the CMIP3 modeling groups, the Program for Climate Model Diagnosis and Intercomparison (PCMDI), and the World Climate Research Programme's (WCRP) Working Group on Coupled Modelling (WGCM) for their roles in making available the WCRP CMIP3 multi-model dataset. Support of this dataset is provided by the Office of Science, U. S. Department of Energy.</t>
  </si>
  <si>
    <t>10.1126/science.1180568</t>
  </si>
  <si>
    <t>546BS</t>
  </si>
  <si>
    <t>WOS:000273783100035</t>
  </si>
  <si>
    <t>Casini, M; Bartolino, V; Molinero, JC; Kornilovs, G</t>
  </si>
  <si>
    <t>Casini, Michele; Bartolino, Valerio; Molinero, Juan Carlos; Kornilovs, Georgs</t>
  </si>
  <si>
    <t>Linking fisheries, trophic interactions and climate: threshold dynamics drive herring Clupea harengus growth in the central Baltic Sea</t>
  </si>
  <si>
    <t>Condition; Weight-at-age; WAA; Ecological threshold; Inter-specific density-dependence; Hydro-climate; Herring; Sprat; Ecosystem-based fisheries management; Alternative dynamics</t>
  </si>
  <si>
    <t>SPRAT SPRATTUS-SPRATTUS; NORTH-SEA; POPULATION-DYNAMICS; MARINE ECOSYSTEM; REGIME SHIFTS; MEAN LENGTH; BOTTOM-UP; TOP-DOWN; AT-AGE; FISH</t>
  </si>
  <si>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</si>
  <si>
    <t>[Casini, Michele; Bartolino, Valerio] Inst Marine Res, Swedish Board Fisheries, S-45321 Lysekil, Sweden; [Molinero, Juan Carlos] Leibniz Inst Marine Sci IFM GEOMAR, D-24105 Kiel, Germany; [Kornilovs, Georgs] Latvian Fish Resources Agcy, LV-1048 Riga, Latvia</t>
  </si>
  <si>
    <t>Casini, M (corresponding author), Inst Marine Res, Swedish Board Fisheries, POB 4, S-45321 Lysekil, Sweden.</t>
  </si>
  <si>
    <t>michele.casini@fiskeriverket.se</t>
  </si>
  <si>
    <t>Bartolino, Valerio/0000-0002-4506-4329; Casini, Michele/0000-0003-4910-5236</t>
  </si>
  <si>
    <t>10.3354/meps08592</t>
  </si>
  <si>
    <t>646TW</t>
  </si>
  <si>
    <t>Green Accepted, Bronze</t>
  </si>
  <si>
    <t>WOS:000281566900019</t>
  </si>
  <si>
    <t>McGeoch, MA; Butchart, SHM; Spear, D; Marais, E; Kleynhans, EJ; Symes, A; Chanson, J; Hoffmann, M</t>
  </si>
  <si>
    <t>McGeoch, Melodie A.; Butchart, Stuart H. M.; Spear, Dian; Marais, Elrike; Kleynhans, Elizabeth J.; Symes, Andy; Chanson, Janice; Hoffmann, Michael</t>
  </si>
  <si>
    <t>Global indicators of biological invasion: species numbers, biodiversity impact and policy responses</t>
  </si>
  <si>
    <t>Biological invasions; Convention on Biological Diversity 2010 Biodiversity Target; environmental legislation; invasive alien species; Red List Index; species richness</t>
  </si>
  <si>
    <t>RED LIST INDEXES; TEMPORAL TRENDS; PLANT INVASIONS; ALIEN FLORA; RICHNESS; GLOBALIZATION; DIVERSITY; PATHWAYS; PATTERNS; DECLINES</t>
  </si>
  <si>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</si>
  <si>
    <t>[McGeoch, Melodie A.] S African Natl Pk, Ctr Invas Biol, ZA-7947 Steenberg, South Africa; [McGeoch, Melodie A.] S African Natl Pk, Cape Res Ctr, ZA-7947 Steenberg, South Africa; [Butchart, Stuart H. M.; Symes, Andy] BirdLife Int, Cambridge CB3 0NA, England; [Spear, Dian; Marais, Elrike; Kleynhans, Elizabeth J.] Univ Stellenbosch, Ctr Invas Biol, ZA-7602 Matieland, South Africa; [Chanson, Janice] IUCN SSC CI CABS Biodivers Assessment Unit, Cheltenham, Vic 3192, Australia; [Hoffmann, Michael] Conservat Int, Ctr Appl Biodivers Sci, IUCN SSC CI CABS Biodivers Assessment Unit, Arlington, VA 22202 USA; [Hoffmann, Michael] IUCN, IUCN Species Programme, CH-1196 Gland, Switzerland</t>
  </si>
  <si>
    <t>BirdLife International; Stellenbosch University; Conservation International</t>
  </si>
  <si>
    <t>McGeoch, MA (corresponding author), S African Natl Pk, Ctr Invas Biol, POB 216, ZA-7947 Steenberg, South Africa.</t>
  </si>
  <si>
    <t>melodiem@sanparks.org</t>
  </si>
  <si>
    <t>Hoffmann, Michael/E-6419-2010; Spear, Dian/B-2469-2009; McGeoch, Melodie/F-8353-2011; Butchart, Stuart/Y-2711-2018</t>
  </si>
  <si>
    <t>Hoffmann, Michael/0000-0003-4785-2254; Spear, Dian/0000-0002-2417-3980; McGeoch, Melodie/0000-0003-3388-2241; Butchart, Stuart/0000-0002-1140-4049</t>
  </si>
  <si>
    <t>The Global Invasive Species Programme; Centre for Invasion Biology</t>
  </si>
  <si>
    <t>We thank Sarah Simons and The Global Invasive Species Programme, as well as Sarah Davies, Karla Coombe-Davis, Steven Chown and the Centre for Invasion Biology for discussion and supporting and funding this research. We are grateful to the members of GISP's Expert Working Group on IAS Indicators who provided advice: Georgina Mace, Tim Blackburn, Michael Browne, Richard Smith, Jean-Christophe Vie, Tristan Tyrrell, Martin Parr, Geoffrey Howard. We thank CABI, GISD and DAISIE for access to their databases and Piero Genovesi and Shyama Pagad (Invasive Species Specialist Group) for assistance with data collation. For the RLI, we thank all who have contributed to the Red List assessments upon which the indicator is based (for birds, see BirdLife International 2008). Simon Stuart kindly helped in determining the primary drivers for the RLI for mammals. We also thank Ben Collen and two anonymous referees for insightful comments on the manuscript.</t>
  </si>
  <si>
    <t>WILEY-BLACKWELL PUBLISHING, INC</t>
  </si>
  <si>
    <t>MALDEN</t>
  </si>
  <si>
    <t>COMMERCE PLACE, 350 MAIN ST, MALDEN 02148, MA USA</t>
  </si>
  <si>
    <t>10.1111/j.1472-4642.2009.00633.x</t>
  </si>
  <si>
    <t>545HM</t>
  </si>
  <si>
    <t>WOS:000273723100010</t>
  </si>
  <si>
    <t>Yates, CJ; McNeill, A; Elith, J; Midgley, GF</t>
  </si>
  <si>
    <t>Yates, Colin J.; McNeill, Asha; Elith, Jane; Midgley, Guy F.</t>
  </si>
  <si>
    <t>Assessing the impacts of climate change and land transformation on Banksia in the South West Australian Floristic Region</t>
  </si>
  <si>
    <t>Biodiversity hotspot; climate change; habitat fragmentation; MAXENT; mediterranean-type ecosystem; species distribution model</t>
  </si>
  <si>
    <t>BIOCLIMATE ENVELOPE MODELS; FIRE-PRONE ENVIRONMENTS; CANOPY SEED STORAGE; SPECIES DISTRIBUTION; GLOBAL CHANGE; ECOLOGICAL SIGNIFICANCE; RANGE; DISPERSAL; RESPONSES; FUTURE</t>
  </si>
  <si>
    <t>Aim To determine the potential combined effects of climate change and land transformation on the modelled geographic ranges of Banksia. Location Mediterranean climate South West Australian Floristic Region (SWAFR). Methods We used the species distribution modelling software Maxent to relate current environmental conditions to occurrence data for 18 Banksia species, and subsequently made spatial predictions using two simple dispersal scenarios (zero and universal), for three climate-severity scenarios at 2070, taking the impacts of land transformation on species' ranges into account. The species were chosen to reflect the biogeography of Banksia in the SWAFR. Results Climate-severity scenario, dispersal scenario, biogeographic distribution and land transformation all influenced the direction and magnitude of the modelled range change responses for the 18 species. The predominant response of species to all climate change scenarios was range contraction, with exceptions for some northern and widespread species. Including land transformation in estimates of modelled geographic range size for the three climate-severity scenarios generally resulted in smaller gains and larger declines in species ranges across both dispersal scenarios. Including land transformation and assuming zero dispersal resulted, as expected, in the greatest declines in projected range size across all species. Increasing climate change severity greatly increased the risk of decline in the 18 Banksia species, indicating the critical role of mitigating future emissions. Main conclusions The combined effects of climate change and land transformation may have significant adverse impacts on endemic Proteaceae in the SWAFR, especially under high emissions scenarios and if, as expected, natural migration is limiting. Although these results need cautious interpretation in light of the many assumptions underlying the techniques used, the impacts identified warrant a clear focus on monitoring across species ranges to detect early signs of change, and experiments that determine physiological thresholds for species in order to validate and refine the models.</t>
  </si>
  <si>
    <t>[Yates, Colin J.; McNeill, Asha] Western Australian Dept Environm &amp; Conservat, LMB 104, Div Sci, Bentley, WA 6983, Australia; [Elith, Jane] Univ Melbourne, Sch Bot, Parkville, Vic 3010, Australia; [Midgley, Guy F.] S African Natl Biodivers Inst, ZA-7735 Claremont, South Africa</t>
  </si>
  <si>
    <t>University of Melbourne; South African National Biodiversity Institute</t>
  </si>
  <si>
    <t>Yates, CJ (corresponding author), Western Australian Dept Environm &amp; Conservat, LMB 104, Div Sci, Bentley Delivery Ctr, Bentley, WA 6983, Australia.</t>
  </si>
  <si>
    <t>colin.yates@dec.wa.gov.au</t>
  </si>
  <si>
    <t>Midgley, Guy/H-3585-2014; McNeill, Asha/J-9339-2018; Yates, Colin/B-5972-2011; Elith, Jane/F-2022-2015</t>
  </si>
  <si>
    <t>Midgley, Guy/0000-0001-8264-0869; McNeill, Asha/0000-0002-3870-7517; Elith, Jane/0000-0002-8706-0326</t>
  </si>
  <si>
    <t>ARC [DP0772671]; Australian Centre of Excellence; Australian Research Council [DP0772671] Funding Source: Australian Research Council</t>
  </si>
  <si>
    <t>ARC(Australian Research Council); Australian Centre of Excellence; Australian Research Council(Australian Research Council)</t>
  </si>
  <si>
    <t>We thank the Commonwealth Government of Australia Bilateral Climate Change Partnership Program for supporting DEC and SANBI in collaborative research on climate change and biodiversity in Western Australia and South Africa. We thank Paul Gioia (DEC) for help with data management. We are grateful to Linda Beaumont and Andres Roubicek at Macquarie University for providing us with the Matlab scripts for calculating bioclimatic variables. We thank Richard McKellar for comments on the manuscript. J.E. was supported by ARC grant DP0772671 and the Australian Centre of Excellence for Risk Analysis.</t>
  </si>
  <si>
    <t>10.1111/j.1472-4642.2009.00623.x</t>
  </si>
  <si>
    <t>WOS:000273723100018</t>
  </si>
  <si>
    <t>Loarie, SR; Duffy, PB; Hamilton, H; Asner, GP; Field, CB; Ackerly, DD</t>
  </si>
  <si>
    <t>Loarie, Scott R.; Duffy, Philip B.; Hamilton, Healy; Asner, Gregory P.; Field, Christopher B.; Ackerly, David D.</t>
  </si>
  <si>
    <t>The velocity of climate change</t>
  </si>
  <si>
    <t>MIGRATION CAPACITY; PROTECTED AREAS; CHANGE IMPACTS; DISPERSAL; MOUNTAIN; SYSTEMS; FOREST; SHIFTS; BIRDS; USA</t>
  </si>
  <si>
    <t>The ranges of plants and animals are moving in response to recent changes in climate(1). As temperatures rise, ecosystems with 'nowhere to go', such as mountains, are considered to be more threatened(2,3). However, species survival may depend as much on keeping pace with moving climates as the climate's ultimate persistence(4,5). Here we present a new index of the velocity of temperature change (km yr(-1)), derived from spatial gradients (degrees C km(-1)) and multimodel ensemble forecasts of rates of temperature increase (degrees C yr(-1)) in the twenty-first century. This index represents the instantaneous local velocity along Earth's surface needed to maintain constant temperatures, and has a global mean of 0.42 km yr(-1) (A1B emission scenario). Owing to topographic effects, the velocity of temperature change is lowest in mountainous biomes such as tropical and subtropical coniferous forests (0.08 km yr(-1)), temperate coniferous forest, and montane grasslands. Velocities are highest in flooded grasslands (1.26 km yr(-1)), mangroves and deserts. High velocities suggest that the climates of only 8% of global protected areas have residence times exceeding 100 years. Small protected areas exacerbate the problem in Mediterranean-type and temperate coniferous forest biomes. Large protected areas may mitigate the problem in desert biomes. These results indicate management strategies for minimizing biodiversity loss from climate change. Montane landscapes may effectively shelter many species into the next century. Elsewhere, reduced emissions, a much expanded network of protected areas(6), or efforts to increase species movement may be necessary(7).</t>
  </si>
  <si>
    <t>[Loarie, Scott R.; Duffy, Philip B.; Asner, Gregory P.; Field, Christopher B.] Carnegie Inst Sci, Dept Global Ecol, Stanford, CA 94305 USA; [Duffy, Philip B.] Climate Cent Inc, Palo Alto, CA 94301 USA; [Hamilton, Healy] Calif Acad Sci, Ctr Appl Biodivers Informat, San Francisco, CA 94118 USA; [Ackerly, David D.] Univ Calif Berkeley, Dept Integrat Biol, Berkeley, CA 94720 USA</t>
  </si>
  <si>
    <t>Carnegie Institution for Science; California Academy of Sciences; University of California System; University of California Berkeley</t>
  </si>
  <si>
    <t>Loarie, SR (corresponding author), Carnegie Inst Sci, Dept Global Ecol, Stanford, CA 94305 USA.</t>
  </si>
  <si>
    <t>loarie@stanford.edu</t>
  </si>
  <si>
    <t>Asner, Gregory/G-9268-2013; Field, Christopher/AEN-8826-2022; Ackerly, David/A-1247-2009; Asner, Gregory/G-9268-2013</t>
  </si>
  <si>
    <t>Asner, Gregory/0000-0001-7893-6421; Ackerly, David/0000-0002-1847-7398; Loarie, Scott/0000-0002-6898-3221; Asner, Gregory/0000-0001-7893-6421</t>
  </si>
  <si>
    <t>Gordon and Betty Moore Foundation; Stanford University Global Climate and Energy Project</t>
  </si>
  <si>
    <t>Gordon and Betty Moore Foundation(Gordon &amp; Betty Moore Foundation); Stanford University Global Climate and Energy Project</t>
  </si>
  <si>
    <t>This work was made possible through the support of the Gordon and Betty Moore Foundation and the Stanford University Global Climate and Energy Project.</t>
  </si>
  <si>
    <t>DEC 24</t>
  </si>
  <si>
    <t>U111</t>
  </si>
  <si>
    <t>10.1038/nature08649</t>
  </si>
  <si>
    <t>535UB</t>
  </si>
  <si>
    <t>WOS:000272996000046</t>
  </si>
  <si>
    <t>Brink, AB; Eva, HD</t>
  </si>
  <si>
    <t>Brink, Andreas Bernhard; Eva, Hugh Douglas</t>
  </si>
  <si>
    <t>Monitoring 25 years of land cover change dynamics in Africa: A sample based remote sensing approach</t>
  </si>
  <si>
    <t>Africa; Land cover change; High resolution satellite data; Sampling</t>
  </si>
  <si>
    <t>STRATEGIES; VALIDATION; MAP</t>
  </si>
  <si>
    <t>The study examines the changes in sub-saharan's natural land covet resources for a 25 year period. We assess these changes in four broad land cover classes - forests, natural lion-forest vegetation, agriculture and barren - by using high spatial resolution Earth observing satellites. Two sets of sample Images. one 'historical' targeted at 1975 and a second 'recent' targeted at the year 2000. have been selected through a stratified random sampling technique over the study area. targeting a sampling rate of 1% in each of the strata. The results, presented at eco-region level and aggregated at sub-Saharan level, show a 57% increase in agriculture area at the expense of natural vegetation which has itself decreased by 21% over the period. with nearly 5 million hectares forest and non-forest natural vegetation lost per year. The impacts of these changes on the environment on one site and on the socio-economy on the other site are discussed and possible pressures oil human well being are highlighted. (c) 2008 Elsevier Ltd. All rights reserved</t>
  </si>
  <si>
    <t>[Brink, Andreas Bernhard; Eva, Hugh Douglas] European Commiss, Joint Res Ctr, Global Environm Monitoring Unit, Inst Environm &amp; Sustainabil, I-21027 Ispra, VA, Italy</t>
  </si>
  <si>
    <t>European Commission Joint Research Centre; EC JRC ISPRA Site</t>
  </si>
  <si>
    <t>Brink, AB (corresponding author), European Commiss, Joint Res Ctr, Global Environm Monitoring Unit, Inst Environm &amp; Sustainabil, V E Fermi 2749, I-21027 Ispra, VA, Italy.</t>
  </si>
  <si>
    <t>EVA, Hugh/F-8412-2011</t>
  </si>
  <si>
    <t>10.1016/j.apgeog.2008.10.004</t>
  </si>
  <si>
    <t>512NI</t>
  </si>
  <si>
    <t>WOS:000271256000004</t>
  </si>
  <si>
    <t>Cop, J; Vidrih, M; Hacin, J</t>
  </si>
  <si>
    <t>Cop, J.; Vidrih, M.; Hacin, J.</t>
  </si>
  <si>
    <t>Influence of cutting regime and fertilizer application on the botanical composition, yield and nutritive value of herbage of wet grasslands in Central Europe</t>
  </si>
  <si>
    <t>wet grassland; cutting regime; fertilizer application; botanical composition; plant diversity; herbage yield; nutritive value</t>
  </si>
  <si>
    <t>WETLAND HAY MEADOWS; INORGANIC FERTILIZERS; SOMERSET MOORS; NITROGEN; PRODUCTIVITY; VEGETATION; PHOSPHORUS; LIVESTOCK; DATE</t>
  </si>
  <si>
    <t>The changes in dry matter (DM) yield, botanical composition and nutritive value of herbage to ruminants of two wet grasslands, Arrhenatherum elatius grassland (Experiment 1) and a Molinia caerulea fen meadow (Experiment 2), in which a range of cutting and fertilizer treatments were imposed in 1999, were assessed after 4-7 years of treatment imposition. Both experiments had a split-plot design with four replicates. In Experiment 1 the three main-plot cutting treatments were two cuts with a delayed first cut, three cuts and four cuts during the growing season of each year. In Experiment 2 the cutting treatments were two cuts with a traditional harvest time, two cuts with a delayed first cut and three cuts. The four sub-plot fertilizer treatments were an unfertilized control, application of a phosphorus and potassium (PK) fertilizer, application of a nitrogen (N) and PK fertilizer to the first cut only (N(1)PK) and application of PK plus N applied to each of two, three or four cuts (N(c)PK). Application of fertilizer influenced yield and botanical composition of herbage more than the cutting treatments while the opposite occurred for nutritive value of the herbage. Application of fertilizer increased the proportion of tall grasses in Experiment 1 and forbs in Experiment 2. The proportion of Equisetum palustre, present only in Experiment 1, was reduced from 0 center dot 33 to less than 0 center dot 01 by increased cutting frequency together with the NPK fertilizer treatments. In Experiment 1 diversity of vascular plants was negatively affected only by the four-cuts treatment while on both wet grasslands other cutting and fertilizer application treatments had no effect. Changes in DM yield of herbage caused by the cutting and fertilizer application treatments were similar for both vegetation types with DM yield increased significantly by fertilizer application but only slightly or not reduced by increasing the cutting frequency. Nutritive value of herbage was positively correlated with cutting frequency and was most influenced at the first cut.</t>
  </si>
  <si>
    <t>[Cop, J.; Vidrih, M.; Hacin, J.] Univ Ljubljana, Biotech Fac, SI-1000 Ljubljana, Slovenia</t>
  </si>
  <si>
    <t>University of Ljubljana</t>
  </si>
  <si>
    <t>Cop, J (corresponding author), Univ Ljubljana, Biotech Fac, Jamnikarjeva 101, SI-1000 Ljubljana, Slovenia.</t>
  </si>
  <si>
    <t>jure.cop@bf.uni-lj.si</t>
  </si>
  <si>
    <t>Municipal community of the city of Ljubljana; Ministry of Agriculture, Forestry and Food of Slovenia; Ministry of Science and Technology of Slovenia</t>
  </si>
  <si>
    <t>This work was supported financially by the Municipal community of the city of Ljubljana, the Ministry of Agriculture, Forestry and Food of Slovenia and the Ministry of Science and Technology of Slovenia. The authors wish to thank Prof. Katarina Kosmelj for her statistical assistance, Prof. John A. Milne for his thorough technical editing, Prof. Grant R. Edwards and the anonymous referee for their valuable comments on the manuscript and Bostjan Medved for his technical support.</t>
  </si>
  <si>
    <t>10.1111/j.1365-2494.2009.00713.x</t>
  </si>
  <si>
    <t>519QX</t>
  </si>
  <si>
    <t>WOS:000271783500012</t>
  </si>
  <si>
    <t>Lanta, V; Dolezal, J; Lantová, P; Kelísek, J; Mudrák, O</t>
  </si>
  <si>
    <t>Lanta, V.; Dolezal, J.; Lantova, P.; Kelisek, J.; Mudrak, O.</t>
  </si>
  <si>
    <t>Effects of pasture management and fertilizer regimes on botanical changes in species-rich mountain calcareous grassland in Central Europe</t>
  </si>
  <si>
    <t>abandonment; fertilization; grazing; mowing; plant functional group; species richness</t>
  </si>
  <si>
    <t>PLANT DIVERSITY; VEGETATION CHANGES; GRAZING INTENSITY; TRAIT RESPONSES; PRODUCTIVITY; DISTURBANCE; HISTORY; COMMUNITIES; SUCCESSION; HERBIVORES</t>
  </si>
  <si>
    <t>A 3-year experiment was conducted in Central Europe to examine the effects of three managements, viz. continuous cattle grazing from April to September, mowing once in July and abandonment of grazing, and two levels of fertilizer application, no fertilizer and 400 kg ha-1 of a NPK fertilizer, on changes in plant species composition and summer biomass of dry matter (DM) in a calcareous mountain grassland containing many plant functional types. Different managements led to changes in species composition due to species-specific responses. Low creeping and rosette species were associated with grazing, while grasses and tall forbs correlated with mowing and abandonment of grazing, probably because of their ability to outcompete rosette species. There was a negative relationship between the number of species and above-ground biomass and a positive relationship between number of species and below-ground biomass, suggesting that these species-rich communities allocate more to below-ground organs when not grazed. The application of fertilizer had no effect on species composition but it indirectly increased competitive asymmetry for light and increased the number of plant extinctions. It is concluded that continuation of cattle grazing is an acceptable form of grassland management at the study site and that species and functional group compositions can rapidly change with changing environmental conditions such as abandonment of grazing or application of fertilizer.</t>
  </si>
  <si>
    <t>[Lanta, V.; Dolezal, J.; Mudrak, O.] Acad Sci Czech Republ, Inst Bot, Sect Funct Ecol, CZ-37982 Trebon, Czech Republic; [Lanta, V.] Univ Turku, Dept Biol, Sect Ecol, SF-20500 Turku, Finland; [Dolezal, J.; Lantova, P.; Kelisek, J.; Mudrak, O.] Univ S Bohemia, Fac Sci, Ceske Budejovice, Czech Republic</t>
  </si>
  <si>
    <t>Czech Academy of Sciences; Institute of Botany of the Czech Academy of Sciences; University of Turku; University of South Bohemia Ceske Budejovice</t>
  </si>
  <si>
    <t>Lanta, V (corresponding author), Acad Sci Czech Republ, Inst Bot, Sect Plant Ecol, Dukelska 135, CZ-37982 Trebon, Czech Republic.</t>
  </si>
  <si>
    <t>vojlan@utu.fi</t>
  </si>
  <si>
    <t>Mudrák, Ondřej/H-1614-2014; Doležal, Jiří/H-1583-2014; Lanta, Vojtech/J-7032-2017</t>
  </si>
  <si>
    <t>Mudrák, Ondřej/0000-0001-7775-0414; Dolezal, Jiri/0000-0002-5829-4051; Lanta, Vojtech/0000-0003-4484-3838</t>
  </si>
  <si>
    <t>[620/11/03 6000508502]; [206/05/H012]; [526/06/0723]; [526/07/0808]</t>
  </si>
  <si>
    <t>; ; ;</t>
  </si>
  <si>
    <t>The authors are indebted to Jiri Mach and Lucie Dolezalova for their help in the field and Jan W. Jongepier for correcting the English of the text. The experiment was supported by grants VaV 620/11/03 6000508502. P.L. and V.L. were financially supported by grants 206/05/H012 and 526/06/0723, and 526/07/0808 (GACR), respectively.</t>
  </si>
  <si>
    <t>10.1111/j.1365-2494.2009.00709.x</t>
  </si>
  <si>
    <t>WOS:000271783500011</t>
  </si>
  <si>
    <t>Parry, L; Barlow, J; Peres, CA</t>
  </si>
  <si>
    <t>Parry, Luke; Barlow, Jos; Peres, Carlos A.</t>
  </si>
  <si>
    <t>Hunting for Sustainability in Tropical Secondary Forests</t>
  </si>
  <si>
    <t>bushmeat; deforestation; food security; game birds; hunting; large mammals; secondary forest; sustainability</t>
  </si>
  <si>
    <t>IMPACT; CONSERVATION; AGRICULTURE; PATTERNS; PRIMATES; WILDLIFE; FUTURE; MODEL; HOME</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</si>
  <si>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</si>
  <si>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[Parry, Luke; Peres, Carlos A.] Univ E Anglia, Sch Environm Sci, Norwich NR4 7TJ, Norfolk, England; [Parry, Luke] EMBRAPA, CIFOR, BR-66095100 Belem, Para, Brazil; [Barlow, Jos] Univ Lancaster, Lancaster Environm Ctr, Lancaster LA1 4YQ, England</t>
  </si>
  <si>
    <t>University of East Anglia; CGIAR; Center for International Forestry Research (CIFOR); Empresa Brasileira de Pesquisa Agropecuaria (EMBRAPA); Lancaster University</t>
  </si>
  <si>
    <t>Parry, L (corresponding author), Univ E Anglia, Sch Environm Sci, Norwich NR4 7TJ, Norfolk, England.</t>
  </si>
  <si>
    <t>l.parry@uea.ac.uk</t>
  </si>
  <si>
    <t>Peres, Carlos/B-1276-2013; Barlow, Jos/HGE-9486-2022; Peres, Carlos/B-1276-2013; Parry, Luke/LMN-8844-2024</t>
  </si>
  <si>
    <t>Peres, Carlos/0000-0002-1588-8765; Parry, Luke/0000-0003-0330-9516; Barlow, Jos/0000-0003-4992-2594; Peres, Carlos/0000-0002-1588-8765;</t>
  </si>
  <si>
    <t>Karen Hanssen Trust; Center for International Forestry Research (CIFOR); Engineering and Physical Sciences Research Council [EP/E500811/1] Funding Source: researchfish</t>
  </si>
  <si>
    <t>Karen Hanssen Trust; Center for International Forestry Research (CIFOR)(CGIAR); Engineering and Physical Sciences Research Council(UK Research &amp; Innovation (UKRI)Engineering &amp; Physical Sciences Research Council (EPSRC))</t>
  </si>
  <si>
    <t>We thank villagers for their participation and Jari Celulose/Orsa Florestal for logistical support. Funding came from the Karen Hanssen Trust, a Rufford Small Grant for Nature Conservation, the People's Trust for Endangered Species, and Columbus Zoo. L.P. was supported by a Forest Livelihoods Fellowship from the Center for International Forestry Research (CIFOR). We thank M. Cohn-Haft, W. Overal, P. Shanley, P. Sherman, and T. Waite for advice. The manuscript was improved by comments from T. Gardner, F. Melo, E. J. Milner-Gulland, and two anonymous reviewers. This is publication number 18 of the Land-use Change and Amazonian Biodiversity Project.</t>
  </si>
  <si>
    <t>10.1111/j.1523-1739.2009.01224.x</t>
  </si>
  <si>
    <t>494HJ</t>
  </si>
  <si>
    <t>WOS:000269802200030</t>
  </si>
  <si>
    <t>Dodson, EK; Peterson, DW</t>
  </si>
  <si>
    <t>Dodson, Erich K.; Peterson, David W.</t>
  </si>
  <si>
    <t>Seeding and fertilization effects on plant cover and community recovery following wildfire in the Eastern Cascade Mountains, USA</t>
  </si>
  <si>
    <t>Erosion; Conservation; Diversity; Exotic; Invasion; Resilience</t>
  </si>
  <si>
    <t>INCREASED SOIL-NITROGEN; POSTFIRE REHABILITATION; STRAW MULCH; EROSION; VEGETATION; FOREST; FIRE; RESPONSES; COLORADO; RESTORATION</t>
  </si>
  <si>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</si>
  <si>
    <t>[Dodson, Erich K.; Peterson, David W.] US Forest Serv, Pacific NW Res Stn, Wenatchee, WA 98801 USA</t>
  </si>
  <si>
    <t>United States Department of Agriculture (USDA); United States Forest Service</t>
  </si>
  <si>
    <t>Dodson, EK (corresponding author), US Forest Serv, Pacific NW Res Stn, 1133 N Western Ave, Wenatchee, WA 98801 USA.</t>
  </si>
  <si>
    <t>edodson@fs.fed.us</t>
  </si>
  <si>
    <t>; Peterson, David/B-1105-2008</t>
  </si>
  <si>
    <t>Peterson, David/0000-0001-8333-7642;</t>
  </si>
  <si>
    <t>10.1016/j.foreco.2009.07.013</t>
  </si>
  <si>
    <t>498OW</t>
  </si>
  <si>
    <t>WOS:000270152300065</t>
  </si>
  <si>
    <t>Eyre, TJ; Maron, M; Mathieson, MT; Haseler, M</t>
  </si>
  <si>
    <t>Eyre, Teresa J.; Maron, Martine; Mathieson, Michael T.; Haseler, Murray</t>
  </si>
  <si>
    <t>Impacts of grazing, selective logging and hyper-aggressors on diurnal bird fauna in intact forest landscapes of the Brigalow Belt, Queensland</t>
  </si>
  <si>
    <t>AUSTRAL ECOLOGY</t>
  </si>
  <si>
    <t>grazing; habitat selection; noisy miner; road; selective logging</t>
  </si>
  <si>
    <t>SPECIES COMPOSITION; NOISY MINERS; AUSTRALIA; WOODLANDS; FRAGMENTATION; COMMUNITIES; EUCALYPTUS; REMNANT; FIRE; EDGE</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</si>
  <si>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</si>
  <si>
    <t>[Eyre, Teresa J.; Mathieson, Michael T.; Haseler, Murray] Queensland Environm Protect Agcy, Biodivers Sci Unit, Indooroopilly, Qld 4068, Australia; [Maron, Martine] Univ So Queensland, Australian Ctr Sustainable Catchments, Toowoomba, Qld 4350, Australia; [Maron, Martine] Univ So Queensland, Fac Sci, Toowoomba, Qld 4350, Australia; [Haseler, Murray] Bush Heritage Australia, Melbourne, Vic, Australia</t>
  </si>
  <si>
    <t>University of Southern Queensland; University of Southern Queensland; Bush Heritage Australia</t>
  </si>
  <si>
    <t>Eyre, TJ (corresponding author), Queensland Environm Protect Agcy, Biodivers Sci Unit, Forestry Bldg,80 Meiers Rd, Indooroopilly, Qld 4068, Australia.</t>
  </si>
  <si>
    <t>teresa.eyre@epa.qld.gov.au</t>
  </si>
  <si>
    <t>Maron, Martine/D-9699-2011</t>
  </si>
  <si>
    <t>Maron, Martine/0000-0002-5563-5789</t>
  </si>
  <si>
    <t>Western Hardwoods Biodiversity</t>
  </si>
  <si>
    <t>Many thanks to Annie Kelly, Don Butler, Sandy Pollock, Melanie Venz and Jian Wang for assistance in the field. Warm thanks also to Terri Sutcliffe, Alison Lawrence and James Thiessen for GIS support and the generation of spatial data, and Dan Ferguson and Tracy Bell for data entry and database maintenance. We are grateful to Brian Wright and Dick Clarkson for sharing their knowledge on management of grazing and fire in the western forests. This study was funded as a component of the Western Hardwoods Biodiversity project by the Queensland Department of Sustainable Development, under ethics permit Activity No. BRIBIE/6/99-1 issued by the Queensland Department of Primary Industries animal ethics committee.</t>
  </si>
  <si>
    <t>1442-9985</t>
  </si>
  <si>
    <t>1442-9993</t>
  </si>
  <si>
    <t>AUSTRAL ECOL</t>
  </si>
  <si>
    <t>Austral Ecol.</t>
  </si>
  <si>
    <t>10.1111/j.1442-9993.2009.01979.x</t>
  </si>
  <si>
    <t>492RA</t>
  </si>
  <si>
    <t>WOS:000269675600012</t>
  </si>
  <si>
    <t>Worm, B; Hilborn, R; Baum, JK; Branch, TA; Collie, JS; Costello, C; Fogarty, MJ; Fulton, EA; Hutchings, JA; Jennings, S; Jensen, OP; Lotze, HK; Mace, PM; McClanahan, TR; Minto, C; Palumbi, SR; Parma, AM; Ricard, D; Rosenberg, AA; Watson, R; Zeller, D</t>
  </si>
  <si>
    <t>Worm, Boris; Hilborn, Ray; Baum, Julia K.; Branch, Trevor A.; Collie, Jeremy S.; Costello, Christopher; Fogarty, Michael J.; Fulton, Elizabeth A.; Hutchings, Jeffrey A.; Jennings, Simon; Jensen, Olaf P.; Lotze, Heike K.; Mace, Pamela M.; McClanahan, Tim R.; Minto, Coilin; Palumbi, Stephen R.; Parma, Ana M.; Ricard, Daniel; Rosenberg, Andrew A.; Watson, Reg; Zeller, Dirk</t>
  </si>
  <si>
    <t>Rebuilding Global Fisheries</t>
  </si>
  <si>
    <t>BIODIVERSITY LOSS; FISH; MANAGEMENT; RECOVERY; ESTUARIES; OCEAN</t>
  </si>
  <si>
    <t>After a long history of overexploitation, increasing efforts to restore marine ecosystems and rebuild fisheries are under way. Here, we analyze current trends from a fisheries and conservation perspective. In 5 of 10 well-studied ecosystems, the average exploitation rate has recently declined and is now at or below the rate predicted to achieve maximum sustainable yield for seven systems. Yet 63% of assessed fish stocks worldwide still require rebuilding, and even lower exploitation rates are needed to reverse the collapse of vulnerable species. Combined fisheries and conservation objectives can be achieved by merging diverse management actions, including catch restrictions, gear modification, and closed areas, depending on local context. Impacts of international fleets and the lack of alternatives to fishing complicate prospects for rebuilding fisheries in many poorer regions, highlighting the need for a global perspective on rebuilding marine resources.</t>
  </si>
  <si>
    <t>[Worm, Boris; Hutchings, Jeffrey A.; Lotze, Heike K.; Minto, Coilin; Ricard, Daniel] Dalhousie Univ, Dept Biol, Halifax, NS B3H 4J1, Canada; [Hilborn, Ray; Branch, Trevor A.; Jensen, Olaf P.] Univ Washington, Sch Aquat &amp; Fishery Sci, Seattle, WA 98195 USA; [Baum, Julia K.] Univ Calif San Diego, Scripps Inst Oceanog, La Jolla, CA 92093 USA; [Collie, Jeremy S.] Univ Rhode Isl, Grad Sch Oceanog, Narragansett, RI 02882 USA; [Costello, Christopher] Univ Calif Santa Barbara, Donald Bren Sch Environm Sci &amp; Management, Santa Barbara, CA 93106 USA; [Fogarty, Michael J.] NOAA, Natl Marine Fisheries Serv, Woods Hole, MA 02543 USA; [Fulton, Elizabeth A.] CSIRO Marine &amp; Atmospher Res, Hobart, Tas 7001, Australia; [Jennings, Simon] Ctr Environm Fisheries &amp; Aquaculture Sci, Lowestoft NR33 0HT, Suffolk, England; [Jennings, Simon] Univ E Anglia, Sch Environm Sci, Norwich NR4 7TJ, Norfolk, England; [Mace, Pamela M.] Minist Fisheries, Wellington, New Zealand; [McClanahan, Tim R.] Wildlife Conservat Soc Marine Programs, Mombasa, Kenya; [Palumbi, Stephen R.] Stanford Univ, Hopkins Marine Stn, Pacific Grove, CA 93950 USA; [Parma, Ana M.] Ctr Nacl Patagon, RA-9120 Puerto Madryn, Argentina; [Rosenberg, Andrew A.] Univ New Hampshire, Inst Study Earth Oceans &amp; Space, Durham, NH 03824 USA; [Watson, Reg; Zeller, Dirk] Univ British Columbia, Fisheries Ctr, Vancouver, BC V6T 1Z4, Canada</t>
  </si>
  <si>
    <t>Dalhousie University; University of Washington; University of Washington Seattle; University of California System; University of California San Diego; Scripps Institution of Oceanography; University of Rhode Island; University of California System; University of California Santa Barbara; National Oceanic Atmospheric Admin (NOAA) - USA; Commonwealth Scientific &amp; Industrial Research Organisation (CSIRO); Centre for Environment Fisheries &amp; Aquaculture Science; University of East Anglia; Stanford University; Centro Nacional Patagonico (CENPAT); University System Of New Hampshire; University of New Hampshire; University of British Columbia</t>
  </si>
  <si>
    <t>Worm, B (corresponding author), Dalhousie Univ, Dept Biol, Halifax, NS B3H 4J1, Canada.</t>
  </si>
  <si>
    <t>bworm@dal.ca; rayh@u.washington.edu</t>
  </si>
  <si>
    <t>Watson, Reg/F-4850-2012; Jennings, Simon/F-5085-2012; Minto, Coilin/JNR-1568-2023; Baum, Julia/A-4693-2008; Ricard, Daniel/G-1814-2014; Hutchings, Jeffrey/ABA-1098-2020; Jensen, Olaf/E-4947-2011; Fulton, Beth/A-2871-2008; McClanahan, Tim/K-4998-2019; Hilborn, Ray/D-6332-2013; Worm, Boris/ADW-9659-2022; Branch, Trevor/A-5691-2009</t>
  </si>
  <si>
    <t>Watson, Reg/0000-0001-7201-8865; Zeller, Dirk/0000-0001-7304-4125; Jennings, Simon/0000-0002-2390-7225; Lotze, Heike/0000-0001-6258-1304; Baum, Julia/0000-0002-9827-1612; Minto, Cóilín/0000-0003-0630-6775; Worm, Boris/0000-0002-5742-8716; Fulton, Beth/0000-0002-5904-7917; McClanahan, Timothy/0000-0001-5821-3584; Hutchings, Jeffrey/0000-0003-1572-5429;</t>
  </si>
  <si>
    <t>National Center for Ecological Analysis and Synthesis; NSF; University of California, Santa Barbara; Natural Sciences and Engineering Research Council (NSERC); Canadian Foundation for Innovation; Sea Around Us Project; Pew Charitable Trusts</t>
  </si>
  <si>
    <t>National Center for Ecological Analysis and Synthesis; NSF(National Science Foundation (NSF)); University of California, Santa Barbara(University of California System); Natural Sciences and Engineering Research Council (NSERC)(Natural Sciences and Engineering Research Council of Canada (NSERC)); Canadian Foundation for Innovation(Canada Foundation for Innovation); Sea Around Us Project; Pew Charitable Trusts</t>
  </si>
  <si>
    <t>This work was conducted as part of the Finding common ground in marine conservation and management Working Group supported by the National Center for Ecological Analysis and Synthesis funded by NSF, the University of California, and the Santa Barbara campus. The authors acknowledge the Natural Sciences and Engineering Research Council (NSERC) and the Canadian Foundation for Innovation for funding database development, the Sea Around Us Project funded by Pew Charitable Trusts for compiling global catch data, and numerous colleagues and institutions around the world for sharing fisheries assessment, catch, access, and survey data, and ecosystem models.</t>
  </si>
  <si>
    <t>JUL 31</t>
  </si>
  <si>
    <t>10.1126/science.1173146</t>
  </si>
  <si>
    <t>477BY</t>
  </si>
  <si>
    <t>WOS:000268493000042</t>
  </si>
  <si>
    <t>Barnes, DKA; Galgani, F; Thompson, RC; Barlaz, M</t>
  </si>
  <si>
    <t>Barnes, David K. A.; Galgani, Francois; Thompson, Richard C.; Barlaz, Morton</t>
  </si>
  <si>
    <t>Accumulation and fragmentation of plastic debris in global environments</t>
  </si>
  <si>
    <t>persistent organic pollutants; marine debris; plastic production; landfill; microplastic</t>
  </si>
  <si>
    <t>SOUTHERN NORTH-SEA; MARINE DEBRIS; CONTINENTAL-SHELF; ISLAND SHORES; RESIN PELLETS; LITTER; TRANSPORT; ABUNDANCE; FLOOR; CHEMICALS</t>
  </si>
  <si>
    <t>One of the most ubiquitous and long-lasting recent changes to the surface of our planet is the accumulation and fragmentation of plastics. Within just a few decades since mass production of plastic products commenced in the 1950s, plastic debris has accumulated in terrestrial environments, in the open ocean, on shorelines of even the most remote islands and in the deep sea. Annual clean-up operations, costing millions of pounds sterling, are now organized in many countries and on every continent. Here we document global plastics production and the accumulation of plastic waste. While plastics typically constitute approximately 10 per cent of discarded waste, they represent a much greater proportion of the debris accumulating on shorelines. Mega- and macro-plastics have accumulated in the highest densities in the Northern Hemisphere, adjacent to urban centres, in enclosed seas and at water convergences ( fronts). We report lower densities on remote island shores, on the continental shelf seabed and the lowest densities (but still a documented presence) in the deep sea and Southern Ocean. The longevity of plastic is estimated to be hundreds to thousands of years, but is likely to be far longer in deep sea and non-surface polar environments. Plastic debris poses considerable threat by choking and starving wildlife, distributing non-native and potentially harmful organisms, absorbing toxic chemicals and degrading to micro-plastics that may subsequently be ingested. Well-established annual surveys on coasts and at sea have shown that trends in mega- and macro-plastic accumulation rates are no longer uniformly increasing: rather stable, increasing and decreasing trends have all been reported. The average size of plastic particles in the environment seems to be decreasing, and the abundance and global distribution of micro-plastic fragments have increased over the last few decades. However, the environmental consequences of such microscopic debris are still poorly understood.</t>
  </si>
  <si>
    <t>[Barnes, David K. A.] NERC, British Antarctic Survey, Cambridge CB3 OET, England; [Galgani, Francois] IFREMER, Ctr Mediterranee, Prov Azur Corse LER PAC, F-83507 La Seyne Sur Mer, France; [Thompson, Richard C.] Univ Plymouth, Inst Marine, Marine Biol &amp; Ecol Res Ctr, Plymouth PL4 8AA, Devon, England; [Barlaz, Morton] N Carolina State Univ, Dept Civil Construct &amp; Environm Engn, Raleigh, NC 27695 USA</t>
  </si>
  <si>
    <t>UK Research &amp; Innovation (UKRI); Natural Environment Research Council (NERC); NERC British Antarctic Survey; Ifremer; University of Plymouth; North Carolina State University</t>
  </si>
  <si>
    <t>Barnes, DKA (corresponding author), NERC, British Antarctic Survey, Madingley Rd, Cambridge CB3 OET, England.</t>
  </si>
  <si>
    <t>dkab@bas.ac.uk</t>
  </si>
  <si>
    <t>; galgani, francois/A-1973-2011; Thompson, Richard/J-8879-2014</t>
  </si>
  <si>
    <t>Thompson, Richard/0000-0003-2262-6621; galgani, francois/0000-0001-8770-6054; Barlaz, Morton/0000-0001-8028-3917;</t>
  </si>
  <si>
    <t>Natural Environment Research Council [bas010015] Funding Source: researchfish; NERC [bas010015] Funding Source: UKRI</t>
  </si>
  <si>
    <t>Natural Environment Research Council(UK Research &amp; Innovation (UKRI)Natural Environment Research Council (NERC)); NERC(UK Research &amp; Innovation (UKRI)Natural Environment Research Council (NERC))</t>
  </si>
  <si>
    <t>JUL 27</t>
  </si>
  <si>
    <t>10.1098/rstb.2008.0205</t>
  </si>
  <si>
    <t>461PU</t>
  </si>
  <si>
    <t>WOS:000267281600004</t>
  </si>
  <si>
    <t>Chrastansky, A; Callies, U</t>
  </si>
  <si>
    <t>Chrastansky, Alena; Callies, Ulrich</t>
  </si>
  <si>
    <t>Model-based long-term reconstruction of weather-driven variations in chronic oil pollution along the German North Sea coast</t>
  </si>
  <si>
    <t>Hydrodynamic modeling; Coastal oil pollution; Lagrangian trajectories; North Sea; Beached bird surveys</t>
  </si>
  <si>
    <t>DEAD BIRDS; TRENDS</t>
  </si>
  <si>
    <t>Lagrangian passive tracer transport simulations covering the 46-year period 1958-2003 were utilized to compare the exposures of different parts of the German North Sea coast to ship-related chronic oil pollution. Assuming the spatial distribution of oil releases to be proportional to estimated ship traffic density, detailed drift reconstructions allowed for the reconstruction of wind-induced inter-annual variations in coastal pollution. For the winter months, a statistical relationship between simulated advective transports and prevailing sea surface pressure fields was established via Canonical Correlation Analysis. Wind effects were found to be more important for the northern (Schleswig-Holstein) than for the southern (Lower Saxony) part of the German North Sea coast. For Schleswig-Holstein, simulations showed consensus with beached bird survey data from this region. Proper identification of weather-driven inter-annual and spatial variations in monitoring data helps to avert misjudgments with regard to trends in the general level of chronic oil pollution. (C) 2009 Elsevier Ltd. All rights reserved.</t>
  </si>
  <si>
    <t>[Chrastansky, Alena; Callies, Ulrich] GKSS Forschungszentrum Geesthacht GmbH, Inst Coastal Res, D-21502 Geesthacht, Germany</t>
  </si>
  <si>
    <t>Helmholtz Association; Helmholtz-Zentrum Hereon</t>
  </si>
  <si>
    <t>Chrastansky, A (corresponding author), GKSS Forschungszentrum Geesthacht GmbH, Inst Coastal Res, Max Planck Str 1, D-21502 Geesthacht, Germany.</t>
  </si>
  <si>
    <t>alena.chrastansky@gkss.de; ulrich.callies@gkss.de</t>
  </si>
  <si>
    <t>10.1016/j.marpolbul.2009.03.009</t>
  </si>
  <si>
    <t>476EY</t>
  </si>
  <si>
    <t>WOS:000268422500014</t>
  </si>
  <si>
    <t>Kuehl, HS; Nzeingui, C; Yeno, SLD; Huijbregts, B; Boesch, C; Walsh, PD</t>
  </si>
  <si>
    <t>Kuehl, Hjalmar S.; Nzeingui, Christian; Yeno, Stephane Le Duc; Huijbregts, Bas; Boesch, Christophe; Walsh, Peter D.</t>
  </si>
  <si>
    <t>Discriminating between village and commercial hunting of apes</t>
  </si>
  <si>
    <t>Village; Human population center; Density; Park management; Population gradient; Survey</t>
  </si>
  <si>
    <t>GORILLA GORILLA-GORILLA; CONSERVATION PRACTICE; FOREST; POPULATIONS; DECLINE; MODELS; CRISIS; EBOLA</t>
  </si>
  <si>
    <t>Hunting is the major driver of large mammal decline in Central African forests. in slowly reproducing species even low hunting pressure leaves spatial gradients with wildlife density increasing with distance from transport routes and human settlements. Park management can use this pattern formation to identify sources of threats, but also to discriminate between different threat scenarios, such as the impact of subsistence vs. commercial hunting. We conducted an ape survey in the mountainous Moukalaba Doudou National Park, Gabon, to evaluate whether potential population gradients would emanate from the three human population centers in the region or the villages surrounding the park. Using generalized linear modeling we found hill slope as a good predictor of ape nest occurrence probability and the distance to human population centers a better predictor of ape nest density and ape nest group size than distance to villages. In fact ape nest density was three times lower at the park borders close to the human population centers than in the park's interior. The results indicate that Moukalaba's ape population is more impacted by commercial than subsistence hunting and suggest that park management should focus conservation efforts on the human population centers. We conclude that in particular for slowly reproducing species geographic information on wildlife population gradients are of additional value for guiding protected area management. The hunting impact on those species might be easily underestimated, if derived only from market surveys or transport route controls, where they are only rarely found. (C) 2009 Elsevier Ltd. All rights reserved.</t>
  </si>
  <si>
    <t>[Kuehl, Hjalmar S.; Boesch, Christophe; Walsh, Peter D.] Max Planck Inst Evolutionary Anthropol, Dept Primatol, D-04103 Leipzig, Germany; [Nzeingui, Christian; Yeno, Stephane Le Duc; Huijbregts, Bas] WWF Gamba, World Wide Fund Nat, Libreville, Gabon</t>
  </si>
  <si>
    <t>Max Planck Society; World Wildlife Fund</t>
  </si>
  <si>
    <t>Kuehl, HS (corresponding author), Max Planck Inst Evolutionary Anthropol, Dept Primatol, Deutsch Pl 6, D-04103 Leipzig, Germany.</t>
  </si>
  <si>
    <t>kuehl@eva.mpg.de; leducyeno@yahoo.fr; huijbregts_bas@hotmail.com; boesch@eva.mpg.de; walsh@eva.mpg.de</t>
  </si>
  <si>
    <t>WWF Gamba; Max Planck Society; Deutscher Akademischer Austauschdienst (DAAD)</t>
  </si>
  <si>
    <t>WWF Gamba; Max Planck Society(Max Planck Society); Deutscher Akademischer Austauschdienst (DAAD)(Deutscher Akademischer Austausch Dienst (DAAD))</t>
  </si>
  <si>
    <t>We thank the government of Gabon for allowing us to work in Moukalaba Doudou NP. We thank especially Brice Leandre Meye, Park Warden of Moukalaba Doudou National Park, for his full support, and Augustin Mihindou Mbina, Park Warden of southern Loango, National Park and president of the Technical Management Committee during the time of field work, for his huge efforts in coordinating conservation work in the larger Gamba Complex. We also had great personnel and administrative support from Marc Dethier, Hugues Mouanambatsi, and the Moukalaba Doudou survey team. We thank Samantha Strindberg for helpful comments on the manuscript, and two anonymous reviewers. Source for the SRTM data we used in our study was the Global Land Cover Facility, http://www.landcover.org. This work was financed by WWF Gamba, Max Planck Society, and Deutscher Akademischer Austauschdienst (DAAD).</t>
  </si>
  <si>
    <t>10.1016/j.biocon.2009.02.032</t>
  </si>
  <si>
    <t>455IP</t>
  </si>
  <si>
    <t>WOS:000266752500026</t>
  </si>
  <si>
    <t>van Eekeren, N; de Boer, H; Bloem, J; Schouten, T; Rutgers, M; de Goede, R; Brussaard, L</t>
  </si>
  <si>
    <t>van Eekeren, Nick; de Boer, Herman; Bloem, Jaap; Schouten, Ton; Rutgers, Michiel; de Goede, Ron; Brussaard, Lijbert</t>
  </si>
  <si>
    <t>Soil biological quality of grassland fertilized with adjusted cattle manure slurries in comparison with organic and inorganic fertilizers</t>
  </si>
  <si>
    <t>BIOLOGY AND FERTILITY OF SOILS</t>
  </si>
  <si>
    <t>Earthworms; Nematodes; Microbiology; Slurry; Fertilizer; Ecosystem services; Grassland</t>
  </si>
  <si>
    <t>NITROGENOUS FERTILIZERS; EARTHWORMS OLIGOCHAETA; PIG SLURRY; BIODIVERSITY; NEMATODES; DYNAMICS; TERM; MICROORGANISMS; LUMBRICIDAE; COMMUNITIES</t>
  </si>
  <si>
    <t>We studied the effect of five fertilizers (including two adjusted manure slurries) and an untreated control on soil biota and explored the effect on the ecosystem services they provided. Our results suggest that the available N (NO (3) (-) and NH (4) (+) ) in the soil plays a central role in the effect of fertilizers on nematodes and microorganisms. Microorganisms are affected directly through nutrient availability and indirectly through grass root mass. Nematodes are affected indirectly through microbial biomass and grass root mass. A lower amount of available N in the treatment with inorganic fertilizer was linked to a higher root mass and a higher abundance and proportion of herbivorous nematodes. A higher amount of available N in the organic fertilizer treatments resulted in a twofold higher bacterial activity (measured as bacterial growth rate, viz. thymidine incorporation), a higher proportion of bacterivorous nematodes, a 30% higher potential N mineralization (aerobic incubation), and 25-50% more potentially mineralizable N (anaerobic incubation). Compared to inorganic fertilizer, organic fertilization increased the C total, the N total, the activity of decomposers, and the supply of nutrients via the soil food web. Within the group of organic fertilizers, there was no significant difference in C total, abundances of soil biota, and the potential N mineralization rate. There were no indications that farmyard manure or the adjusted manure slurries provided the ecosystem service supply of nutrients better than normal manure slurry. Normal manure slurry provided the highest bacterial activity and the highest amount of mineralizable N and it was the only fertilizer resulting in a positive trend in grass yield over the years 2000-2005. The number of earthworm burrows was higher in the treatments with organic fertilizers compared to the one with the inorganic fertilizer, which suggests that organic fertilizers stimulate the ecosystem service of water regulation more than inorganic fertilizer. The trend towards higher epigeic earthworm numbers with application of farmyard manure and one of the adjusted manure slurries, combined with the negative relation between epigeic earthworms and bulk density and a significantly lower penetration resistance in the same fertilizer types, is preliminary evidence that these two organic fertilizer types contribute more to the service of soil structure maintenance than inorganic fertilizer.</t>
  </si>
  <si>
    <t>[van Eekeren, Nick] Louis Bolk Inst, Dept Organ Agr, NL-3972 LA Driebergen, Netherlands; [de Boer, Herman] Univ Wageningen &amp; Res Ctr, Anim Sci Grp, NL-8200 AB Lelystad, Netherlands; [Bloem, Jaap] Univ Wageningen &amp; Res Ctr, Soil Sci Ctr, NL-6700 AA Wageningen, Netherlands; [Schouten, Ton; Rutgers, Michiel] Natl Inst Publ Hlth &amp; Environm, NL-3720 BA Bilthoven, Netherlands; [de Goede, Ron; Brussaard, Lijbert] Wageningen Univ, Dept Soil Qual, NL-6700 AA Wageningen, Netherlands</t>
  </si>
  <si>
    <t>Animal Sciences Group of Wageningen UR; Wageningen University &amp; Research; Wageningen University &amp; Research; Netherlands National Institute for Public Health &amp; the Environment; Wageningen University &amp; Research</t>
  </si>
  <si>
    <t>van Eekeren, N (corresponding author), Louis Bolk Inst, Dept Organ Agr, Hoofdstr 24, NL-3972 LA Driebergen, Netherlands.</t>
  </si>
  <si>
    <t>n.vaneekeren@louisbolk.nl</t>
  </si>
  <si>
    <t>de Goede, R.G.M./A-2812-2014; De'Boer, Herman/MBW-0389-2025; Brussaard, Lijbert/A-1698-2014; Goede, RGM/A-2812-2014</t>
  </si>
  <si>
    <t>van Eekeren, Nick/0000-0002-4026-3839; Brussaard, Lijbert/0000-0003-3870-1411; Goede, RGM/0000-0002-9786-5187; de Boer, Herman/0000-0002-7109-8426</t>
  </si>
  <si>
    <t>0178-2762</t>
  </si>
  <si>
    <t>1432-0789</t>
  </si>
  <si>
    <t>BIOL FERT SOILS</t>
  </si>
  <si>
    <t>Biol. Fertil. Soils</t>
  </si>
  <si>
    <t>10.1007/s00374-009-0370-2</t>
  </si>
  <si>
    <t>Soil Science</t>
  </si>
  <si>
    <t>464WR</t>
  </si>
  <si>
    <t>WOS:000267540800004</t>
  </si>
  <si>
    <t>Mosquera-Losada, MR; Rodríguez-Barreira, S; López-Díaz, ML; Fernández-Núñez, E; Rigueiro-Rodríguez, A</t>
  </si>
  <si>
    <t>Mosquera-Losada, M. R.; Rodriguez-Barreira, S.; Lopez-Diaz, M. L.; Fernandez-Nunez, E.; Rigueiro-Rodriguez, A.</t>
  </si>
  <si>
    <t>Biodiversity and silvopastoral system use change in very acid soils</t>
  </si>
  <si>
    <t>Fertilisation; Liming; Silvopastoralism; Spatial and temporal scale; Biodiversity; Species richness</t>
  </si>
  <si>
    <t>UNDERSTORY VEGETATION; SPECIES RICHNESS; PLANT TRAITS; DIVERSITY; PASTURE; TEMPERATE; CONSEQUENCES; TREE</t>
  </si>
  <si>
    <t>Most biodiversity studies endeavour to put forward strategies for its short-term enhancement, seeking to understand the spatial scale. However, biodiversity preservation strategies should also take into account temporal scales, in order to fulfil the main biodiversity preservation objectives. Biodiversity variability also depends on the structural heterogeneity of the land on which this strategy is developed. Agroforestry systems have a tree component that makes this heterogeneity more important than in exclusively agronomic systems. This paper aims to evaluate the effect of different soil fertility management(application of lime and fertiliser in both organic and inorganic nitrogen forms)on tree and pasture growth, as well as on the pasture richness in a silvopastoral systems developed on a 5-year-old Pinus radiata D. Don plantation over 6 years. Temporal scale, as well as spatial biodiversity scale, should be taking into account in biodiversity studies in forests. Tree development as well as fertility soil modifications modified species richness, the relative dominance between species and the type of species. The lack Of Management caused all undesirable development of shrubs, main resource of forest fires development in the region. Lower tree densities than those Currently used combined with authocthonous breed grazing, to reduce shrub biomass is the best Option to Sustain biodiversity and productivity from the area. (C) 2009 Elsevier B.V. All rights reserved.</t>
  </si>
  <si>
    <t>[Mosquera-Losada, M. R.; Rodriguez-Barreira, S.; Fernandez-Nunez, E.; Rigueiro-Rodriguez, A.] Univ Santiago de Compostela, EPS Lugo, Dpto Prod Vegetal, Lugo 27002, Spain; [Lopez-Diaz, M. L.] Univ Extremadura, Ctr Univ Plasencia, Dpto Biol &amp; Prod Vegetales, Plasencia Caceres 10600, Spain</t>
  </si>
  <si>
    <t>Universidade de Santiago de Compostela; Universidad de Extremadura</t>
  </si>
  <si>
    <t>Mosquera-Losada, MR (corresponding author), Univ Santiago de Compostela, EPS Lugo, Dpto Prod Vegetal, Campus Univ S-N, Lugo 27002, Spain.</t>
  </si>
  <si>
    <t>mrosa.mosquera.losada@usc.es</t>
  </si>
  <si>
    <t>Mosquera-Losada, M/K-8357-2014; Mosquera-Losada, María Rosa/K-8357-2014; RODRÍGUEZ, ANTONIO/B-2982-2019</t>
  </si>
  <si>
    <t>Mosquera-Losada, María Rosa/0000-0003-4254-2329; López-Díaz, M Lourdes/0000-0001-8543-8981; Mosquera-Losada, Maria Rosa/0000-0002-6923-170X; RIGUEIRO-RODRÍGUEZ, ANTONIO/0000-0002-1607-1220; Fernandez-Nuñez, Esther/0000-0003-1790-1553;</t>
  </si>
  <si>
    <t>Spanish Science Ministry and Xunta de Galicia</t>
  </si>
  <si>
    <t>We are grateful to Spanish Science Ministry and Xunta de Galicia for financial assistance, to Escuela Politecnica Superior for facilities, to Divina VAzquez Varela, Teresa Pineiro Lopez, Jose Javier Santiago-Freijanes, Antonio Rodriguez Rigueiro for helping in processing, laboratory, and field. and to Sheelagh (Interlingua traduccions) for helping with the translation.</t>
  </si>
  <si>
    <t>10.1016/j.agee.2009.02.005</t>
  </si>
  <si>
    <t>438LK</t>
  </si>
  <si>
    <t>WOS:000265556700024</t>
  </si>
  <si>
    <t>Randin, CF; Engler, R; Normand, S; Zappa, M; Zimmermann, NE; Pearman, PB; Vittoz, P; Thuiller, W; Guisan, A</t>
  </si>
  <si>
    <t>Randin, Christophe F.; Engler, Robin; Normand, Signe; Zappa, Massimiliano; Zimmermann, Niklaus E.; Pearman, Peter B.; Vittoz, Pascal; Thuiller, Wilfried; Guisan, Antoine</t>
  </si>
  <si>
    <t>Climate change and plant distribution: local models predict high-elevation persistence</t>
  </si>
  <si>
    <t>climate change; Europe; mountain region; species distribution model; Swiss Alps</t>
  </si>
  <si>
    <t>GENERALIZED ADDITIVE-MODELS; HABITAT DISTRIBUTION MODELS; SPECIES DISTRIBUTIONS; EXTINCTION RISK; CHANGE IMPACTS; FUTURE; PROJECTIONS; REGRESSION; SHIFTS; RANGE</t>
  </si>
  <si>
    <t>Mountain ecosystems will likely be affected by global warming during the 21st century, with substantial biodiversity loss predicted by species distribution models (SDMs). Depending on the geographic extent, elevation range, and spatial resolution of data used in making these models, different rates of habitat loss have been predicted, with associated risk of species extinction. Few coordinated across-scale comparisons have been made using data of different resolutions and geographic extents. Here, we assess whether climate change-induced habitat losses predicted at the European scale (10 x 10' grid cells) are also predicted from local-scale data and modeling (25 m x 25 m grid cells) in two regions of the Swiss Alps. We show that local-scale models predict persistence of suitable habitats in up to 100% of species that were predicted by a European-scale model to lose all their suitable habitats in the area. Proportion of habitat loss depends on climate change scenario and study area. We find good agreement between the mismatch in predictions between scales and the fine-grain elevation range within 10 x 10' cells. The greatest prediction discrepancy for alpine species occurs in the area with the largest nival zone. Our results suggest elevation range as the main driver for the observed prediction discrepancies. Local-scale projections may better reflect the possibility for species to track their climatic requirement toward higher elevations.</t>
  </si>
  <si>
    <t>[Randin, Christophe F.; Engler, Robin; Pearman, Peter B.; Guisan, Antoine] Dept Ecol &amp; Evolut, Lab Conservat Biol, CH-1015 Lausanne, Switzerland; [Normand, Signe] Univ Aarhus, Dept Biol Sci, DK-8000 Aarhus C, Denmark; [Zappa, Massimiliano; Zimmermann, Niklaus E.] Swiss Fed Res Inst WSL, CH-8903 Birmensdorf, Switzerland; [Vittoz, Pascal] Univ Lausanne, Fac Geosci Environm, CH-1015 Lausanne, Switzerland; [Thuiller, Wilfried] Univ Grenoble 1, CNRS, UMR 5553, Lab Ecol Alpine, F-38041 Grenoble 9, France</t>
  </si>
  <si>
    <t>Aarhus University; Swiss Federal Institutes of Technology Domain; Swiss Federal Institute for Forest, Snow &amp; Landscape Research; University of Lausanne; Centre National de la Recherche Scientifique (CNRS); CNRS - Institute of Ecology &amp; Environment (INEE); Communaute Universite Grenoble Alpes; Universite Grenoble Alpes (UGA); Universite Savoie Mont Blanc</t>
  </si>
  <si>
    <t>Guisan, A (corresponding author), Dept Ecol &amp; Evolut, Lab Conservat Biol, CH-1015 Lausanne, Switzerland.</t>
  </si>
  <si>
    <t>antoine.guisan@unil.ch</t>
  </si>
  <si>
    <t>Zimmermann, Niklaus/A-4276-2008; Pearman, Peter/C-6298-2011; Thuiller, Wilfried/G-3283-2010; Randin, Christophe/K-6969-2016; Randin, Christophe François/K-6969-2016; Engler, Robin/B-7912-2015; Normand, Signe/A-1561-2012; Guisan, Antoine/A-1057-2011; Zappa, Massimiliano/C-1205-2009</t>
  </si>
  <si>
    <t>Zimmermann, Niklaus/0000-0003-3099-9604; Pearman, Peter/0000-0002-0794-101X; Randin, Christophe François/0000-0002-4171-0178; Normand, Signe/0000-0002-8782-4154; Guisan, Antoine/0000-0002-3998-4815; Zappa, Massimiliano/0000-0002-2837-8190</t>
  </si>
  <si>
    <t>Centre de Conservation de la Nature (SFFN); Canton de Vaud; Swiss National Science Foundation [3100A0-110000]; European Science Commission</t>
  </si>
  <si>
    <t>Centre de Conservation de la Nature (SFFN); Canton de Vaud; Swiss National Science Foundation(Swiss National Science Foundation (SNSF)); European Science Commission</t>
  </si>
  <si>
    <t>This study was supported by the Centre de Conservation de la Nature (SFFN) of the Canton de Vaud, the Swiss National Science Foundation (SNF Grant No. 3100A0-110000), and the European Science Commission (FP6 projects ECOCHANGE and MACIS). We thank all the people who helped in the field, particularly StEfanie Maire, Dario Martinoni, SEverine Widler, Chantal Peverelli, Valentine Hof, GrEgoire Vuissoz, Lorenzo De Stefani, Roxane Milleret, Pierre Bermane Favrod-Coune, Daniel Cherix, Anny. and Willy Berra. C.R. and A.G. greatly benefited from the interactions with colleagues within the Swiss National Centre for Competence in Research (NCCR) 'Plant survival in natural and agricultural ecosystems' (www.unine.ch/nccr) (www.unine.ch/nccr). We are particularly grateful to Dr Stefan Dullinger for his useful comments during the revision.</t>
  </si>
  <si>
    <t>10.1111/j.1365-2486.2008.01766.x</t>
  </si>
  <si>
    <t>441LU</t>
  </si>
  <si>
    <t>WOS:000265771400016</t>
  </si>
  <si>
    <t>Magige, FJ; Holmern, T; Stokke, S; Mlingwa, C; Roskaft, E</t>
  </si>
  <si>
    <t>Magige, Flora John; Holmern, Tomas; Stokke, Sigbjorn; Mlingwa, Charles; Roskaft, Eivin</t>
  </si>
  <si>
    <t>Does illegal hunting affect density and behaviour of African grassland birds? A case study on ostrich (Struthio camelus)</t>
  </si>
  <si>
    <t>Distance sampling; Flight initiation distance; Illegal hunting; Ostrich; Struthio camelus; Serengeti</t>
  </si>
  <si>
    <t>SERENGETI-NATIONAL-PARK; PARTIALLY PROTECTED AREAS; WEST-AFRICA; CONSERVATION; TANZANIA; DISTANCE; DECLINE; FOREST; POPULATIONS; DISTURBANCE</t>
  </si>
  <si>
    <t>Widespread bushmeat hunting represents one of the major threats to many mammals and birds in Africa. We studied the influence of illegal bushmeat hunting on large grassland birds in the Serengeti National Park (SNP) and adjoining protected areas, by using the ostrich (Struthio camelus) as a case study. First, we documented illegal hunting of both small and large birds by using a questionnaire in the villages on the western and eastern side of the SNP. Second, we studied the effect of illegal hunting on density by driving 4,659 km of transects inside SNP and on the adjacent protected areas, where the data were analysed by DISTANCE sampling. Last, we used flight initiation distance (FID, i.e. the distance between an approaching predator (human) and prey when flight is started), to assess possible impacts on behaviour from illegal hunting. We found that people from the western side of the SNP admitted to hunting both small and large grassland birds, and collect ostrich feathers and eggs. Although the Maasai also hunted small birds, only ostrich feathers and eggs of the large grassland birds were used. Surprisingly, we found no significant differences in densities between the SNP and adjoining partially protected areas, but ostriches had longer FID to an approaching human outside the SNP. Currently illegal hunting does not appear to affect the ostrich population, but given the extensive use of birds for consumption more awareness educational programs accompanied by provision of agricultural incentives within the protected areas are needed.</t>
  </si>
  <si>
    <t>[Magige, Flora John] Univ Dar Es Salaam, Dept Zool &amp; Wildlife Conservat, Dar Es Salaam, Tanzania; [Holmern, Tomas; Roskaft, Eivin] Norwegian Univ Sci &amp; Technol, Dept Biol, N-7491 Trondheim, Norway; [Stokke, Sigbjorn] Norwegian Inst Nat Res, N-7485 Trondheim, Norway; [Mlingwa, Charles] Tanzania Wildlife Res Inst, Arusha, Tanzania</t>
  </si>
  <si>
    <t>University of Dar es Salaam; Norwegian University of Science &amp; Technology (NTNU); Norwegian Institute Nature Research</t>
  </si>
  <si>
    <t>Magige, FJ (corresponding author), Univ Dar Es Salaam, Dept Zool &amp; Wildlife Conservat, POB 35064, Dar Es Salaam, Tanzania.</t>
  </si>
  <si>
    <t>magigef@yahoo.co.uk</t>
  </si>
  <si>
    <t>Magige, Flora/ABB-7595-2020; Røskaft, Eivin/N-7476-2019</t>
  </si>
  <si>
    <t>World Bank sponsored Lower Kihansi Environmental Management Project</t>
  </si>
  <si>
    <t>This study would not have been successful without funds from the World Bank sponsored Lower Kihansi Environmental Management Project. We thank G. Mwakalebe, N. Masawe, J. Kabondo, O. Mwakabejela and R. Sortland for their excellent field assistance. Thanks are also due to C. Melis and T. H. Setsaas for helping us with some of the statistics, and Frank Hanssen and Graciela Rusch for providing data on the vegetation. Thanks to Asanterabi Lowassa for assisting with administering the questionnaires. We would also like to thank TANAPA for granting permission to work in the SNP and its people for being cooperative during the whole period of data collection. Finally we would like to acknowledge the cooperation and kindness of all TAWIRI people at the headquarters and Seronera Research Centre.</t>
  </si>
  <si>
    <t>10.1007/s10531-008-9481-6</t>
  </si>
  <si>
    <t>443VU</t>
  </si>
  <si>
    <t>WOS:000265939700017</t>
  </si>
  <si>
    <t>Morin, X; Thuiller, W</t>
  </si>
  <si>
    <t>Morin, Xavier; Thuiller, Wilfried</t>
  </si>
  <si>
    <t>Comparing niche- and process-based models to reduce prediction uncertainty in species range shifts under climate change</t>
  </si>
  <si>
    <t>ECOLOGY</t>
  </si>
  <si>
    <t>biodiversity; biogeography; climate change; extinction; migration; niche-based modeling; process-based modeling; species distribution</t>
  </si>
  <si>
    <t>MIGRATION RATES; ENVIRONMENTAL-CHANGE; ECOSYSTEM DYNAMICS; CONTINENTAL-SCALE; PLANT MIGRATION; ENVELOPE MODELS; CHANGE IMPACTS; TREE; DISTRIBUTIONS; CONSEQUENCES</t>
  </si>
  <si>
    <t>Obtaining reliable predictions of species range shifts under climate change is a crucial challenge for ecologists and stakeholders. At the continental scale, niche-based models have been widely used in the last 10 years to predict the potential impacts of climate change on species distributions all over the world, although these models do not include any mechanistic relationships. In contrast, species-specific, process-based predictions remain scarce at the continental scale. This is regrettable because to secure relevant and accurate predictions it is always desirable to compare predictions derived from different kinds of models applied independently to the same set of species and using the same raw data. Here we compare predictions of range shifts under climate change scenarios for 2100 derived from niche-based models with those of a process-based model for 15 North American boreal and temperate tree species. A general pattern emerged from our comparisons: niche-based models tend to predict a stronger level of extinction and a greater proportion of colonization than the process-based model. This result likely arises because niche-based models do not take phenotypic plasticity and local adaptation into account. Nevertheless, as the two kinds of models rely on different assumptions, their complementarity is revealed by common findings. Both modeling approaches highlight a major potential limitation on species tracking their climatic niche because of migration constraints and identify similar zones where species extirpation is likely. Such convergent predictions from models built on very different principles provide a useful way to offset uncertainties at the continental scale. This study shows that the use in concert of both approaches with their own caveats and advantages is crucial to obtain more robust results and that comparisons among models are needed in the near future to gain accuracy regarding predictions of range shifts under climate change.</t>
  </si>
  <si>
    <t>[Morin, Xavier] CNRS, UMR 5175, Ctr Ecol Fonct &amp; Evolut, Equipe BIOFLUX, F-34293 Montpellier 5, France; [Morin, Xavier] McGill Univ, Dept Biol, Montreal, PQ H3A 1B1, Canada; [Thuiller, Wilfried] Univ Grenoble 1, CNRS, UMR 5553, Lab Ecol Alpine, F-38041 Grenoble 9, France</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</si>
  <si>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McGill University; Communaute Universite Grenoble Alpes; Universite Grenoble Alpes (UGA); Centre National de la Recherche Scientifique (CNRS); Universite Savoie Mont Blanc; CNRS - Institute of Ecology &amp; Environment (INEE)</t>
  </si>
  <si>
    <t>Morin, X (corresponding author), CNRS, UMR 5175, Ctr Ecol Fonct &amp; Evolut, Equipe BIOFLUX, 1919 Route Mende, F-34293 Montpellier 5, France.</t>
  </si>
  <si>
    <t>xavier.morin@cefe.cnrs.fr</t>
  </si>
  <si>
    <t>Thuiller, Wilfried/G-3283-2010; Morin, Xavier/B-2790-2015</t>
  </si>
  <si>
    <t>PHENO-RANGE-EDGE project [39473]; Agence National pour la Recherche; European Commission's FP6 MACIS [044399]; ECOCHANGE [066866]</t>
  </si>
  <si>
    <t>PHENO-RANGE-EDGE project; Agence National pour la Recherche(Agence Nationale de la Recherche (ANR)); European Commission's FP6 MACIS(European Union (EU)European Commission Joint Research Centre); ECOCHANGE(European Union (EU))</t>
  </si>
  <si>
    <t>The authors thank Isabelle Chuine, Kathryn M. Flinn, Emmanuel S. Gritti, Martin J. Lechowicz, Ron Neilson, and one anonymous referee for valuable comments that improved this manuscript. Support was provided to X. Morin by a Marie Curie Outgoing International Fellowship within the European Commission's FP6, for the PHENO-RANGE-EDGE project (number 39473). W. Thuiller was partly funded by the Agence National pour la Recherche'' through the QDiv project (Quantifying the Effects of Global Environmental Change on Terrestrial Plant Diversity). W. Thuiller received support from European Commission's FP6 MACIS (Minimisation of and Adaptation to Climate change Impacts on biodiverSity number 044399) and ECOCHANGE (Challenges in assessing and forecasting biodiversity and ecosystem changes in Europe, number 066866 GOCE) projects.</t>
  </si>
  <si>
    <t>0012-9658</t>
  </si>
  <si>
    <t>1939-9170</t>
  </si>
  <si>
    <t>10.1890/08-0134.1</t>
  </si>
  <si>
    <t>442CA</t>
  </si>
  <si>
    <t>WOS:000265816200012</t>
  </si>
  <si>
    <t>Anderson, BJ; Akçakaya, HR; Araújo, MB; Fordham, DA; Martinez-Meyer, E; Thuiller, W; Brook, BW</t>
  </si>
  <si>
    <t>Anderson, B. J.; Akcakaya, H. R.; Araujo, M. B.; Fordham, D. A.; Martinez-Meyer, E.; Thuiller, W.; Brook, B. W.</t>
  </si>
  <si>
    <t>Dynamics of range margins for metapopulations under climate change</t>
  </si>
  <si>
    <t>range limits; global warming; extinction risk; population dynamics; elevation; latitude</t>
  </si>
  <si>
    <t>MODELING SPECIES DISTRIBUTIONS; GLOBAL CHANGE; BIOTIC INTERACTIONS; POPULATION-SIZE; CHANGE IMPACTS; EXTINCTION; DISPERSAL; BIODIVERSITY; BUTTERFLIES; BOUNDARIES</t>
  </si>
  <si>
    <t>We link spatially explicit climate change predictions to a dynamic metapopulation model. Predictions of species' responses to climate change, incorporating metapopulation dynamics and elements of dispersal, allow us to explore the range margin dynamics for two lagomorphs of conservation concern. Although the lagomorphs have very different distribution patterns, shifts at the edge of the range were more pronounced than shifts in the overall metapopulation. For Romerolagus diazi (volcano rabbit), the lower elevation range limit shifted upslope by approximately 700 m. This reduced the area occupied by the metapopulation, as the mountain peak currently lacks suitable vegetation. For Lepus timidus (European mountain hare), we modelled the British metapopulation. Increasing the dispersive estimate caused the metapopulation to shift faster on the northern range margin (leading edge). By contrast, it caused the metapopulation to respond to climate change slower, rather than faster, on the southern range margin (trailing edge). The differential responses of the leading and trailing range margins and the relative sensitivity of range limits to climate change compared with that of the metapopulation centroid have important implications for where conservation monitoring should be targeted. Our study demonstrates the importance and possibility of moving from simple bioclimatic envelope models to second-generation models that incorporate both dynamic climate change and metapopulation dynamics.</t>
  </si>
  <si>
    <t>[Fordham, D. A.; Brook, B. W.] Univ Adelaide, Sch Earth &amp; Environm Sci, Res Inst Climate Change &amp; Sustainabil, Adelaide, SA 5005, Australia; [Anderson, B. J.] Univ York, UKPopNet, Dept Biol, Area 18, York YO10 5YW, N Yorkshire, England; [Akcakaya, H. R.] SUNY Stony Brook, Dept Ecol &amp; Evolut, Stony Brook, NY 11794 USA; [Araujo, M. B.] Natl Museum Nat Sci, Dept Biodivers &amp; Evolutionary Biol, CSIC, Madrid 28006, Spain; [Martinez-Meyer, E.] Univ Nacl Autonoma Mexico, Dept Zool, Inst Biol, Mexico City 04510, DF, Mexico; [Thuiller, W.] Univ Grenoble 1, Lab Ecol Alpine, UMR 5553, CNRS, F-38041 Grenoble 9, France</t>
  </si>
  <si>
    <t>Adelaide University; University of Adelaide; University of York - UK; State University of New York (SUNY) System; Stony Brook University; Consejo Superior de Investigaciones Cientificas (CSIC); Universidad Nacional Autonoma de Mexico; Communaute Universite Grenoble Alpes; Universite Grenoble Alpes (UGA); Centre National de la Recherche Scientifique (CNRS); Universite Savoie Mont Blanc; CNRS - Institute of Ecology &amp; Environment (INEE)</t>
  </si>
  <si>
    <t>Brook, BW (corresponding author), Univ Adelaide, Sch Earth &amp; Environm Sci, Res Inst Climate Change &amp; Sustainabil, Adelaide, SA 5005, Australia.</t>
  </si>
  <si>
    <t>barry.brook@adelaide.edu.au</t>
  </si>
  <si>
    <t>Anderson, Barbara J/E-6802-2012; Akcakaya, H./A-7830-2008; Anderson, Barbara/E-6802-2012; Martínez-Meyer, Enrique/AAZ-7352-2020; Fordham, Damien/E-9255-2013; Araújo, Miguel/B-6117-2008; Bastos Araújo, Miguel/B-6117-2008; Brook, Barry/G-2686-2011; Thuiller, Wilfried/G-3283-2010</t>
  </si>
  <si>
    <t>Anderson, Barbara J/0000-0003-1763-3616; Martínez-Meyer, Enrique/0000-0003-1184-9264; Fordham, Damien/0000-0003-2137-5592; Bastos Araújo, Miguel/0000-0002-5107-7265; Brook, Barry/0000-0002-2491-1517;</t>
  </si>
  <si>
    <t>UKPopNet [NERC R8-H12-01]; English Nature; Spanish Ministry of Science and Innovation [CGL2008-01198-E]; EC FP6 MACIS [044399]; EcoChange(Challenges in Assessing and Forecasting Biodiversity and Ecosystem Changes in Europe [066866]</t>
  </si>
  <si>
    <t>UKPopNet; English Nature; Spanish Ministry of Science and Innovation(Spanish GovernmentMinistry of Science &amp; Innovation, Spain (MICINN)); EC FP6 MACIS(European Union (EU)); EcoChange(Challenges in Assessing and Forecasting Biodiversity and Ecosystem Changes in Europe(European Union (EU))</t>
  </si>
  <si>
    <t>Thanks to David Roy (Centre for Ecology and Hydrology/Biological Records Centre) for help with the British distribution data regarding the European mountain hare and Yvonne Collingham (University of Durham) for help with the British climate data. We thank Andrew Smith for providing information on the volcano rabbit. Thanks to Ralf Ohlemuller, Aldina Franco, Chris Thomas, Georgina Mace, Steve Willis, Richard Pearson and Kevin Gaston for their useful discussion. B.J.A. was funded by UKPopNet (NERC R8-H12-01) and English Nature, and M. B. A. is funded by the Spanish Ministry of Science and Innovation (CGL2008-01198-E). M.B.A. and W.T. also received support from the EC FP6 MACIS (Minimisation of and Adaptation to Climate change Impacts on Biodiversity no. 044399) and EcoChange (Challenges in Assessing and Forecasting Biodiversity and Ecosystem Changes in Europe, no. 066866 GOCE) projects. This study is the result of two workshops on 'Modelling species extinctions risk under climate change' that took place at the Centre for Population Biology, Imperial College, London, and at the National Museum of Natural Sciences, CSIC, Madrid ( the latter workshop was funded by the EC FP6 MACIS project). This work complies with UK law. B.J.A. obtained the L. timidus GB data and did the GIS, final figures, climate suitability modelling and lead writing. H.R.A., B.W.B. and D.A.F. did the RAMAS metapopulation modelling. B.W.B. conceived the manuscript. M.B.A. provided data on L. timidus. E.M.-M. provided data and information on R. diazi and generated the historic distribution model. W.T. provided the European climate data and assisted with the climate suitability modelling. All authors assisted with and commented on the manuscript.</t>
  </si>
  <si>
    <t>APR 22</t>
  </si>
  <si>
    <t>10.1098/rspb.2008.1681</t>
  </si>
  <si>
    <t>421IF</t>
  </si>
  <si>
    <t>WOS:000264351900004</t>
  </si>
  <si>
    <t>Hayward, MW</t>
  </si>
  <si>
    <t>Hayward, Matt W.</t>
  </si>
  <si>
    <t>Bushmeat hunting in Dwesa and Cwebe Nature Reserves, Eastern Cape, South Africa</t>
  </si>
  <si>
    <t>SOUTH AFRICAN JOURNAL OF WILDLIFE RESEARCH</t>
  </si>
  <si>
    <t>bushmeat hunting; poaching; temperate forests; fenced conservation areas; protected area management</t>
  </si>
  <si>
    <t>FOREST</t>
  </si>
  <si>
    <t>Reports of bushmeat hunting as a threatening process are almost entirely restricted to tropical biomes and developing countries. Mammalian fauna within South Africa's fenced reserves could be considered immune to such threats; however, there has been no study testing this. Transects were conducted throughout the fenced, temperate coastal indigenous forested reserves of Dwesa and Cwebe to detect sign (observations, footprints, faeces) of medium and large mammals, and evidence of poaching (snares, human footprints, bullet cartridges). I used generalized linear models of relative abundance data to identify the most likely causes of population decline and presence/absence data to identify the most likely causes of local extinction. Two of the largest mammals (white rhinoceros, Ceratotherium simum and eland, Tragelaphus oryx, were the only species that had distance to the reserve boundary (and hunting humans) as the most important factors affecting their distribution; however, three other ungulates avoided humans (avoided reserve boundary or roads). Highly unusual habitat use (forest restriction) was observed for several normally grassland inhabitants, illustrating the perceived risks associated with open habitats. This study illustrates that bushmeat hunting is not a threat restricted to the Third World tropics and that conservation areas require monitoring, as well as fencing, to ensure poaching does not threaten wildlife.</t>
  </si>
  <si>
    <t>[Hayward, Matt W.] Walter Sisulu Univ, Dept Zool, ZA-5117 Umtata, South Africa; [Hayward, Matt W.] Polish Acad Sci, Mammal Res Inst, PL-17230 Bialowieza, Poland</t>
  </si>
  <si>
    <t>Walter Sisulu University; Polish Academy of Sciences; Mammal Research Institute of the Polish Academy of Sciences</t>
  </si>
  <si>
    <t>Hayward, MW (corresponding author), Walter Sisulu Univ, Dept Zool, Private Bag X1, ZA-5117 Umtata, South Africa.</t>
  </si>
  <si>
    <t>hayers111@aol.com</t>
  </si>
  <si>
    <t>Hayward, Matt W/F-3569-2010; Hayward, Matt/F-3569-2010</t>
  </si>
  <si>
    <t>Hayward, Matt W/0000-0002-5574-1653;</t>
  </si>
  <si>
    <t>NRF Postdoctoral Fellowship</t>
  </si>
  <si>
    <t>Mzo Nkaitshana, Sintu Pondoland Hola and Chawe greatly assisted in the field. Michael Somers and Michele Walters generously provided accommodation and hospitality while in Mthatha, while they and Emile Plumstead were the highlights of city life. I was belatedly funded by an NRF Postdoctoral Fellowship. M. Mbete, Manager of Dwesa and Cwebe Nature Reserves provided approval to work there. R. White also generously assisted with field work, the design of a variation of this study and funding. Michele Walters and Michael Somers improved the manuscript with their reviews, and Thomas Cornulier gave valuable statistical advice.</t>
  </si>
  <si>
    <t>SOUTHERN AFRICAN WILDLIFE MANAGEMENT ASSOC</t>
  </si>
  <si>
    <t>BLOUBERGSTRAND</t>
  </si>
  <si>
    <t>P O BOX 217, BLOUBERGSTRAND 7437, SOUTH AFRICA</t>
  </si>
  <si>
    <t>0379-4369</t>
  </si>
  <si>
    <t>1996-8477</t>
  </si>
  <si>
    <t>S AFR J WILDL RES</t>
  </si>
  <si>
    <t>South Afr. J. Wildl. Res.</t>
  </si>
  <si>
    <t>10.3957/056.039.0108</t>
  </si>
  <si>
    <t>492WH</t>
  </si>
  <si>
    <t>WOS:000269692700008</t>
  </si>
  <si>
    <t>González-Alday, J; Martínez-Ruiz, C; Bravo, F</t>
  </si>
  <si>
    <t>Gonzalez-Alday, J.; Martinez-Ruiz, C.; Bravo, F.</t>
  </si>
  <si>
    <t>Evaluating different harvest intensities over understory plant diversity and pine seedlings, in a Pinus pinaster Ait. natural stand of Spain</t>
  </si>
  <si>
    <t>Anthropogenic disturbance; Herbaceous layer; Mediterranean ecosystem; Silviculture; Woody species</t>
  </si>
  <si>
    <t>SPECIES DIVERSITY; HERBACEOUS-LAYER; SITE PREPARATION; FOREST; VEGETATION; RESPONSES; ESTABLISHMENT; DISTURBANCES; CONSEQUENCES; DYNAMICS</t>
  </si>
  <si>
    <t>Although modern forestry takes into consideration the analysis of the effects of forest management on plant structure, diversity and seedlings, little is known about how those parameters respond to harvest techniques in the Mediterranean region. We investigated the effect of three different harvest intensities, respect to uncut controls, on understory plant species functional groups, richness, diversity and pine seedlings in a natural Maritime pine stand in Spain, three years after harvesting. The harvest treatments produced a reduction of the number of Pinus pinaster seedlings and woody species cover, and an increase of species richness (total and of annual species) and plant cover of annual species respect to control plots (CO). The Shannon diversity values showed no differences between treatments. These results emphasize that the tree harvest treatments analyzed are not suitable for the management of this P. pinaster stand. Otherwise, the reduction of pine seedling density by harvest treatments and the changes in richness and cover of functional groups would not induce the natural regeneration of this stand maintaining the understory plant layer.</t>
  </si>
  <si>
    <t>[Gonzalez-Alday, J.; Martinez-Ruiz, C.] Univ Valladolid, ETS Ingn Agr Palencia, Area Ecol, Palencia 34071, Spain; [Bravo, F.] Univ Valladolid, ETS Ingn Agr Palencia, Area Prod Vegetal, Palencia 34071, Spain; [Bravo, F.] INIA UVa Sustainable Forest Management, Joint Res Unit, Madrid, Spain</t>
  </si>
  <si>
    <t>Universidad de Valladolid; Universidad de Valladolid; Universidad de Valladolid</t>
  </si>
  <si>
    <t>González-Alday, J (corresponding author), Univ Valladolid, ETS Ingn Agr Palencia, Area Ecol, Campus Yutera,Avda Madrid 44, Palencia 34071, Spain.</t>
  </si>
  <si>
    <t>josucham@agro.uva.es</t>
  </si>
  <si>
    <t>Alday, Josu G/F-6175-2010; Alday, Josu G./F-6175-2010; Martínez-Ruiz, Carolina/D-5232-2014; Bravo, Felipe/C-5073-2009</t>
  </si>
  <si>
    <t>Alday, Josu G/0000-0001-7510-8655; Martínez-Ruiz, Carolina/0000-0002-4963-1650; Bravo, Felipe/0000-0001-7348-6695</t>
  </si>
  <si>
    <t>Basque-Country Government [BFI06.114]; Research Projects from the Spanish Science National Program [AGL2001-1780, AGL2004-07094-C02-02/FOR]</t>
  </si>
  <si>
    <t>Basque-Country Government(Basque Government); Research Projects from the Spanish Science National Program</t>
  </si>
  <si>
    <t>We thank Sonia Garcia-Munoz, Cristobal Ordonez and Ana I. de Lucas for fieldwork assistance, and Pilar Zaldivar for species nomenclature assistance. This study was supported by a grant from the Basque-Country Government to J. Gonzalez-Alday (BFI06.114), and Research Projects from the Spanish Science National Program (codes AGL2001-1780 and AGL2004-07094-C02-02/FOR) to Felipe Bravo.</t>
  </si>
  <si>
    <t>10.1007/s11258-008-9490-2</t>
  </si>
  <si>
    <t>404TL</t>
  </si>
  <si>
    <t>WOS:000263175800016</t>
  </si>
  <si>
    <t>Hering, D; Schmidt-Kloiber, A; Murphy, J; Lücke, S; Zamora-Muñoz, C; López-Rodríguez, MJ; Huber, T; Graf, W</t>
  </si>
  <si>
    <t>Hering, Daniel; Schmidt-Kloiber, Astrid; Murphy, John; Luecke, Sofie; Zamora-Munoz, Carmen; Jesus Lopez-Rodriguez, Manuel; Huber, Thomas; Graf, Wolfram</t>
  </si>
  <si>
    <t>Potential impact of climate change on aquatic insects: A sensitivity analysis for European caddisflies (Trichoptera) based on distribution patterns and ecological preferences</t>
  </si>
  <si>
    <t>AQUATIC SCIENCES</t>
  </si>
  <si>
    <t>Ecoregions; endemism; springs; cold-stenothermy; flight periods; feeding types</t>
  </si>
  <si>
    <t>SPECIES DISTRIBUTIONS; EXTINCTION RISK; BIODIVERSITY; COMMUNITIES; DIVERSITY; TEMPERATURE; SCENARIOS; REGIONS; STREAMS; PREDICT</t>
  </si>
  <si>
    <t>We analysed the sensitivity of European Trichoptera (caddisfly) species to climate change impacts based on their distribution and ecological preferences, and compared the fraction of species potentially endangered by climate change between the European ecoregions. The study covers 23 European ecoregions as defined by Illies (1978). For 1134 Trichoptera species and subspecies, we coded 29 parameters describing biological and ecological preferences and distribution based on the evaluation of more than 1400 literature references. Five parameters served to describe the species' sensitivity to climate change impacts: endemism, preference for springs, preference for cold water temperatures, short emergence period, and restricted ecological niches in terms of feeding types. Of the European Trichoptera species and subspecies, 47.9% are endemic, 23.1% have a strong preference for springs, 21.9% are cold stenothermic, 35.5% have a short emergence period, and 43.7% are feeding type specialists. The fraction of endemic species meeting at least one of the four other sensitivity criteria mentioned above is highest in the Iberic-Macaronesian Region (30.2% of all species), about 20% in several other south European ecoregions, and about 10% in high mountain ranges. In 15 out of 23 ecoregions (including all northern European and lowland ecoregions) the proportion is less than 3%. The high fraction of potentially endangered species in southern Europe is a result of speciation during the Pleistocene. Species having colonised northern Europe afterwards have generally a large geographical range and are mainly generalists and thus buffered against climate change impacts.</t>
  </si>
  <si>
    <t>[Hering, Daniel] Univ Duisburg Essen, Dept Appl Zool Hydrobiol, D-45117 Essen, Germany; [Schmidt-Kloiber, Astrid; Huber, Thomas; Graf, Wolfram] Univ Nat Resources &amp; Appl Life Sci, Dept Water Atmosphere Environm, Inst Hydrobiol &amp; Aquat Ecosyst Management, A-1180 Vienna, Austria; [Murphy, John] Ctr Ecol &amp; Hydrol, FBA River Lab, Wareham BH20 6BB, Dorset, England; [Luecke, Sofie] Swedish Univ Agr Sci, Dept Environm Assessment, SE-75007 Uppsala, Sweden; [Zamora-Munoz, Carmen; Jesus Lopez-Rodriguez, Manuel] Univ Granada, Dept Anim Biol, E-18071 Granada, Spain</t>
  </si>
  <si>
    <t>University of Duisburg Essen; BOKU University; UK Centre for Ecology &amp; Hydrology (UKCEH); Swedish University of Agricultural Sciences; University of Granada</t>
  </si>
  <si>
    <t>Hering, D (corresponding author), Univ Duisburg Essen, Dept Appl Zool Hydrobiol, D-45117 Essen, Germany.</t>
  </si>
  <si>
    <t>daniel.hering@uni-due.de</t>
  </si>
  <si>
    <t>Zamora-Muñoz, Carmen/K-7050-2014; López-Rodríguez, Manuel Jesús/A-9296-2011; López Rodríguez, Manuel Jesús/A-9296-2011; Schmidt-Kloiber, Astrid/O-5278-2015; Hering, Daniel/D-4280-2012</t>
  </si>
  <si>
    <t>Zamora-Muñoz, Carmen/0000-0002-3037-1529; López Rodríguez, Manuel Jesús/0000-0001-6707-0992; Schmidt-Kloiber, Astrid/0000-0001-8839-5913; Wolfram, Graf/0000-0001-6559-0644</t>
  </si>
  <si>
    <t>EU-funded Integrated Project Euro-limpacs [GOCE-CT-2003-505540]; Workpackage 7 ( Indicators of EcosystemHealth)</t>
  </si>
  <si>
    <t>EU-funded Integrated Project Euro-limpacs; Workpackage 7 ( Indicators of EcosystemHealth)</t>
  </si>
  <si>
    <t>This study was supported by the EU-funded Integrated Project Euro-limpacs (GOCE-CT-2003-505540), Workpackage 7 ( Indicators of EcosystemHealth). We are grateful to Tracy Corbin and Nick Kneebone for their help in compiling the database.</t>
  </si>
  <si>
    <t>SPRINGER BASEL AG</t>
  </si>
  <si>
    <t>PICASSOPLATZ 4, BASEL, 4052, SWITZERLAND</t>
  </si>
  <si>
    <t>1015-1621</t>
  </si>
  <si>
    <t>1420-9055</t>
  </si>
  <si>
    <t>AQUAT SCI</t>
  </si>
  <si>
    <t>Aquat. Sci.</t>
  </si>
  <si>
    <t>10.1007/s00027-009-9159-5</t>
  </si>
  <si>
    <t>431TU</t>
  </si>
  <si>
    <t>WOS:000265087700002</t>
  </si>
  <si>
    <t>Engler, R; Randin, CF; Vittoz, P; Czáka, T; Beniston, M; Zimmermann, NE; Guisan, A</t>
  </si>
  <si>
    <t>Engler, Robin; Randin, Christophe F.; Vittoz, Pascal; Czaka, Thomas; Beniston, Martin; Zimmermann, Niklaus E.; Guisan, Antoine</t>
  </si>
  <si>
    <t>Predicting future distributions of mountain plants under climate change: does dispersal capacity matter?</t>
  </si>
  <si>
    <t>LONG-DISTANCE DISPERSAL; SEED DISPERSAL; DISTRIBUTION MODELS; ALPINE GRASSLANDS; RANGE SHIFTS; MIGRATION; IMPACT; DIVERSITY; PATTERNS</t>
  </si>
  <si>
    <t>Many studies have investigated the potential impacts of climate change on the distribution of plant species, but few have attempted to constrain projections through plant dispersal limitations. Instead, most studies published so far have simplified dispersal as either unlimited or null. However, depending on the dispersal capacity of a species, landscape fragmentation, and the rate of climatic change, these assumptions can lead to serious over- or underestimation of the future distribution of plant species. To quantify the discrepancies between simulations accounting for dispersal or not, we carried out projections of future distribution over the 21st century for 287 mountain plant species in a study area of the western Swiss Alps. For each species, simulations were run for four dispersal scenarios (unlimited dispersal, no dispersal, realistic dispersal, and realistic dispersal with long-distance dispersal events) and under four climate change scenarios. Although simulations accounting for realistic dispersal limitations did significantly differ from those considering dispersal as unlimited or null in terms of projected future distribution, the unlimited dispersal simplification did nevertheless provide good approximations for species extinctions under more moderate climate change scenarios. Overall, simulations accounting for dispersal limitations produced, for our mountainous study area, results that were significantly closer to unlimited dispersal than to no dispersal. Finally, analysis of the temporal pattern of species extinctions over the entire 21st century revealed that important species extinctions for our study area might not occur before the 2080-2100 period, due to the possibility of a large number of species shifting their distribution to higher elevation.</t>
  </si>
  <si>
    <t>[Engler, Robin; Randin, Christophe F.; Vittoz, Pascal; Guisan, Antoine] Dept Ecol &amp; Evolut, Lab Conservat Biol, CH-1015 Lausanne, Switzerland; [Vittoz, Pascal; Czaka, Thomas; Guisan, Antoine] Univ Lausanne, Fac Geosci &amp; Environm, CH-1015 Lausanne, Switzerland; [Beniston, Martin] Univ Geneva, C3i, CH-1227 Carouge, Switzerland; [Zimmermann, Niklaus E.] Swiss Fed Res Inst WSL, CH-8903 Birmensdorf, Switzerland</t>
  </si>
  <si>
    <t>University of Lausanne; University of Geneva; Swiss Federal Institutes of Technology Domain; Swiss Federal Institute for Forest, Snow &amp; Landscape Research</t>
  </si>
  <si>
    <t>Engler, R (corresponding author), Dept Ecol &amp; Evolut, Lab Conservat Biol, CH-1015 Lausanne, Switzerland.</t>
  </si>
  <si>
    <t>Antoine.Guisan@unil.ch</t>
  </si>
  <si>
    <t>Randin, Christophe François/K-6969-2016; Engler, Robin/B-7912-2015; Randin, Christophe/K-6969-2016; Guisan, Antoine/A-1057-2011; Zimmermann, Niklaus/A-4276-2008</t>
  </si>
  <si>
    <t>Randin, Christophe François/0000-0002-4171-0178; BENISTON, Martin/0000-0002-3782-5458; Vittoz, Pascal/0000-0003-4218-4517; Guisan, Antoine/0000-0002-3998-4815; Zimmermann, Niklaus/0000-0003-3099-9604</t>
  </si>
  <si>
    <t>Centre de Conservation de la Nature (SFFN) of the Canton de Vaud; Swiss National Science Foundation [3100A0-110000]; European Commission [GOCE-036866]</t>
  </si>
  <si>
    <t>Centre de Conservation de la Nature (SFFN) of the Canton de Vaud; Swiss National Science Foundation(Swiss National Science Foundation (SNSF)); European Commission(European Union (EU)European Commission Joint Research Centre)</t>
  </si>
  <si>
    <t>This study was supported by the Centre de Conservation de la Nature (SFFN) of the Canton de Vaud, the Swiss National Science Foundation (SNF Grant No 3100A0-110000) and the European Commission (FP6 projects ECOCHANGE [GOCE-036866] and MACIS). We thank all the people who helped with the field work, particularly StEfanie Maire, Dario Martinoni, SEverine Widler, Chantal Peverelli, Valentine Hof, GrEgoire Vuissoz, Lorenzo De Stefani, Roxane Milleret, Pierre Bermane Favrod-Coune, Daniel Cherix, Anny and Willy Berra. We also thank Hope C. Humphries, Jens-Christian Svenning and two anonymous reviewers for their comments on an early version of the manuscript, as well as Dorothea Pio for help with linguistic revision.</t>
  </si>
  <si>
    <t>10.1111/j.1600-0587.2009.05789.x</t>
  </si>
  <si>
    <t>428VU</t>
  </si>
  <si>
    <t>Green Published</t>
  </si>
  <si>
    <t>WOS:000264880300005</t>
  </si>
  <si>
    <t>VanderValk, AG</t>
  </si>
  <si>
    <t>FOREST ECOLOGY: RECENT ADVANCES IN PLANT ECOLOGY</t>
  </si>
  <si>
    <t>[Gonzalez-Alday, J.; Martinez-Ruiz, C.] Univ Valladolid, ETS Ingn Agr Palencia, Area Ecol, Palencia 34071, Spain; [Bravo, F.] Univ Valladolid, ETS Ingn Agr Palencia, Area Prod Vegetal, Palencia 34071, Spain</t>
  </si>
  <si>
    <t>Universidad de Valladolid; Universidad de Valladolid</t>
  </si>
  <si>
    <t>233 SPRING STREET, NEW YORK, NY 10013, UNITED STATES</t>
  </si>
  <si>
    <t>978-90-481-2794-8</t>
  </si>
  <si>
    <t>10.1007/978-90-481-2795-5_16</t>
  </si>
  <si>
    <t>10.1007/978-90-481-2795-5</t>
  </si>
  <si>
    <t>Ecology; Forestry</t>
  </si>
  <si>
    <t>Environmental Sciences &amp; Ecology; Forestry</t>
  </si>
  <si>
    <t>BLU19</t>
  </si>
  <si>
    <t>WOS:000271018900016</t>
  </si>
  <si>
    <t>Gross, N; Bloor, JMG; Louault, F; Maire, V; Soussana, JF</t>
  </si>
  <si>
    <t>Gross, Nicolas; Bloor, Juliette M. G.; Louault, Frederique; Maire, Vincent; Soussana, Jean-Francois</t>
  </si>
  <si>
    <t>Effects of land-use change on productivity depend on small-scale plant species diversity</t>
  </si>
  <si>
    <t>Above-ground biomass production; Biodiversity effect; Grasslands; Fertilisation; Intensification; Mowing; Land use; Spatial stability; Species richness</t>
  </si>
  <si>
    <t>ECOSYSTEM FUNCTION; BIODIVERSITY; NITROGEN; RICHNESS; COMPLEMENTARITY; COEXISTENCE; MECHANISMS; IDENTITY; TRAITS; LITTER</t>
  </si>
  <si>
    <t>Understanding the interplay between land-use change, species diversity and ecosystem function is critical for the prediction of global change impacts on ecosystem services. Biodiversity experiments with artificial species assemblages have shown that community-scale species richness may affect ecosystem productivity and spatial stability. However, the use of synthetic communities with controlled levels of species density for biodiversity experiments has been criticised and their relevance for natural communities has been questioned. Here, we use a land-use change experiment to investigate the biodiversity effects on production within managed, upland grasslands. We examine species diversity and productivity at both the small plant-neighbourhood scale (14 x 14 cm) and the field scale (15 m x 25 m) for two land-use trajectories under field conditions: intensification through fertilisation, and extensification through the cessation of mowing. Both intensification and extensification were associated with a decrease in species number, but the magnitude of this decrease was greater at the small scale. Extensification was associated with a decrease in small-scale productivity whereas intensification had no significant effect on small-scale productivity. Effects of land-use treatments on biomass production were mediated by variation in small-scale species number; species number showed a significant positive relationship with small-scale productivity within each land-use treatment. Furthermore, species number was associated with a decrease in the variance of small-scale green biomass. In contrast, no species diversity effects were found on productivity at the field scale. Instead, field-scale species diversity decreased with increase in the total above-ground biomass (green biomass + litter). This study demonstrates that biodiversity effects can be observed under field conditions at the small scale and may play an important role for ecosystem functioning and stability even in low-diversity plant communities. (C) 2009 Gesellschaft fur Okologie. Published by Elsevier Gmbh. All rights reserved.</t>
  </si>
  <si>
    <t>[Gross, Nicolas; Bloor, Juliette M. G.; Louault, Frederique; Maire, Vincent; Soussana, Jean-Francois] INRA, UREP, Grassland Ecosyst Res Unit, UR874, F-63100 Clermont Ferrand, France</t>
  </si>
  <si>
    <t>Gross, N (corresponding author), Lincoln Univ, Bioprotect Res Ctr, POB 84, Lincoln 7647, New Zealand.</t>
  </si>
  <si>
    <t>Nicolas.Gross@lincoln.ac.nz</t>
  </si>
  <si>
    <t>Soussana, Jean-Francois/KAM-4127-2024; Gross, Nicolas/I-2368-2016; Bloor, Juliette/ABB-9687-2021; Soussana, Jean-Francois/P-2094-2016</t>
  </si>
  <si>
    <t>Gross, Nicolas/0000-0001-9730-3240; Bloor, Juliette MG/0000-0002-8668-1323; Maire, Vincent/0000-0002-3245-2568; Soussana, Jean-Francois/0000-0002-1932-6583</t>
  </si>
  <si>
    <t>French ANR</t>
  </si>
  <si>
    <t>French ANR(Agence Nationale de la Recherche (ANR))</t>
  </si>
  <si>
    <t>This study was supported by a French ANR project grant. We thank O. Darsonville and B. Pons for technical assistance and help with botanical identification; Klaus Hovemeyer and the three anonymous reviewers for their constructive comments on earlier versions of the manuscript.</t>
  </si>
  <si>
    <t>10.1016/j.baae.2009.09.001</t>
  </si>
  <si>
    <t>544XU</t>
  </si>
  <si>
    <t>WOS:000273694600001</t>
  </si>
  <si>
    <t>Mayer, R; Kaufmann, R; Vorhauser, K; Erschbamer, B</t>
  </si>
  <si>
    <t>Mayer, R.; Kaufmann, R.; Vorhauser, K.; Erschbamer, B.</t>
  </si>
  <si>
    <t>Effects of grazing exclusion on species composition in high-altitude grasslands of the Central Alps</t>
  </si>
  <si>
    <t>C-S-R strategies; Exclosures; Functional groups; Life forms; Nutritive value; Redundancy analysis (RDA); Traditional grazing system</t>
  </si>
  <si>
    <t>VEGETATION; LIVESTOCK; CATTLE; PRODUCTIVITY; BIODIVERSITY; MANAGEMENT; RICHNESS; PASTURE; DIET; SOIL</t>
  </si>
  <si>
    <t>Our study examines the effects of grazing exclusion on low-productive subalpine and alpine grasslands of the Central Alps (UNESCO Biosphere Park Gurgler Kamm, Obergurgl, Austria). A long-term exclusion experiment was established in 2000 in the subalpine, the lower, and the upper alpine zone. With exception of the subalpine zone, domestic herbivores have been grazing during the whole growing season. In grazed and exclosure plots species frequencies were recorded for 7 years. We analysed exclosure effects on species number, community composition, life forms, and functional groups. Species richness did not decrease significantly within the exclosures, but changes in species composition occurred in each zone, although some were transitory in nature. The dynamic trends of the plots were significantly explained by the 'treatment x year' effect along the whole altitudinal gradient, but the effects decreased considerably with altitude. In the subalpine and upper alpine exclosures, stress-tolerators, species or low or no nutritive value, and mosses showed a decreasing trend, whereas tall grasses (subalpine exclosures), competitors, and species with high or medium nutritive values (lower alpine exclosures) tended to increase. Overall, our 7-year study revealed that. several functional groups reacted to grazing, according to Our main expectations. We suggest that these effects will intensify in the long term. (C) 2008 Gesellschaft fur Okologie. Published by Elsevier GmbH. All rights reserved.</t>
  </si>
  <si>
    <t>[Mayer, R.; Erschbamer, B.] Univ Innsbruck, Inst Bot, A-6020 Innsbruck, Austria; [Kaufmann, R.] Univ Innsbruck, Inst Ecol, A-6020 Innsbruck, Austria</t>
  </si>
  <si>
    <t>University of Innsbruck; University of Innsbruck</t>
  </si>
  <si>
    <t>Erschbamer, B (corresponding author), Univ Innsbruck, Inst Bot, Sternwartestr 15, A-6020 Innsbruck, Austria.</t>
  </si>
  <si>
    <t>Brigitta.Erschbamer@uibk.ac.at</t>
  </si>
  <si>
    <t>University of Innsbruck; Federal Government; Department of Environmental Protection; Austrian Academy of Science (MAB Programme)</t>
  </si>
  <si>
    <t>University of Innsbruck(University of Innsbruck); Federal Government; Department of Environmental Protection; Austrian Academy of Science (MAB Programme)</t>
  </si>
  <si>
    <t>We are grateful to the staff of the 'Universitatszentrum Obergurgl', mainly to Meinhard Strobl, for supporting our field studies. We also thank Bernhard Scheiber for detailed information on the grazing systems in the study area and Walter Died for personal information on the nutrient contents of alpine plant species. We are grateful to Julliane De Oliveira Ruedisser for the English corrections and to three anonymous reviewers for their highly valuable comments. The study was funded by the University of Innsbruck, the Federal Government, Department of Environmental Protection and the Austrian Academy of Science (MAB Programme).</t>
  </si>
  <si>
    <t>ELSEVIER GMBH, URBAN &amp; FISCHER VERLAG</t>
  </si>
  <si>
    <t>JENA</t>
  </si>
  <si>
    <t>OFFICE JENA, P O BOX 100537, 07705 JENA, GERMANY</t>
  </si>
  <si>
    <t>10.1016/j.baae.2008.10.004</t>
  </si>
  <si>
    <t>481VE</t>
  </si>
  <si>
    <t>WOS:000268839500007</t>
  </si>
  <si>
    <t>Topp-Jorgensen, E; Nielsen, MR; Marshall, AR; Pedersen, U</t>
  </si>
  <si>
    <t>Topp-Jorgensen, Elmer; Nielsen, Martin Reinhardt; Marshall, Andrew R.; Pedersen, Ulrik</t>
  </si>
  <si>
    <t>Relative densities of mammals in response to different levels of bushmeat hunting in the Udzungwa Mountains, Tanzania.</t>
  </si>
  <si>
    <t>PARTICIPATORY FOREST MANAGEMENT; WILDLIFE POPULATIONS; TRANSECT METHODS; PRIMATES; MONKEY; CONSERVATION; EXTINCTION; ABUNDANCE; ECOLOGY; AFRICA</t>
  </si>
  <si>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</si>
  <si>
    <t>[Nielsen, Martin Reinhardt] Univ Copenhagen, Ctr Forest Landscape &amp; Planning, Fac Life Sci, DK-1958 Frederiksberg C, Denmark; [Topp-Jorgensen, Elmer; Pedersen, Ulrik] Danish Zool Soc, DK-2100 Copenhagen O, Denmark; [Marshall, Andrew R.] Univ York, Dept Environm, York YO10 5DD, N Yorkshire, England; [Marshall, Andrew R.] Flamingo Land Ltd, Malton YO17 6UX, N Yorkshire, England</t>
  </si>
  <si>
    <t>University of Copenhagen; University of York - UK</t>
  </si>
  <si>
    <t>Nielsen, MR (corresponding author), Univ Copenhagen, Ctr Forest Landscape &amp; Planning, Fac Life Sci, Rolighedsvej 23, DK-1958 Frederiksberg C, Denmark.</t>
  </si>
  <si>
    <t>nielsenmr@gmail.com</t>
  </si>
  <si>
    <t>Nielsen, Martin Reinhardt/E-1173-2015; Nielsen, Martin/E-1173-2015; Topp-Jørgensen, Elmer/N-6198-2019</t>
  </si>
  <si>
    <t>Nielsen, Martin Reinhardt/0000-0002-8941-6031; Topp-Jørgensen, Elmer/0000-0002-5050-9273;</t>
  </si>
  <si>
    <t>Age W. Jensen Foundation; Danish Government through DANIDA</t>
  </si>
  <si>
    <t>We are indebted to the Age W. Jensen Foundation for funding surveys in WKSFR and USFR. In addition to data compiled by the authors for WKSFR and USFR, this publication uses material collected in NDUFR during the Udzungwa Mountains Biodiversity Surveys; a collaborative venture between the Society for Environmental Exploration and the University of Dar es Salaam (through the Frontier Tanzania Forest Research Program), and the Udzungwa Mountains Forest Management and Biodiversity Conservation Component, MEMA, supported by the Danish Government through DANIDA. We also wish to thank Prof. J. Fjeldsa, H. Baagoe, T. Butynski, C. Ehardt, T. T. Struhsaker and L. Dinesen for valuable comments to earlier drafts. Special thanks should also go to Dr. J. Lovett, K. Mikkelsen and C. Frimodt-Moller for assisting with botanical problems and sharing their data.</t>
  </si>
  <si>
    <t>10.1177/194008290900200108</t>
  </si>
  <si>
    <t>V21XY</t>
  </si>
  <si>
    <t>WOS:000208241500007</t>
  </si>
  <si>
    <t>Bowkett, AE; Rovero, F; Marshall, AR</t>
  </si>
  <si>
    <t>Bowkett, Andrew E.; Rovero, Francesco; Marshall, Andrew R.</t>
  </si>
  <si>
    <t>The use of camera-trap data to model habitat use by antelope species in the Udzungwa Mountain forests, Tanzania</t>
  </si>
  <si>
    <t>Cephalophus harveyi; Eastern Arc; generalized linear models; Harvey's duiker; Neotragus moschatus; suni</t>
  </si>
  <si>
    <t>RAIN-FOREST; MONKEY ABUNDANCE; MWANIHANA FOREST; DUIKER; BUSHMEAT; PRIMATES; DIET; POPULATIONS; PATTERNS; BEHAVIOR</t>
  </si>
  <si>
    <t>The ecology of many species of duiker, and other African forest antelope, is poorly known and yet knowledge of the factors determining their distribution and abundance is critical to the conservation of this increasingly threatened group. Camera-trapping was used to investigate forest antelope ecology in the biologically diverse Udzungwa Mountains, Tanzania. The relationship between camera-trapping rates and vegetation (and other habitat variables) was investigated using generalized linear modelling. Over 630 photographs of antelope were obtained, with Harvey's duiker being the most recorded species. The camera-trap rate of Harvey's duiker was positively related to the species diversity of small plant stems and negatively related to an index of visibility, while that of suni antelope was negatively related to the percentage ground cover of leaf-litter. The camera-trap rate of Harvey's duiker was also negatively related to distance to the nearest village, as predicted for a species targeted for subsistence hunting. Camera-traps also recorded bushbuck and the threatened Tanzanian endemic Abbott's duiker, but there were insufficient captures to model habitat use for these species. Results of this study illustrate the potential of camera-trapping for modelling habitat requirements and providing guidelines for the conservation management of threatened antelope populations in forest habitats.</t>
  </si>
  <si>
    <t>[Bowkett, Andrew E.] Paignton Zoo, Whitley Wildlife Conservat Trust, Field Conservat &amp; Res Dept, Paignton TQ4 7EU, England; [Rovero, Francesco] Museo Tridentino Sci Nat, Sez Zool Vertebrati, I-38100 Trento, Italy; [Marshall, Andrew R.] Univ York, Dept Environm, Ctr Ecol Law &amp; Policy, York YO10 5DD, N Yorkshire, England</t>
  </si>
  <si>
    <t>University of York - UK</t>
  </si>
  <si>
    <t>Bowkett, AE (corresponding author), Paignton Zoo, Whitley Wildlife Conservat Trust, Field Conservat &amp; Res Dept, Totnes Rd, Paignton TQ4 7EU, England.</t>
  </si>
  <si>
    <t>andrew.bowkett@paigntonzoo.org.uk</t>
  </si>
  <si>
    <t>Rovero, Francesco/AAI-3157-2020</t>
  </si>
  <si>
    <t>Rovero, Francesco/0000-0001-6688-1494</t>
  </si>
  <si>
    <t>Natural Environment Research Council [NER/S/A/2002/11177]; National Geographic Society and Margot Marsh Biodiversity Foundation; National Geographic Society to Thomas Struhsaker, FR and ARM; UMNP</t>
  </si>
  <si>
    <t>Natural Environment Research Council(UK Research &amp; Innovation (UKRI)Natural Environment Research Council (NERC)); National Geographic Society and Margot Marsh Biodiversity Foundation(National Geographic Society); National Geographic Society to Thomas Struhsaker, FR and ARM(National Geographic Society); UMNP</t>
  </si>
  <si>
    <t>We would like to thank Ruben Mwakisoma; Quentin Luke; Chris Ruffo and Kaj Vollesen and herbarium colleagues at the Royal Botanic Gardens, Kew; for help with plant identification. FR was supported by postdoctoral funding from the Provincia Autonoma di Trento through the Museo Tridentino di Scienze Naturali and AEB was supported by Paignton Zoo, part of the Whitley Wildlife Conservation Trust. ARM was supported by the Natural Environment Research Council (Award Number NER/S/A/2002/11177) and by grants from the National Geographic Society and Margot Marsh Biodiversity Foundation obtained with Thomas Struhsaker. Some cameras were funded through the grant from the National Geographic Society to Thomas Struhsaker, FR and ARM. The staff of the UMNP are thanked for their support especially Mr Timbuka, Chief Warden-in-Charge and Mr Abel Mtui, Warden for Ecology. The Tanzanian Commission for Science and Technology, Tanzania Wildlife Research Institute and Tanzanian National Parks gave permission to conduct the study. Arafat Mtui, John Msirikali, Kulthumu Ally, Richard Laizzer, Yahaya Sama and Adenani Seki are thanked for invaluable assistance during data collection. Amy Plowman and Thomas Struhsaker provided valuable comments on the manuscript.</t>
  </si>
  <si>
    <t>10.1111/j.1365-2028.2007.00881.x</t>
  </si>
  <si>
    <t>377HY</t>
  </si>
  <si>
    <t>WOS:000261243500004</t>
  </si>
  <si>
    <t>Schweiger, O; Settele, J; Kudrna, O; Klotz, S; Kühn, I</t>
  </si>
  <si>
    <t>Schweiger, Oliver; Settele, Josef; Kudrna, Otakar; Klotz, Stefan; Kuehn, Ingolf</t>
  </si>
  <si>
    <t>CLIMATE CHANGE CAN CAUSE SPATIAL MISMATCH OF TROPHICALLY INTERACTING SPECIES</t>
  </si>
  <si>
    <t>biotic interactions; Boloria titania; butterflies; climate envelope modeling; ecological-nichemodeling; European species-distribution data; global change; host plants; Polygonum bistorta; range shift; species interactions; trophic interactions</t>
  </si>
  <si>
    <t>BIOCLIMATE ENVELOPE MODELS; BIOTIC INTERACTIONS; DISTRIBUTIONS; RANGE; BIODIVERSITY; BUTTERFLIES; SCENARIOS; IMPACTS; EUROPE; PREDICTION</t>
  </si>
  <si>
    <t>Climate change is one of the most influential drivers of biodiversity. Species-specific differences in the reaction to climate change can become particularly important when interacting species are considered. Current studies have evidenced temporal mismatching of interacting species at single points in space, and recently two investigations showed that species interactions are relevant for their future ranges. However, so far we are not aware that the ranges of interacting species may become substantially spatially mismatched. We developed separate ecological-niche models for a monophagous butterfly (Boloria titania) and its larval host plant (Polygonum bistorta) based on monthly interpolated climate data, land-cover classes, and soil data at a 10'-grid resolution. We show that all of three chosen global-change scenarios, which cover a broad range of potential developments in demography, socio-economics, and technology during the 21st century from moderate to intermediate to maximum change, will result in a pronounced spatial mismatch between future niche spaces of these species. The butterfly may expand considerably its future range (by 124-258%) if the host plant has unlimited dispersal, but it could lose 52-75% of its current range if the host plant is not able to fill its projected ecological niche space, and 79-88% if the butterfly also is assumed to be highly dispersal limited. These findings strongly suggest that climate change has the potential to disrupt trophic interactions because co-occurring species do not necessarily react in a similar manner to global change, having important consequences at ecological and evolutionary time scales.</t>
  </si>
  <si>
    <t>[Schweiger, Oliver; Settele, Josef; Klotz, Stefan; Kuehn, Ingolf] UFZ Helmholtz Ctr Environm Res, Helmholtz Ctr Environm Res, Dept Community Ecol, D-06210 Halle, Germany; [Schweiger, Oliver; Klotz, Stefan; Kuehn, Ingolf] Virtual Inst Macroecol, D-06120 Halle, Germany</t>
  </si>
  <si>
    <t>Helmholtz Association; Helmholtz Center for Environmental Research (UFZ)</t>
  </si>
  <si>
    <t>Schweiger, O (corresponding author), UFZ Helmholtz Ctr Environm Res, Helmholtz Ctr Environm Res, Dept Community Ecol, Theodor Lieser Str 4, D-06210 Halle, Germany.</t>
  </si>
  <si>
    <t>oliver.schweiger@ufz.de</t>
  </si>
  <si>
    <t>Kühn, Ingolf/B-9756-2009; Kühn, Ingolf/B-9756-2009; Schweiger, Oliver/B-4909-2008; Klotz, Stefan/J-5866-2017; Settele, Josef/A-6371-2009</t>
  </si>
  <si>
    <t>Kühn, Ingolf/0000-0003-1691-8249; Kühn, Ingolf/0000-0003-1691-8249; Schweiger, Oliver/0000-0001-8779-2335; Klotz, Stefan/0000-0003-4355-6415; Settele, Josef/0000-0002-8624-4983</t>
  </si>
  <si>
    <t>ALARM [GOCE-CT2003-506675]; MACIS [SSPI 044399]; Virtual Institute for Macroecology.</t>
  </si>
  <si>
    <t>ALARM; MACIS; Virtual Institute for Macroecology.</t>
  </si>
  <si>
    <t>We thank Joachim H. Spangenberg, Ines Omann, Andrea Stocker, and Jill Jager for providing socio-economic storylines; Stefan Fronzek, Timothy R. Carter, and Kirsti Jylha for providing future climate scenarios; Isabelle Reginster and Mark Rounsevell for providing land-use scenarios; and Doris Vetterlein for advice in the selection of soil parameters. We acknowledge the support of European Commission Framework Programme 6 via the Integrated Project ALARM (GOCE-CT2003-506675) and the Scientific Support to Policy project MACIS (SSPI 044399), as well as the Helmholtz Association of German Research Centres funding the Virtual Institute for Macroecology.</t>
  </si>
  <si>
    <t>ECOLOGICAL SOC AMER</t>
  </si>
  <si>
    <t>1990 M STREET NW, STE 700, WASHINGTON, DC 20036 USA</t>
  </si>
  <si>
    <t>10.1890/07-1748.1</t>
  </si>
  <si>
    <t>381GP</t>
  </si>
  <si>
    <t>WOS:000261524000021</t>
  </si>
  <si>
    <t>Wampler, CR; Frey, JK; VanLeeuwen, DM; Boren, JC; Baker, TT</t>
  </si>
  <si>
    <t>Wampler, Christina R.; Frey, Jennifer K.; VanLeeuwen, Dawn M.; Boren, Jon C.; Baker, Terrell T.</t>
  </si>
  <si>
    <t>MAMMALS IN MECHANICALLY THINNED AND NON-THINNED MIXED-CONIFEROUS FOREST IN THE SACRAMENTO MOUNTAINS, NEW MEXICO</t>
  </si>
  <si>
    <t>SOUTHWESTERN NATURALIST</t>
  </si>
  <si>
    <t>SPRUCE-CONE FAILURE; UNDERSTORY VEGETATION; FUEL REDUCTION; RESPONSES; POPULATIONS; HABITAT; DENSITY; YOUNG; FIRE; MANAGEMENT</t>
  </si>
  <si>
    <t>Mechanical thinning is an important silviculture technique for timber production and reducing woody fuels in coniferous forest, but little is known about its effect on wildlife in mixed-coniferous forests in the American Southwest. During 2005-2006 we examined diversity, abundance and survival of terrestrial mammals in thinned and non-thinned mixed-coniferous forest in the Sacramento Mountains, Lincoln National Forest, in southern New Mexico. The three thinning treatments included two non-commercial thins with different slash treatments (i.e., lop-pile, lop-scatter) and a commercial harvest using selective logging. There were two non-thinned treatments that differed in age of stand (i.e., 20-30 years and 60-100 years post harvest). In general, thinned treatments had higher richness and abundance of mammals in comparison with the older non-thinned stand, but did not differ in richness and abundance from the younger non-thinned stand. Abundance of the North American deermouse (Peromyscus maniculatus) and red squirrel (Tamiasciurus hudsonicus) did not differ among treatments. However, survival of P. maniculatus varied more in the non-thinned stands. Abundances of the gray-footed chipmunk (Tamias canipes) and long-tailed vole (Microlus longicaudus) were significantly lower in the older non-thinned treatments. These results suggest that thinning older stands of mixed-coniferous forest that are overly dense compared with historical conditions benefit the mammal community through increases in diversity and abundance. In comparing the three mechanical-thinning treatments evaluated, none provided a clear cost or advantage to mammals. However, additional controlled experiments are needed to further corroborate these results.</t>
  </si>
  <si>
    <t>[Wampler, Christina R.; Frey, Jennifer K.] New Mexico State Univ, Dept Fisheries &amp; Wildlife Sci, Las Cruces, NM 88003 USA; [VanLeeuwen, Dawn M.] New Mexico State Univ, Dept Agr &amp; Extens Educ, Las Cruces, NM 88003 USA; [Boren, Jon C.; Baker, Terrell T.] New Mexico State Univ, Extens Anim Sci &amp; Nat Resources Dept, Las Cruces, NM 88003 USA</t>
  </si>
  <si>
    <t>New Mexico State University; New Mexico State University; New Mexico State University</t>
  </si>
  <si>
    <t>Frey, JK (corresponding author), New Mexico State Univ, Dept Fisheries &amp; Wildlife Sci, Las Cruces, NM 88003 USA.</t>
  </si>
  <si>
    <t>jfrey@nmsu.edu</t>
  </si>
  <si>
    <t>Frey, Jennifer/F-8945-2011</t>
  </si>
  <si>
    <t>SOUTHWESTERN ASSOC NATURALISTS</t>
  </si>
  <si>
    <t>SAN MARCOS</t>
  </si>
  <si>
    <t>SOUTHWEST TEXAS STATE UNIV, DEPT BIOLOGY, 601 UNIVERSITY DR, SAN MARCOS, TX 78666 USA</t>
  </si>
  <si>
    <t>0038-4909</t>
  </si>
  <si>
    <t>1943-6262</t>
  </si>
  <si>
    <t>SOUTHWEST NAT</t>
  </si>
  <si>
    <t>Southw. Natural.</t>
  </si>
  <si>
    <t>10.1894/CLG-10.1</t>
  </si>
  <si>
    <t>384NS</t>
  </si>
  <si>
    <t>WOS:000261752100002</t>
  </si>
  <si>
    <t>Wolf, N; Mangel, M</t>
  </si>
  <si>
    <t>Wolf, Nicholas; Mangel, Marc</t>
  </si>
  <si>
    <t>MULTIPLE HYPOTHESIS TESTING AND THE DECLINING-POPULATION PARADIGM IN STELLER SEA LIONS</t>
  </si>
  <si>
    <t>aerial survey; beta-binomial observation error; declining-population paradigm; Eumetopias jubatus; killer whales; multiple-hypothesis testing; optimal foraging; Steller sea lions; stochastic dynamic programming; walleye pollock</t>
  </si>
  <si>
    <t>SEQUENTIAL MEGAFAUNAL COLLAPSE; PHOCA-VITULINA-RICHARDSI; EUMETOPIAS-JUBATUS; HARBOR SEALS; ATTENDANCE PATTERNS; TUGIDAK ISLAND; ALASKA; GULF; FEMALE; YOUNG</t>
  </si>
  <si>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</si>
  <si>
    <t>[Wolf, Nicholas; Mangel, Marc] MRAG Amer, Santa Cruz, CA 95062 USA; [Wolf, Nicholas; Mangel, Marc] Univ Calif Santa Cruz, Ctr Stock Assessment Res, Santa Cruz, CA 95064 USA; [Mangel, Marc] Univ Calif Santa Cruz, Dept Appl Math &amp; Stat, Santa Cruz, CA 95064 USA</t>
  </si>
  <si>
    <t>University of California System; University of California Santa Cruz; University of California System; University of California Santa Cruz</t>
  </si>
  <si>
    <t>Wolf, N (corresponding author), MRAG Amer, 303 Potrero St 42-201, Santa Cruz, CA 95062 USA.</t>
  </si>
  <si>
    <t>nwolf@alumni.sfu.ca</t>
  </si>
  <si>
    <t>Alaska Fisheries Science Center [AB133F-02-CN-0085]; NSF [DMS 03-10542]</t>
  </si>
  <si>
    <t>Alaska Fisheries Science Center; NSF(National Science Foundation (NSF))</t>
  </si>
  <si>
    <t>Funding in the early stages was provided by the Alaska Fisheries Science Center via contract number AB133F-02-CN-0085, administered through MRAG Americas. The work was also partially supported by NSF grant DMS 03-10542 to Marc Mangel and by the Center for Stock Assessment Research, a partnership between the Santa Cruz Laboratory of the National Marine Fisheries Service and UCSC.</t>
  </si>
  <si>
    <t>10.1890/07-1254.1</t>
  </si>
  <si>
    <t>396QF</t>
  </si>
  <si>
    <t>WOS:000262605500010</t>
  </si>
  <si>
    <t>Cole, HA; Newmaster, SG; Lanteigne, L; Pitt, D</t>
  </si>
  <si>
    <t>Cole, H. A.; Newmaster, S. G.; Lanteigne, L.; Pitt, D.</t>
  </si>
  <si>
    <t>Long-term outcome of precommercial thinning on floristic diversity in north western New Brunswick, Canada</t>
  </si>
  <si>
    <t>IFOREST-BIOGEOSCIENCES AND FORESTRY</t>
  </si>
  <si>
    <t>biodiversity; forest ecology; precommercial thinning; silviculture; tree spacing; plant diversity</t>
  </si>
  <si>
    <t>PLANT-SPECIES DIVERSITY; DOUGLAS-FIR FORESTS; UNDERSTORY VEGETATION; MANAGED FORESTS; DECIDUOUS FOREST; HERBACEOUS-LAYER; STAND STRUCTURE; CLEAR-CUT; RESPONSES; GROWTH</t>
  </si>
  <si>
    <t>The Green River spacing trials were established between 1959 and 1961 to study the long-term growth and development of balsam fir (Abies balsamea (L.) Mill.) and red spruce (Picea rubens Sarg. in response to precommercial thinning (PCT). Three nominal spacings (1.2 m, 1.8 m, 2.4 m) and an unthinned control were applied in a randomized complete block design with 5 replicates to regenerating stands, an average of 8 years after harvest. Our study examines floristic diversity associated with these treatments approximately four decades later. Floristic diversity was assessed with several alpha diversity indices as well as multivariate analysis to compare community composition. Specific a-priori contrasts compared plant diversity among a) control and average of the wider spacings (1.8 m and 2.4 m), b) control and the narrowest spacing (1.2 m), and c) the narrowest spacing and the widest spacing. Our results indicate that there were no appreciable differences among the treatments across all measures of plant diversity investigated. As such, we conclude that the forest understory, as represented by the unthinned plots, was analogous in the thinned plots at time of stand maturity. Vegetation response to PCT treatments is inconsistent in the published literature, but this can be attributed to differences in thinning intensities, recovery age or the type of forest ecosystem studied. We conclude that PCT is a variable silvicultural tool that could be used to attain both economic productivity and biodiversity conservation goals.</t>
  </si>
  <si>
    <t>[Cole, H. A.] Swiss Fed Res Inst WSL Biodivers &amp; Conservat Biol, CH-8903 Birmensdorf, Switzerland; [Newmaster, S. G.] Univ Guelph, Florist Div Res Grp, OAC Herbarium, Guelph, ON N1G 2W1, Canada; [Lanteigne, L.] Hugh John Fleming Forestry Ctr, Canadian Forest Serv, Atlantic Forestry Ctr, Fredericton, NB E3B 5P7, Canada; [Pitt, D.] Great Lakes Forestry Ctr, Canadian Forest Serv, Sault Ste Marie, ON P6A 5M7, Canada</t>
  </si>
  <si>
    <t>University of Guelph; Natural Resources Canada; Canadian Forest Service; Natural Resources Canada; Canadian Forest Service; Great Lakes Forestry Centre</t>
  </si>
  <si>
    <t>Cole, HA (corresponding author), Swiss Fed Res Inst WSL Biodivers &amp; Conservat Biol, Zurcherstr 111, CH-8903 Birmensdorf, Switzerland.</t>
  </si>
  <si>
    <t>heather.cole@wsl.ch</t>
  </si>
  <si>
    <t>Cole, Heather/0000-0002-8890-1748</t>
  </si>
  <si>
    <t>Canadian Forest Service, Canadian Ecology Centre - Forestry Research Partnership; New Brunswick Growth and Yield Committee</t>
  </si>
  <si>
    <t>Canadian Forest Service, Canadian Ecology Centre - Forestry Research Partnership(Natural Resources CanadaCanadian Forest Service); New Brunswick Growth and Yield Committee</t>
  </si>
  <si>
    <t>We are greatly indebted to Dr. Gordon Baskerville for his foresight and early efforts in the sound establishment of the Green River thinning trials. The long and continued efforts of a number of field and office personnel over the years have kept this study alive. At the risk of missing some of these folks, they include B.J. Akerly, Rodney Foster, Mike Ker, Mike Lavigne, Wayne Malloy, Gerrit van Raalte, and Ben Weale. To the credit of Nexfor Fraser Papers Inc., now Acadian Timber, (Kevin Topolniski, Luc Ouellette, and Gordon Whitmore) and N.B. Department of Natural Resources and Energy, these plots have been carefully protected through the years and remain relatively undisturbed. We would also like to thank Tara Stephens, Chris Roosenboom, and Trevor Wilson for their assistance in the field and at the herbarium. Aron Fazekas and Candice Newmaster provided editorial support for which we a grateful. Funding for the 2004 measurements and analysis was provided by the Canadian Forest Service, Canadian Ecology Centre - Forestry Research Partnership, and the New Brunswick Growth and Yield Committee.</t>
  </si>
  <si>
    <t>SISEF-SOC ITALIANA SELVICOLTURA ECOL FORESTALE</t>
  </si>
  <si>
    <t>POTENZA</t>
  </si>
  <si>
    <t>DEPT PROD VEGETALE, VIA ATENEO LUCANO 10, POTENZA, 85100, ITALY</t>
  </si>
  <si>
    <t>1971-7458</t>
  </si>
  <si>
    <t>IFOREST</t>
  </si>
  <si>
    <t>iForest</t>
  </si>
  <si>
    <t>10.3832/ifor0470-0010145</t>
  </si>
  <si>
    <t>V17DH</t>
  </si>
  <si>
    <t>WOS:000207917400003</t>
  </si>
  <si>
    <t>Grabemann, I; Weisse, R</t>
  </si>
  <si>
    <t>Grabemann, Iris; Weisse, Ralf</t>
  </si>
  <si>
    <t>Climate change impact on extreme wave conditions in the North Sea: an ensemble study</t>
  </si>
  <si>
    <t>OCEAN DYNAMICS</t>
  </si>
  <si>
    <t>Ocean waves; Climate change; North Sea</t>
  </si>
  <si>
    <t>STORM-SURGE CLIMATE; FUTURE WIND; ATLANTIC; MODEL; SIMULATIONS; EUROPE; GCM; UNCERTAINTY; PROJECTIONS; STATISTICS</t>
  </si>
  <si>
    <t>An analysis of today's mean and extreme wave conditions in the North Sea and their possible future changes due to anthropogenic climate change are presented. The sea state was simulated for the 30-year period 2071-2100 using the wave model WAM and an ensemble of wind field data sets for four climate change realizations as driving data. The wind field data sets are based on simulation outputs from two global circulation models (GCMs: HadAM3H and ECHAM4/OPYC3) for two emission scenarios (A2 and B2, Intergovernmental Panel on Climate Change, Special Report on Emission Scenarios). They were regionalized by the Swedish Meteorological and Hydrological Institute using the regional climate model RCAO. The effects of the climate realizations on the sea state statistics were assessed by analyzing the differences between the patterns in the four CGM/emission scenario combinations and those in two control simulations representing reference wave climate conditions for the 30-year period 1961-1990. The analysis of the four emission scenario/GCM combinations has shown that the future long-term 99 percentile wind speed and significant wave height increase by up to 7% and 18%, respectively, in the North Sea, except for significant wave height off the English coast and to the north in the HadAM3H-driven simulation. The climate change response in the ECHAM4/OPYC3-forced experiments is generally larger than in the HadAM3H-driven simulations. The differences in future significant wave height between the different combinations are in the same order of magnitude as those between the control runs for the two GCMs. Nevertheless, there is agreement among the four combinations that extreme wave heights may increase in large parts in the southern and eastern North Sea by about 0.25 to 0.35 m (5-8% of present values) towards the end of the twenty first century in case of global warming. All combinations also show an increase in future frequency of severe sea state.</t>
  </si>
  <si>
    <t>[Grabemann, Iris; Weisse, Ralf] GKSS Forschungszentrum Geesthacht GmbH, Inst Coastal Res, D-21502 Geesthacht, Germany</t>
  </si>
  <si>
    <t>Grabemann, I (corresponding author), GKSS Forschungszentrum Geesthacht GmbH, Inst Coastal Res, Max Planck Str 1, D-21502 Geesthacht, Germany.</t>
  </si>
  <si>
    <t>iris.grabemann@gkss.de</t>
  </si>
  <si>
    <t>Weisse, Ralf/E-7550-2013</t>
  </si>
  <si>
    <t>Weisse, Ralf/0000-0001-7449-6166</t>
  </si>
  <si>
    <t>1616-7341</t>
  </si>
  <si>
    <t>OCEAN DYNAM</t>
  </si>
  <si>
    <t>Ocean Dyn.</t>
  </si>
  <si>
    <t>10.1007/s10236-008-0141-x</t>
  </si>
  <si>
    <t>371NZ</t>
  </si>
  <si>
    <t>WOS:000260839300004</t>
  </si>
  <si>
    <t>Luber, G; McGeehin, M</t>
  </si>
  <si>
    <t>Luber, George; McGeehin, Michael</t>
  </si>
  <si>
    <t>Climate Change and Extreme Heat Events</t>
  </si>
  <si>
    <t>AMERICAN JOURNAL OF PREVENTIVE MEDICINE</t>
  </si>
  <si>
    <t>MORTALITY; TEMPERATURE; HEALTH; WAVE; IMPACTS; HEATSTROKE; MORBIDITY; RESPONSES; WEATHER; ILLNESS</t>
  </si>
  <si>
    <t>The association between climate change and the frequency and intensity of extreme heat events is now well established. General circulation models of climate change predict that heatwaves will become more frequent and intense, especially in the higher latitudes, affecting large metropolitan areas that are not well adapted to them. Exposure to extreme heat is already a significant public health problem and the primary cause of weather-related mortality in the U.S. This article reviews major epidemiologic risk factors associated with mortality from extreme heat exposure and discusses future drivers of heat-related mortality, including a warming climate, the urban heat island effect, and an aging population. In addition, it considers critical areas of an effective public health response including heat response plans, the use of remote sensing and GIS methodologies, and the importance of effective communications strategies.</t>
  </si>
  <si>
    <t>[Luber, George; McGeehin, Michael] CDC, Natl Ctr Environm Hlth, Atlanta, GA 30341 USA</t>
  </si>
  <si>
    <t>Centers for Disease Control &amp; Prevention - USA</t>
  </si>
  <si>
    <t>Luber, G (corresponding author), CDC, Natl Ctr Environm Hlth, 4770 Buford Highway,MS F-57, Atlanta, GA 30341 USA.</t>
  </si>
  <si>
    <t>gluber@cdc.gov</t>
  </si>
  <si>
    <t>0749-3797</t>
  </si>
  <si>
    <t>1873-2607</t>
  </si>
  <si>
    <t>AM J PREV MED</t>
  </si>
  <si>
    <t>Am. J. Prev. Med.</t>
  </si>
  <si>
    <t>10.1016/j.amepre.2008.08.021</t>
  </si>
  <si>
    <t>Public, Environmental &amp; Occupational Health; Medicine, General &amp; Internal</t>
  </si>
  <si>
    <t>Public, Environmental &amp; Occupational Health; General &amp; Internal Medicine</t>
  </si>
  <si>
    <t>365HN</t>
  </si>
  <si>
    <t>WOS:000260396600007</t>
  </si>
  <si>
    <t>Ritchie, EG; Bolitho, EE</t>
  </si>
  <si>
    <t>Ritchie, Euan G.; Bolitho, Elizabeth E.</t>
  </si>
  <si>
    <t>Australia's Savanna Herbivores: Bioclimatic Distributions and an Assessment of the Potential Impact of Regional Climate Change</t>
  </si>
  <si>
    <t>PHYSIOLOGICAL AND BIOCHEMICAL ZOOLOGY</t>
  </si>
  <si>
    <t>KANGAROOS MACROPUS-GIGANTEUS; NORTHERN AUSTRALIA; RED KANGAROOS; GEOGRAPHIC DISTRIBUTIONS; SPECIES DISTRIBUTIONS; LAND MANAGEMENT; POPULATION-SIZE; NATIONAL-PARK; ARID ZONE; LANDSCAPES</t>
  </si>
  <si>
    <t>The future impacts of climate change are predicted to significantly affect the survival of many species. Recent studies indicate that even species that are relatively mobile and/or have large geographic ranges may be at risk of range contractions or extinction. An ecologically and evolutionary significant group of mammals that has been largely overlooked in this research is Australia's large marsupial herbivores, the macropodids (kangaroos). The aims of our investigation were to define and compare the climatic conditions that influence the current distributions of four sympatric large macropodids in northern Australia (Macropus antilopinus, Macropus robustus, Macropus giganteus, and Macropus rufus) and to predict the potential future impact of climate change on these species. Our results suggest that contemporary distributions of these large macropodids are associated with well-defined climatic gradients ( tropical and temperate conditions) and that climatic seasonality is also important. Bioclimatic modeling predicted an average reduction in northern Australian macropodid distributions of 48% +/- 16.4% in response to increases of 2.0 degrees C. At this temperature, the distribution of M. antilopinus was reduced by 89% +/- 0.4%. We predict that increases of 6.0 degrees C may cause severe range reductions for all four macropodids (96% +/- 2.1%) in northern Australia, and this range reduction may result 2.1% in the extinction of M. antilopinus.</t>
  </si>
  <si>
    <t>[Ritchie, Euan G.; Bolitho, Elizabeth E.] James Cook Univ, Sch Marine &amp; Trop Biol, Townsville, Qld 4811, Australia</t>
  </si>
  <si>
    <t>James Cook University</t>
  </si>
  <si>
    <t>Ritchie, EG (corresponding author), James Cook Univ, Sch Marine &amp; Trop Biol, Townsville, Qld 4811, Australia.</t>
  </si>
  <si>
    <t>euan.ritchie@jcu.edu.au</t>
  </si>
  <si>
    <t>Ritchie, Euan/N-1088-2014</t>
  </si>
  <si>
    <t>Ritchie, Euan/0000-0003-4410-8868</t>
  </si>
  <si>
    <t>Australia and Pacific Science Foundation; Cooperative Research Centre Tropical Savannas; Australia Student Research Award; Royal Zoological Society New South Wales; Linnean Society of New South Wales; James Cook University</t>
  </si>
  <si>
    <t>We would like to thank Sam Fox, Peter Johnson, Steve Murphy, Michelle Watson, John Winter, John Woinarski, Department of Conservation and Land Management, Kakadu National Park, Northern Territory Museum, Northern Territory Parks and Wildlife Service, Queensland Parks and Wildlife Service, Queensland Museum, and the Environmental Protection Agency (Wildnet) for locality data; we also thank traditional owners, national parks rangers, and station owners for access to sites, logistical support, and their hospitality. Funding for this project to E. G. R. was partly provided by the Australia and Pacific Science Foundation, Australian Geographic, Cooperative Research Centre Tropical Savannas, an Ecological Society of Australia Student Research Award, an Ethel Mary Read Research Award (Royal Zoological Society New South Wales), Joyce Vickery Research Awards (Linnean Society of New South Wales), and a Supplementary Internal Research Award (James Cook University). Sam Fox, Brett Goodman, Chris Johnson, Mike Kearney, Angus Martin, and Jenny Martin provided useful comments on earlier drafts.</t>
  </si>
  <si>
    <t>UNIV CHICAGO PRESS</t>
  </si>
  <si>
    <t>CHICAGO</t>
  </si>
  <si>
    <t>1427 E 60TH ST, CHICAGO, IL 60637-2954 USA</t>
  </si>
  <si>
    <t>1522-2152</t>
  </si>
  <si>
    <t>PHYSIOL BIOCHEM ZOOL</t>
  </si>
  <si>
    <t>Physiol. Biochem. Zool.</t>
  </si>
  <si>
    <t>NOV-DEC</t>
  </si>
  <si>
    <t>10.1086/588171</t>
  </si>
  <si>
    <t>Physiology; Zoology</t>
  </si>
  <si>
    <t>367JD</t>
  </si>
  <si>
    <t>WOS:000260547400015</t>
  </si>
  <si>
    <t>Pompe, S; Hanspach, J; Badeck, F; Klotz, S; Thuiller, W; Kühn, I</t>
  </si>
  <si>
    <t>Pompe, Sven; Hanspach, Jan; Badeck, Franz; Klotz, Stefan; Thuiller, Wilfried; Kuehn, Ingolf</t>
  </si>
  <si>
    <t>Climate and land use change impacts on plant distributions in Germany</t>
  </si>
  <si>
    <t>climate change; predictive modelling; plant ranges; Germany</t>
  </si>
  <si>
    <t>SPECIES DISTRIBUTIONS; GLOBAL CHANGE; FUTURE; EUROPE; COVER; BIODIVERSITY; DIVERSITY; SCENARIOS; RICHNESS; RISKS</t>
  </si>
  <si>
    <t>We present niche-based modelling to project the distribution of 845 European plant species for Germany using three different models and three scenarios of climate and land use changes up to 2080. Projected changes suggested large effects over the coming decades, with consequences for the German flora. Even under a moderate scenario (approx. + 2.2 degrees C), 15-19% (across models) of the species we studied could be lost locally-averaged from 2995 grid cells in Germany. Models projected strong spatially varying impacts on the species composition. In particular, the eastern and southwestern parts of Germany were affected by species loss. Scenarios were characterized by an increased number of species occupying small ranges, as evidenced by changes in range-size rarity scores. It is anticipated that species with small ranges will be especially vulnerable to future climate change and other ecological stresses.</t>
  </si>
  <si>
    <t>[Pompe, Sven; Hanspach, Jan; Klotz, Stefan; Kuehn, Ingolf] UFZ Helmholtz Ctr Environm Res, Helmholtz Ctr Environm Res, Dept Community Ecol, D-06120 Halle, Germany; [Badeck, Franz] Potsdam Inst Climate Impact Res PIK, D-14412 Potsdam, Germany; [Thuiller, Wilfried] Univ Grenoble 1, CNRS, Lab Ecol Alpine, UMR 5553, F-38041 Grenoble 9, France</t>
  </si>
  <si>
    <t>Helmholtz Association; Helmholtz Center for Environmental Research (UFZ); Potsdam Institut fur Klimafolgenforschung; Communaute Universite Grenoble Alpes; Universite Grenoble Alpes (UGA); Centre National de la Recherche Scientifique (CNRS); Universite Savoie Mont Blanc; CNRS - Institute of Ecology &amp; Environment (INEE)</t>
  </si>
  <si>
    <t>Pompe, S (corresponding author), UFZ Helmholtz Ctr Environm Res, Helmholtz Ctr Environm Res, Dept Community Ecol, Theodor Lieser Str 4, D-06120 Halle, Germany.</t>
  </si>
  <si>
    <t>sven.pompe@ufz.de</t>
  </si>
  <si>
    <t>Thuiller, Wilfried/G-3283-2010; Kühn, Ingolf/B-9756-2009; Klotz, Stefan/J-5866-2017; Kühn, Ingolf/B-9756-2009; Badeck, Franz/C-6722-2008; Badeck, Franz-Werner/C-6722-2008</t>
  </si>
  <si>
    <t>Kühn, Ingolf/0000-0003-1691-8249; Klotz, Stefan/0000-0003-4355-6415; Hanspach, Jan/0000-0002-6638-8699; Kühn, Ingolf/0000-0003-1691-8249; Badeck, Franz-Werner/0000-0001-7821-8825</t>
  </si>
  <si>
    <t>'Flora Climate' [FKZ 80581001]; German Federal Agency [GOCE-CT-2003-506675]; Minimisation of and Adaptation to Climate change Impacts on biodiversity [044399]; European Commission's FP6; [066866]</t>
  </si>
  <si>
    <t>'Flora Climate'; German Federal Agency; Minimisation of and Adaptation to Climate change Impacts on biodiversity; European Commission's FP6(European Union (EU)European Commission Joint Research Centre);</t>
  </si>
  <si>
    <t>We acknowledge the support of the projects 'Flora &amp; Climate' (FKZ 80581001) (S.P. and I.K.) funded by the German Federal Agency for Nature Conservation and Assessing LArge scale environmental Risks for biodiversity with tested Methods (ALARM, GOCE-CT-2003-506675; Settele et al. 2005; I.K., F.B. and S.K.), Minimisation of and Adaptation to Climate change Impacts on biodiversity, No. 044399 (MACIS; I.K. and W.T.) and Challenges in assessing and forecasting biodiversity and ecosystem changes in Europe, No 066866 GOCE (ECOCHANGE; W. T.) funded by the European Commission's FP6. For their valuable comments and supplying material, we particularly thank Jessica Bergmann, Gudrun Carl, Eva Kuster, Wolfgang Cramer, Stefan Fronzek, Thomas Hickler, Ralf Ohlemuller and Oliver Schweiger.</t>
  </si>
  <si>
    <t>OCT 23</t>
  </si>
  <si>
    <t>10.1098/rsbl.2008.0231</t>
  </si>
  <si>
    <t>346RC</t>
  </si>
  <si>
    <t>WOS:000259085900035</t>
  </si>
  <si>
    <t>Colwell, RK; Brehm, G; Cardelús, CL; Gilman, AC; Longino, JT</t>
  </si>
  <si>
    <t>Colwell, Robert K.; Brehm, Gunnar; Cardelus, Catherine L.; Gilman, Alex C.; Longino, John T.</t>
  </si>
  <si>
    <t>Global warming, elevational range shifts, and lowland biotic attrition in the wet tropics</t>
  </si>
  <si>
    <t>CLIMATE-CHANGE; SPECIES RICHNESS; FOREST; RESPONSES; BIODIVERSITY; PATTERNS; IMPACTS; GROWTH</t>
  </si>
  <si>
    <t>Many studies suggest that global warming is driving species ranges poleward and toward higher elevations at temperate latitudes, but evidence for range shifts is scarce for the tropics, where the shallow latitudinal temperature gradient makes upslope shifts more likely than poleward shifts. Based on new data for plants and insects on an elevational transect in Costa Rica, we assess the potential for lowland biotic attrition, range-shift gaps, and mountaintop extinctions under projected warming. We conclude that tropical lowland biotas may face a level of net lowland biotic attrition without parallel at higher latitudes (where range shifts may be compensated for by species from lower latitudes) and that a high proportion of tropical species soon faces gaps between current and projected elevational ranges.</t>
  </si>
  <si>
    <t>[Colwell, Robert K.] Univ Connecticut, Dept Ecol &amp; Evolutionary Biol, Storrs, CT 06269 USA; [Brehm, Gunnar] Univ Jena, Inst Spezielle Zool, D-07743 Jena, Germany; [Brehm, Gunnar] Univ Jena, Evolutionsbiol Phyletischem Museum, D-07743 Jena, Germany; [Cardelus, Catherine L.] Colgate Univ, Dept Biol, Hamilton, NY 13346 USA; [Gilman, Alex C.] Univ Calif Los Angeles, Dept Ecol &amp; Evolutionary Biol, Los Angeles, CA 90950 USA; [Longino, John T.] Evergreen State Coll, Olympia, WA 98505 USA</t>
  </si>
  <si>
    <t>University of Connecticut; Friedrich Schiller University of Jena; Friedrich Schiller University of Jena; Colgate University; University of California System; University of California Los Angeles</t>
  </si>
  <si>
    <t>Colwell, RK (corresponding author), Univ Connecticut, Dept Ecol &amp; Evolutionary Biol, Storrs, CT 06269 USA.</t>
  </si>
  <si>
    <t>colwell@uconn.edu</t>
  </si>
  <si>
    <t>Brehm, Gunnar/D-5831-2013; Colwell, Robert K./OXB-4625-2025; Cardelus, Catherine/ABA-8409-2020</t>
  </si>
  <si>
    <t>Cardelus, Catherine/0000-0003-0526-7612;</t>
  </si>
  <si>
    <t>Organization for Tropical Studies; Conservation International; University of Connecticut; U.S. NSF [DEB-0072702, DEB-0640015, DEB-0639979]; Research Fellowship and Dissertation Improvement Grant; Sigma Phi, Explorer's Club, and Steven Vavra Plant Systematics Fund; Deutsche Forschungsgemeinschaft [BR 2280/1-1]</t>
  </si>
  <si>
    <t>Organization for Tropical Studies; Conservation International; University of Connecticut; U.S. NSF(National Science Foundation (NSF)); Research Fellowship and Dissertation Improvement Grant; Sigma Phi, Explorer's Club, and Steven Vavra Plant Systematics Fund; Deutsche Forschungsgemeinschaft(German Research Foundation (DFG))</t>
  </si>
  <si>
    <t>Supported by the Organization for Tropical Studies; the Tropical Ecology Assessment and Monitoring (TEAM) project of Conservation International; University of Connecticut (R.K.C. and C.L.C.); UCLA (A.C.G.); U.S. NSF (DEB-0072702: R.K.C., G.B., and J.T.L.; DEB-0640015: J.T.L.; DEB-0639979: R.K.C.; Research Fellowship and Dissertation Improvement Grant: C.L.C.); Sigma Phi, Explorer's Club, and Steven Vavra Plant Systematics Fund (A.C.G.); and the Deutsche Forschungsgemeinschaft (BR 2280/1-1: G.B.). We thank M. B. Bush, R.L. Chazdon, D.A. Clark, R.R. Dunn, K.M. Kuhn, C. Rahbek, T.F.L.V.B. Rangel, M. R. Silman, and our peer reviewers for comments.</t>
  </si>
  <si>
    <t>OCT 10</t>
  </si>
  <si>
    <t>10.1126/science.1162547</t>
  </si>
  <si>
    <t>358FK</t>
  </si>
  <si>
    <t>WOS:000259902300048</t>
  </si>
  <si>
    <t>Lin, L; Feng, LM; Pan, WJ; Guo, XM; Zhao, JW; Luo, AD; Zhang, L</t>
  </si>
  <si>
    <t>Lin, Liu; Feng, Limin; Pan, Wenjing; Guo, Xianming; Zhao, Jianwei; Luo, Aidong; Zhang, Li</t>
  </si>
  <si>
    <t>Habitat selection and the change in distribution of Asian elephants in Mengyang Protected Area, Yunnan, China</t>
  </si>
  <si>
    <t>ACTA THERIOLOGICA</t>
  </si>
  <si>
    <t>Elephas maximus; logistic regression; human-wildlife conflict; transformation; poaching; habitat alteration; conservation; road ecology</t>
  </si>
  <si>
    <t>NATIONAL-PARK; SOUTHERN INDIA; CONSERVATION; WILDLIFE; MAXIMUS; ECOLOGY; POPULATIONS; CORRIDORS; ROADS; ZONE</t>
  </si>
  <si>
    <t>Elephants were confined to Mengyang Protected Area in China and their distribution range had reduced greatly compared to past records. A preliminary study of habitat selection by Asian elephants Elephas maximus Linnaeus, 1758 and their distribution was conducted in Mengyang Protected Area and its surrounds using site visits and transect surveys from July 2003 to December 2006. Although no variable significantly influenced their habitat selection, elephants still showed preference for altitudes between 900 and 1200 in, gradients &lt; 30 degrees, and orientations to the south-east, south and south-west. Human activities, including habitat transformation and degradation, disturbance by large infrastructure and poaching were considered to be the main factors inducing elephant distribution changes.</t>
  </si>
  <si>
    <t>[Lin, Liu; Feng, Limin; Pan, Wenjing; Zhang, Li] Beijing Normal Univ, Key Lab Biodivers Sci &amp; Ecol Engn, Minist Educ, Coll Life Sci, Beijing 100875, Peoples R China; [Guo, Xianming; Zhao, Jianwei; Luo, Aidong] Xishuangbanna Natl Nat Reserve Bureaus, Jinghong 666100, Yunnan, Peoples R China</t>
  </si>
  <si>
    <t>Beijing Normal University</t>
  </si>
  <si>
    <t>Zhang, L (corresponding author), Beijing Normal Univ, Key Lab Biodivers Sci &amp; Ecol Engn, Minist Educ, Coll Life Sci, Beijing 100875, Peoples R China.</t>
  </si>
  <si>
    <t>asterzhang@vip.sina.com</t>
  </si>
  <si>
    <t>Zhao, Jianwei/HCI-6516-2022; Feng, Limin/G-9539-2014</t>
  </si>
  <si>
    <t>Feng, Limin/0000-0001-9526-1681</t>
  </si>
  <si>
    <t>International Fund for Animal Welfare (IFAW); Asian Elephant Conservation Grant of the USFWS; Xishuangbanna National Nature Reserve Management Bureau</t>
  </si>
  <si>
    <t>International Fund for Animal Welfare (IFAW); Asian Elephant Conservation Grant of the USFWS(US Fish &amp; Wildlife Service); Xishuangbanna National Nature Reserve Management Bureau(Chinese Academy of Sciences)</t>
  </si>
  <si>
    <t>We are grateful to the International Fund for Animal Welfare (IFAW), Asian Elephant Conservation Grant of the USFWS and Xishuangbanna National Nature Reserve Management Bureau for both financial and logistic support. We greatly appreciated J. G. Huang, Y. H. Dong, Y. L. Guo. Z. Q. Yuan, W. Q. Zhu for their guidance and advice, and H. D. Zhao, D. F. Cao, Z. H. Li, K. X. Xiewen for their hard work and field assistance.</t>
  </si>
  <si>
    <t>0001-7051</t>
  </si>
  <si>
    <t>2190-3743</t>
  </si>
  <si>
    <t>ACTA THERIOL</t>
  </si>
  <si>
    <t>Acta Theriol.</t>
  </si>
  <si>
    <t>10.1007/BF03195197</t>
  </si>
  <si>
    <t>367MQ</t>
  </si>
  <si>
    <t>WOS:000260556500005</t>
  </si>
  <si>
    <t>Kirby, JS; Stattersfield, AJ; Butchart, SHM; Evans, MI; Grimmett, RFA; Jones, VR; O'Sullivan, J; Tucker, GM; Newton, I</t>
  </si>
  <si>
    <t>Kirby, Jeff S.; Stattersfield, Alison J.; Butchart, Stuart H. M.; Evans, Michael I.; Grimmett, Richard F. A.; Jones, Victoria R.; O'Sullivan, John; Tucker, Graham M.; Newton, Ian</t>
  </si>
  <si>
    <t>Key conservation issues for migratory land- and waterbird species on the world's major flyways</t>
  </si>
  <si>
    <t>HUNTING DISTURBANCE; POPULATION DECLINES; IMPACTS; H5N1; TRENDS; GEESE; RATES; BIRDS</t>
  </si>
  <si>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</si>
  <si>
    <t>[Kirby, Jeff S.] JUST ECOLOGY Environm Consultancy, Wotton Under Edge GL12 8AA, Glos, England; [Stattersfield, Alison J.; Butchart, Stuart H. M.; Evans, Michael I.; Grimmett, Richard F. A.; Jones, Victoria R.] BirdLife Int, Wellbrook Court, Cambridge CB3 0NA, England; [O'Sullivan, John] Royal Soc Protect Birds, Sandy SG19 2DL, Beds, England; [Tucker, Graham M.] Ecol Solut Environm Consultancy, Huntingdon PE28 9BL, England; [Newton, Ian] Abbots Ripton, Ctr Ecol &amp; Hydrol, Huntingdon PE28 2LS, Cambs, England</t>
  </si>
  <si>
    <t>BirdLife International; Royal Society for Protection of Birds; UK Centre for Ecology &amp; Hydrology (UKCEH)</t>
  </si>
  <si>
    <t>Kirby, JS (corresponding author), JUST ECOLOGY Environm Consultancy, Woodend House, Wotton Under Edge GL12 8AA, Glos, England.</t>
  </si>
  <si>
    <t>jeff.kirby@justecology.co.uk; alison.stattersfield@birdlife.org</t>
  </si>
  <si>
    <t>Newton, Ian/AAV-5830-2021; Butchart, Stuart/Y-2711-2018</t>
  </si>
  <si>
    <t>Butchart, Stuart/0000-0002-1140-4049</t>
  </si>
  <si>
    <t>Vogelbescherming Nederlands (BirdLife in the Netherlands); Natural England; UK Department for Environment, Food and Rural Affairs; Natural Environment Research Council [CEH010021] Funding Source: researchfish</t>
  </si>
  <si>
    <t>Vogelbescherming Nederlands (BirdLife in the Netherlands); Natural England; UK Department for Environment, Food and Rural Affairs(Department for Environment, Food &amp; Rural Affairs (DEFRA)); Natural Environment Research Council(UK Research &amp; Innovation (UKRI)Natural Environment Research Council (NERC))</t>
  </si>
  <si>
    <t>We thank Leon Bennun, Rob Clay, Nigel Collar and Lincoln Fishpool of BirdLife International for helping to shape this paper and for commenting on earlier drafts; also Jez Bird, James Gilroy, Simon Mahood, Lucy Malpas, Andy Symes and Joe Taylor for their work on evaluating the status of the world's birds and checking various attributes in BirdLife's World Bird Database, including migratory Status. We acknowledge the generous input of thousands of contributors and collaborating organisations who provide BirdLife with information on the status, distribution and threats to the world's birds and the conservation actions needed and underway for them. We thank Debbie Pain and Steven Ewing of the Royal Society for the Protection of Birds for their valuable input, including giving us access to an unpublished review of declines of Nearctic-Neotropical migrants, work that has been funded by Natural England under the Action for Birds in England Programme. We thank David Stroud of the UK joint Nature Conservation Committee and Ward Hagemeijer of Wetlands international for their very useful comments and suggestions. The review of the Status of raptors in Africa and Eurasia was funded by the UK Department for Environment, Food and Rural Affairs as a contribution to the development of a proposed regional conservation instrument for migratory birds of prey under the Convention on Migratory Species. We are grateful to the staff of JUST ECOLOGYfor discussions and support. The compilation of this review has been partly funded by Vogelbescherming Nederlands (BirdLife in the Netherlands) as a contribution towards the development of a global BirdLife flyways initiative.</t>
  </si>
  <si>
    <t>S49</t>
  </si>
  <si>
    <t>S73</t>
  </si>
  <si>
    <t>10.1017/S0959270908000439</t>
  </si>
  <si>
    <t>351VD</t>
  </si>
  <si>
    <t>WOS:000259453100005</t>
  </si>
  <si>
    <t>Graham, NAJ; McClanahan, TR; MacNeil, MA; Wilson, SK; Polunin, NVC; Jennings, S; Chabanet, P; Clark, S; Spalding, MD; Letourneur, Y; Bigot, L; Galzin, R; Öhman, MC; Garpe, KC; Edwards, AJ; Sheppard, CRC</t>
  </si>
  <si>
    <t>Graham, Nicholas A. J.; McClanahan, Tim R.; MacNeil, M. Aaron; Wilson, Shaun K.; Polunin, Nicholas V. C.; Jennings, Simon; Chabanet, Pascale; Clark, Susan; Spalding, Mark D.; Letourneur, Yves; Bigot, Lionel; Galzin, Rene; Ohman, Marcus C.; Garpe, Kajsa C.; Edwards, Alasdair J.; Sheppard, Charles R. C.</t>
  </si>
  <si>
    <t>Climate Warming, Marine Protected Areas and the Ocean-Scale Integrity of Coral Reef Ecosystems</t>
  </si>
  <si>
    <t>PHASE-SHIFTS; FISH; RESILIENCE; DEGRADATION; HERBIVORY; RECOVERY; IMPACTS; DECLINE; CONSERVATION; BIODIVERSITY</t>
  </si>
  <si>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</si>
  <si>
    <t>[Graham, Nicholas A. J.; MacNeil, M. Aaron; Wilson, Shaun K.; Polunin, Nicholas V. C.] Newcastle Univ, Sch Marine Sci &amp; Technol, Newcastle Upon Tyne, Tyne &amp; Wear, England; [McClanahan, Tim R.] Wildlife Conservat Soc, Marine Programs, Bronx, NY USA; [MacNeil, M. Aaron] NOAA, Panama City Lab, Natl Res Council, Panama City, FL USA; [Wilson, Shaun K.] James Cook Univ, ARC Ctr Excellence Coral Reef Stud, Townsville, Qld, Australia; [Jennings, Simon] Ctr Environm Fisheries &amp; Aquaculture Sci, Lowestoft Lab, Lowestoft, Suffolk, England; [Jennings, Simon] Univ E Anglia, Sch Environm Sci, Norwich, Norfolk, England; [Chabanet, Pascale] Inst Rech Dev, Noumea, New Caledonia; [Chabanet, Pascale; Bigot, Lionel] Univ La Reunion, Lab Ecol Marine ECOMAR, St Denis, France; [Clark, Susan] Bridgewater House, Manchester, Lancs, England; [Spalding, Mark D.] Nature Conservancy, Newmarket, Suffolk, England; [Letourneur, Yves] Univ Mediterranee, Ctr Oceanol Marseille, UMR CNRS, 6540 DIMAR, Marseille, France; [Galzin, Rene] Univ Perpignan, CNRS EPHE UPVD, UMR 5244, Perpignan, France; [Ohman, Marcus C.; Garpe, Kajsa C.] Stockholm Univ, Dept Zool, Stockholm, Sweden; [Edwards, Alasdair J.] Newcastle Univ, Sch Biol, Newcastle Upon Tyne, Tyne &amp; Wear, England; [Sheppard, Charles R. C.] Univ Warwick, Dept Biol Sci, Coventry CV4 7AL, W Midlands, England</t>
  </si>
  <si>
    <t>Newcastle University - UK; Wildlife Conservation Society; National Academies of Sciences, Engineering &amp; Medicine; National Oceanic Atmospheric Admin (NOAA) - USA; James Cook University; Centre for Environment Fisheries &amp; Aquaculture Science; University of East Anglia; Institut de Recherche pour le Developpement (IRD); University of La Reunion; Centre National de la Recherche Scientifique (CNRS); Aix-Marseille Universite; Universite Perpignan Via Domitia; Centre National de la Recherche Scientifique (CNRS); CNRS - Institute of Ecology &amp; Environment (INEE); Universite de Montpellier; Stockholm University; Newcastle University - UK; University of Warwick</t>
  </si>
  <si>
    <t>Graham, NAJ (corresponding author), Newcastle Univ, Sch Marine Sci &amp; Technol, Newcastle Upon Tyne, Tyne &amp; Wear, England.</t>
  </si>
  <si>
    <t>a.j.graham@ncl.ac.uk</t>
  </si>
  <si>
    <t>Graham, Nicholas/C-8360-2014; Spalding, Mark/GVU-0739-2022; LETOURNEUR, Yves/B-4387-2012; Chabanet, Pascale/L-9470-2017; McClanahan, Tim/K-4998-2019; Edwards, Alasdair/C-9558-2009; Jennings, Simon/F-5085-2012; MacNeil, Aaron/E-8196-2017; Wilson, Shaun/K-8597-2019; MacNeil, M Aaron/E-8196-2017</t>
  </si>
  <si>
    <t>Graham, Nicholas/0000-0002-0304-7467; Chabanet, Pascale/0000-0001-7600-943X; Polunin, Nick/0000-0002-1480-8794; sheppard, charles/0000-0002-2579-5124; LETOURNEUR, Yves/0000-0003-3157-1976; Jennings, Simon/0000-0002-2390-7225; Öhman, Marcus C/0009-0003-6452-7012; MacNeil, M Aaron/0000-0001-8406-325X; Wilson, Shaun/0000-0002-4590-0948; McClanahan, Timothy/0000-0001-5821-3584; Spalding, Mark/0000-0001-9456-4533</t>
  </si>
  <si>
    <t>Leverhulme Trust; Western Indian Ocean Marine Science Association; World Bank Targeted Research Group on Coral Bleaching; Fisheries Society of the British Isles; Eppley and Tiffany Foundations; National Science and Engineering Research Council of Canada; British Overseas Development Administration (now DFID); British Foreign and Commonwealth Office</t>
  </si>
  <si>
    <t>Leverhulme Trust(Leverhulme Trust); Western Indian Ocean Marine Science Association; World Bank Targeted Research Group on Coral Bleaching; Fisheries Society of the British Isles; Eppley and Tiffany Foundations; National Science and Engineering Research Council of Canada(Natural Sciences and Engineering Research Council of Canada (NSERC)); British Overseas Development Administration (now DFID); British Foreign and Commonwealth Office</t>
  </si>
  <si>
    <t>This research was funded through grants from the Leverhulme Trust, Western Indian Ocean Marine Science Association, World Bank Targeted Research Group on Coral Bleaching, the Fisheries Society of the British Isles, the Eppley and Tiffany Foundations, the National Science and Engineering Research Council of Canada, the British Overseas Development Administration (now DFID) and the British Foreign and Commonwealth Office.</t>
  </si>
  <si>
    <t>AUG 27</t>
  </si>
  <si>
    <t>e3039</t>
  </si>
  <si>
    <t>10.1371/journal.pone.0003039</t>
  </si>
  <si>
    <t>427RM</t>
  </si>
  <si>
    <t>WOS:000264796400003</t>
  </si>
  <si>
    <t>Dulvy, NK; Rogers, SI; Jennings, S; Stelzenmüller, V; Dye, SR; Skjoldal, HR</t>
  </si>
  <si>
    <t>Dulvy, Nicholas K.; Rogers, Stuart I.; Jennings, Simon; Stelzenmueller, Vanessa; Dye, Stephen R.; Skjoldal, Hein R.</t>
  </si>
  <si>
    <t>Climate change and deepening of the North Sea fish assemblage:: a biotic indicator of warming seas</t>
  </si>
  <si>
    <t>climate change; habitat loss; invasive species; life-history trait; North Sea; regime shift; thermal preference</t>
  </si>
  <si>
    <t>MARINE FISHES; EXTINCTION RISK; EUROPEAN SEAS; ATLANTIC; ABUNDANCE; COD; COMMUNITY; SIZE; ZOOPLANKTON; VARIABILITY</t>
  </si>
  <si>
    <t>1. Climate change impacts have been observed on individual species and species subsets; however, it remains to be seen whether there are systematic, coherent assemblage-wide responses to climate change that could be used as a representative indicator of changing biological state. 2. European shelf seas are warming faster than the adjacent land masses and faster than the global average. We explore the year-by-year distributional response of North Sea bottom-dwelling (demersal) fishes to temperature change over the 25 years from 1980 to 2004. The centres of latitudinal and depth distributions of 28 fishes were estimated from species-abundance-location data collected on an annual fish monitoring survey. 3. Individual species responses were aggregated into 19 assemblages reflecting physiology (thermal preference and range), ecology (body size and abundance-occupancy patterns), biogeography (northern, southern and presence of range boundaries), and susceptibility to human impact (fishery target, bycatch and non-target species). 4. North Sea winter bottom temperature has increased by 1.6 degrees C over 25 years, with a 1 degrees C increase in 1988-1989 alone. During this period, the whole demersal fish assemblage deepened by similar to 3.6 m decade(-1) and the deepening was coherent for most assemblages. 5. The latitudinal response to warming was heterogeneous, and reflects (i) a northward shift in the mean latitude of abundant, widespread thermal specialists, and (ii) the southward shift of relatively small, abundant southerly species with limited occupancy and a northern range boundary in the North Sea. 6. Synthesis and applications. The deepening of North Sea bottom-dwelling fishes in response to climate change is the marine analogue of the upward movement of terrestrial species to higher altitudes. The assemblage-level depth responses, and both latitudinal responses, covary with temperature and environmental variability in a manner diagnostic of a climate change impact. The deepening of the demersal fish assemblage in response to temperature could be used as a biotic indicator of the effects of climate change in the North Sea and other semi-enclosed seas.</t>
  </si>
  <si>
    <t>[Dulvy, Nicholas K.; Rogers, Stuart I.; Jennings, Simon; Stelzenmueller, Vanessa; Dye, Stephen R.] Ctr Environm Fisheries &amp; Aquaculture Sci, Lowestoft Lab, Lowestoft NR33 0HT, Suffolk, England; [Dulvy, Nicholas K.] Simon Fraser Univ, Dept Biol Sci, Burnaby, BC V5A 1S6, Canada; [Skjoldal, Hein R.] Inst Marine Res, N-5817 Bergen, Norway</t>
  </si>
  <si>
    <t>Centre for Environment Fisheries &amp; Aquaculture Science; Simon Fraser University; Institute of Marine Research - Norway</t>
  </si>
  <si>
    <t>Dulvy, NK (corresponding author), Ctr Environm Fisheries &amp; Aquaculture Sci, Lowestoft Lab, Lowestoft NR33 0HT, Suffolk, England.</t>
  </si>
  <si>
    <t>nick_dulvy@sfu.ca</t>
  </si>
  <si>
    <t>Jennings, Simon/F-5085-2012; Dulvy, Nicholas/I-2895-2012; Dye, Stephen/C-9456-2011</t>
  </si>
  <si>
    <t>Jennings, Simon/0000-0002-2390-7225; Stelzenmüller, Vanessa/0000-0002-6419-8357; Dulvy, Nicholas/0000-0002-4295-9725; Dye, Stephen/0000-0002-4182-8475</t>
  </si>
  <si>
    <t>10.1111/j.1365-2664.2008.01488.x</t>
  </si>
  <si>
    <t>324DG</t>
  </si>
  <si>
    <t>WOS:000257497300005</t>
  </si>
  <si>
    <t>Kümpel, NF; Milner-Gulland, EJ; Rowcliffe, JM; Cowlishaw, G</t>
  </si>
  <si>
    <t>Kumpel, Noelle F.; Milner-Gulland, E. J.; Rowcliffe, J. Marcus; Cowlishaw, Guy</t>
  </si>
  <si>
    <t>Impact of gun-hunting on diurnal primates in continental Equatorial Guinea</t>
  </si>
  <si>
    <t>INTERNATIONAL JOURNAL OF PRIMATOLOGY</t>
  </si>
  <si>
    <t>21st Congress of the International-Primatological-Society</t>
  </si>
  <si>
    <t>JUN 25-30, 2006</t>
  </si>
  <si>
    <t>Entebbe, UGANDA</t>
  </si>
  <si>
    <t>Int Primatol Soc</t>
  </si>
  <si>
    <t>bushmeat; Colobus satanas; Equatorial Guinea; gun-hunting; impact; primates</t>
  </si>
  <si>
    <t>BIOKO ISLAND; CONSERVATION; TRANSECT; ECOLOGY; RESERVE; MONKEYS; FOREST</t>
  </si>
  <si>
    <t>Bushmeat hunting is threatening wildlife populations across west-central Africa, and now poses a greater threat to primates than habitat loss or degradation does in some areas. However, species vary in their abilities to withstand hunting, either because hunters target them differentially or they vary in their vulnerability to a given level of hunting. We studied the impact of current levels of gun-hunting on diurnal primate species in the little-studied Monte Mitra area of Monte Alen National Park, continental Equatorial Guinea. Most bushmeat is currently trapped, but gun-hunting is increasing as shotguns become more available and affordable, allowing targeting of arboreal as well as terrestrial prey. We collected data over 15-mo, via hunter interviews, gun-hunter follows, an offtake survey recording 9374 individuals, and primate surveys covering 408 km of line transects in 2 sites with differing gun-hunting histories. Inside the park, where gun-hunting pressure was recent and light, we found high primate diversity, density, and biomass, with black colobus (Colobus satanas) particularly abundant at 57 individuals/km(2). However, around the village, where gun-hunting was longer-established, though other species such as the guenons still persisted (albeit at lower densities), Colobus satanas were virtually absent. Being slow and large-bodied, Colobus satanas are preferred and susceptible prey, and an early indicator of overhunting. Monte Alen National Park is currently an important stronghold for primates, particularly Colobus satanas, but regulation of the trade and enforcement of hunting bans in the park are urgently needed to safeguard their future and that of other vulnerable species.</t>
  </si>
  <si>
    <t>[Kumpel, Noelle F.] Zool Soc London, London NW1 4RY, England; [Kumpel, Noelle F.] UCL, Dept Anthropol, London WC1H 0BW, England; [Kumpel, Noelle F.; Milner-Gulland, E. J.] Univ London Imperial Coll Sci Technol &amp; Med, Div Biol, Ascot SL5 7PY, Berks, England; [Rowcliffe, J. Marcus; Cowlishaw, Guy] Zool Soc London, Inst Zool, London NW1 4RY, England</t>
  </si>
  <si>
    <t>Zoological Society of London; University of London; University College London; Imperial College London; Zoological Society of London</t>
  </si>
  <si>
    <t>Kümpel, NF (corresponding author), Zool Soc London, Regents Pk, London NW1 4RY, England.</t>
  </si>
  <si>
    <t>noelle.kumpel@zsl.org</t>
  </si>
  <si>
    <t>Rowcliffe, Marcus/G-3713-2018</t>
  </si>
  <si>
    <t>Rowcliffe, Marcus/0000-0002-4286-6887; Milner-Gulland, EJ/0000-0003-0324-2710</t>
  </si>
  <si>
    <t>ESRC [ES/E010075/1] Funding Source: UKRI; Economic and Social Research Council [ES/E010075/1] Funding Source: researchfish</t>
  </si>
  <si>
    <t>ESRC(UK Research &amp; Innovation (UKRI)Economic &amp; Social Research Council (ESRC)); Economic and Social Research Council(UK Research &amp; Innovation (UKRI)Economic &amp; Social Research Council (ESRC))</t>
  </si>
  <si>
    <t>0164-0291</t>
  </si>
  <si>
    <t>1573-8604</t>
  </si>
  <si>
    <t>INT J PRIMATOL</t>
  </si>
  <si>
    <t>Int. J. Primatol.</t>
  </si>
  <si>
    <t>10.1007/s10764-008-9254-9</t>
  </si>
  <si>
    <t>344XE</t>
  </si>
  <si>
    <t>WOS:000258959800015</t>
  </si>
  <si>
    <t>Raxworthy, CJ; Pearson, RG; Rabibisoa, N; Rakotondrazafy, AM; Ramanamanjato, JB; Raselimanana, AP; Wu, S; Nussbaum, RA; Stone, DA</t>
  </si>
  <si>
    <t>Raxworthy, Christopher J.; Pearson, Richard G.; Rabibisoa, Nirhy; Rakotondrazafy, Andry M.; Ramanamanjato, Jean-Baptiste; Raselimanana, Achille P.; Wu, Shenghai; Nussbaum, Ronald A.; Stone, Daithi A.</t>
  </si>
  <si>
    <t>Extinction vulnerability of tropical montane endemism from warming and upslope displacement: a preliminary appraisal for the highest massif in Madagascar</t>
  </si>
  <si>
    <t>amphibia; conservation; distribution; elevation shifts; endemism; extinction; global warming; Madagascar; reptilia</t>
  </si>
  <si>
    <t>CLIMATE-CHANGE IMPACTS; RAIN-FORESTS; DECLINES; DEFORESTATION; DISTRIBUTIONS; BIODIVERSITY; BUTTERFLIES; SPECIATION; DIVERSITY; RESPONSES</t>
  </si>
  <si>
    <t>One of the predicted biological responses to climate warming is the upslope displacement of species distributions. In the tropics, because montane assemblages frequently include local endemics that are distributed close to summits, these species may be especially vulnerable to experiencing complete habitat loss from warming. However, there is currently a dearth of information available for tropical regions. Here, we present a preliminary appraisal of this extinction threat using the herpetological assemblage of the Tsaratanana Massif in northern Madagascar (the island's highest massif), which is rich with montane endemism. We present meteorological evidence (individual and combined regional weather station data and reanalysis forecast data) for recent warming in Madagascar, and show that this trend is consistent with recent climate model simulations. Using standard moist adiabatic lapse rates, these observed meteorological warming trends in northern Madagascar predict upslope species displacement of 17-74 m per decade between 1993 and 2003. Over this same period, we also report preliminary data supporting a trend for upslope distribution movements, based on two surveys we completed at Tsaratanana. For 30 species, representing five families of reptiles and amphibians, we found overall mean shifts in elevational midpoint of 19-51 m upslope (mean lower elevation limit 29-114 m; mean upper elevation limit -8 to 53 m). We also found upslope trends in mean and median elevational observations in seven and six of nine species analysed. Phenological differences between these surveys do not appear to be substantial, but these upslope shifts are consistent with the predictions based on meteorological warming. An elevational range displacement analysis projects complete habitat loss for three species below the 2 degrees C 'dangerous' warming threshold. One of these species is not contracting its distribution, but the other two were not resampled in 2003. A preliminary review of the other massifs in Madagascar indicates potential similar vulnerability to habitat loss and upslope extinction. Consequently, we urgently recommend additional elevational surveys for these and other tropical montane assemblages, which should also include, when possible, the monitoring of local meteorological conditions and habitat change.</t>
  </si>
  <si>
    <t>[Raxworthy, Christopher J.; Pearson, Richard G.] Amer Museum Nat Hist, New York, NY 10024 USA; [Rabibisoa, Nirhy; Rakotondrazafy, Andry M.; Ramanamanjato, Jean-Baptiste; Raselimanana, Achille P.] Univ Antananarivo, Dept Biol Anim, Antananarivo 101, Madagascar; [Wu, Shenghai] Natl Chung Hsing Univ, Dept Zool, Taichung 402, Taiwan; [Nussbaum, Ronald A.] Univ Michigan, Museum Zool, Ann Arbor, MI 48109 USA; [Stone, Daithi A.] Univ Oxford, Dept Phys, Clarendon Lab, AOPP, Oxford OX1 3PU, England; [Stone, Daithi A.] Univ Oxford, Dept Zool, Clarendon Lab, Oxford OX1 3PU, England</t>
  </si>
  <si>
    <t>American Museum of Natural History (AMNH); University Antananarivo; National Chung Hsing University; University of Michigan System; University of Michigan; University of Oxford; University of Oxford</t>
  </si>
  <si>
    <t>Raxworthy, CJ (corresponding author), Amer Museum Nat Hist, Cent Pk W &amp; 79th St, New York, NY 10024 USA.</t>
  </si>
  <si>
    <t>rax@amnh.org</t>
  </si>
  <si>
    <t>Stone, Dáithí/0000-0002-2518-100X; Raselimanana, Achille Philippe/0000-0003-1610-7307</t>
  </si>
  <si>
    <t>10.1111/j.1365-2486.2008.01596.x</t>
  </si>
  <si>
    <t>327EM</t>
  </si>
  <si>
    <t>WOS:000257712400001</t>
  </si>
  <si>
    <t>Broadbent, EN; Asner, GP; Keller, M; Knapp, DE; Oliveira, PJC; Silva, JN</t>
  </si>
  <si>
    <t>Broadbent, Eben N.; Asner, Gregory P.; Keller, Michael; Knapp, David E.; Oliveira, Paulo J. C.; Silva, Jose N.</t>
  </si>
  <si>
    <t>Forest fragmentation and edge effects from deforestation and selective logging in the Brazilian Amazon</t>
  </si>
  <si>
    <t>forest core; forest texture; landscape ecology; rainforest; remote sensing; sustainability</t>
  </si>
  <si>
    <t>PLANT-SPECIES RICHNESS; HABITAT FRAGMENTATION; RAIN-FOREST; VEGETATION; MICROCLIMATE; DYNAMICS; IMPACT; FIRE; MICROENVIRONMENT; CONSEQUENCES</t>
  </si>
  <si>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</si>
  <si>
    <t>[Broadbent, Eben N.; Asner, Gregory P.; Knapp, David E.; Oliveira, Paulo J. C.] Carnegie Inst Sci, Dept Global Ecol, Stanford, CA 94305 USA; [Broadbent, Eben N.] Stanford Univ, Dept Biol Sci, Stanford, CA 94305 USA; [Keller, Michael] USDA, Forest Serv, Int Inst Trop Forestry, Rio Piedras, PR USA; [Keller, Michael] Univ New Hampshire, Complex Syst Res Ctr, Durham, NH 03824 USA; [Silva, Jose N.] EMBRAPA Amazonia Oriental, BR-66095100 Belem, Para, Brazil</t>
  </si>
  <si>
    <t>Carnegie Institution for Science; Stanford University; United States Department of Agriculture (USDA); United States Forest Service; University System Of New Hampshire; University of New Hampshire; Empresa Brasileira de Pesquisa Agropecuaria (EMBRAPA); EMBRAPA Amazonia Oriental</t>
  </si>
  <si>
    <t>Broadbent, EN (corresponding author), Carnegie Inst Sci, Dept Global Ecol, Stanford, CA 94305 USA.</t>
  </si>
  <si>
    <t>eben@stanford.edu; gpa@stanford.edu; michael@kaos.sr.unh.edu; dknapp@globalecology.stanford.edu; poliveira@globalecology.stanford.edu; natalino@cpatu.embrapa.br</t>
  </si>
  <si>
    <t>Asner, Gregory/G-9268-2013; Broadbent, Eben/H-2965-2013; Broadbent, Eben/AFL-1770-2022; Asner, Gregory/G-9268-2013; Keller, Michael/A-8976-2012</t>
  </si>
  <si>
    <t>Asner, Gregory/0000-0001-7893-6421; Silva, José/0000-0003-4068-2432; Broadbent, Eben/0000-0002-4488-4237; Oliveira, Paulo/0000-0002-4071-3924; Asner, Gregory/0000-0001-7893-6421; Keller, Michael/0000-0002-0253-3359</t>
  </si>
  <si>
    <t>Emerging Frontiers; Direct For Biological Sciences [0752017] Funding Source: National Science Foundation</t>
  </si>
  <si>
    <t>Emerging Frontiers; Direct For Biological Sciences(National Science Foundation (NSF)NSF - Directorate for Biological Sciences (BIO))</t>
  </si>
  <si>
    <t>10.1016/j.biocon.2008.04.024</t>
  </si>
  <si>
    <t>335QY</t>
  </si>
  <si>
    <t>WOS:000258306300002</t>
  </si>
  <si>
    <t>Chen, J; Yamamura, Y; Hori, Y; Shiyomi, M; Yasuda, T; Zhou, HK; Li, YN; Tang, YH</t>
  </si>
  <si>
    <t>Chen, Jun; Yamamura, Yasuo; Hori, Yoshimichi; Shiyomi, Masae; Yasuda, Taisuke; Zhou, Hua-Kun; Li, Ying-nian; Tang, Yan-hong</t>
  </si>
  <si>
    <t>Small-scale species richness and its spatial variation in an alpine meadow on the Qinghai-Tibet Plateau</t>
  </si>
  <si>
    <t>ECOLOGICAL RESEARCH</t>
  </si>
  <si>
    <t>grazing; Kobresia meadow; Qinghai alpine meadow; winter grazing</t>
  </si>
  <si>
    <t>LIMESTONE GRASSLAND; HETEROGENEITY; NICHE; REGENERATION; COMMUNITIES; VEGETATION; ECOSYSTEM; ENERGY; FIRE; SEED</t>
  </si>
  <si>
    <t>We investigated how the high small-scale species richness of an alpine meadow on the Qinghai-Tibet Plateau, China, is maintained. This area is characterized by strong wind and severe cold during long winters. In winter, most livestock is grazed on dead leaves in small pastures near farmers' residences, whereas in the short summer, livestock is grazed in mountainous areas far from farmers' residences. The number of plant species and the aboveground biomass were surveyed for three adjacent pastures differing in grazing management: a late-winter grazing pasture grazed moderately from 1 February to 30 April, an early-winter grazing pasture grazed lightly from 20 September to late October, and a whole-year grazing pasture grazed intensively throughout the entire year. In each pasture, we harvested the aboveground biomass from 80 or 100 quadrats of 0.01 m(2) along a transect and classified the contents by species. We observed 15.5-19.7 species per 0.01 m(2), which is high richness per 0.01 m(2) on a worldwide scale. The species richness in the two winter grazing pastures was higher than that in the whole-year grazing pasture. The spatial variation in species richness and species composition in the two winter grazing pastures in which species richness was high was greater than that in the whole-year grazing pasture in which species richness was lower. Most of the leaves that are preserved on the winter grazing pastures during summer are blown away by strong winds during winter, and the remaining leaves are completely exhausted in winter by livestock grazing. A pasture with a high richess is accompanied by a high spatial variation in species richness and species composition. There is a high possibility that the characteristic of spatial variation is also caused by traditional grazing practices in this area.</t>
  </si>
  <si>
    <t>[Shiyomi, Masae] Ibaraki Univ, Univ Air, Mito, Ibaraki 3100056, Japan; [Chen, Jun; Yamamura, Yasuo; Hori, Yoshimichi] Ibaraki Univ, Fac Sci, Mito, Ibaraki 3100056, Japan; [Yasuda, Taisuke] Yamanashi Inst Environm Sci, Fujiyoshida, Yamanashi 4030005, Japan; [Zhou, Hua-Kun; Li, Ying-nian] Chinese Acad Sci, NW Plateau Inst Biol, Xining 810001, Peoples R China; [Tang, Yan-hong] Natl Inst Environm Studies, Tsukuba, Ibaraki 3058506, Japan</t>
  </si>
  <si>
    <t>Ibaraki University; Ibaraki University; Chinese Academy of Sciences; Northwest Institute of Plateau Biology, CAS; National Institute for Environmental Studies - Japan</t>
  </si>
  <si>
    <t>Shiyomi, M (corresponding author), Ibaraki Univ, Univ Air, Bunkyo 2-1-1, Mito, Ibaraki 3100056, Japan.</t>
  </si>
  <si>
    <t>shiyomi@mx.ibaraki.ac.jp</t>
  </si>
  <si>
    <t>l, y/IAQ-9519-2023; Tang, Yanhong/B-1699-2010</t>
  </si>
  <si>
    <t>Tang, Yanhong/0000-0001-7207-1965</t>
  </si>
  <si>
    <t>SPRINGER TOKYO</t>
  </si>
  <si>
    <t>TOKYO</t>
  </si>
  <si>
    <t>1-11-11 KUDAN-KITA, CHIYODA-KU, TOKYO, 102-0073, JAPAN</t>
  </si>
  <si>
    <t>0912-3814</t>
  </si>
  <si>
    <t>ECOL RES</t>
  </si>
  <si>
    <t>Ecol. Res.</t>
  </si>
  <si>
    <t>10.1007/s11284-007-0423-7</t>
  </si>
  <si>
    <t>322SJ</t>
  </si>
  <si>
    <t>WOS:000257395300003</t>
  </si>
  <si>
    <t>Herve, BD; Vidal, S</t>
  </si>
  <si>
    <t>Herve B., Bisseleua D.; Vidal, Stefan</t>
  </si>
  <si>
    <t>Plant biodiversity and vegetation structure in traditional cocoa forest gardens in southern Cameroon under different management</t>
  </si>
  <si>
    <t>agroecology; biodiversity conservation; cocoa agroforest; intensification; management index; management regime; southern Cameroon</t>
  </si>
  <si>
    <t>CACAO PLANTATIONS; ANT DIVERSITY; AGROFORESTRY; TREES; ZONE; CONSERVATION; CONVERSION; SYSTEMS; INTENSITY; DYNAMICS</t>
  </si>
  <si>
    <t>Floristic surveys were performed in 17 traditional cocoa forest gardens under different management regimes in the humid forest area of southern Cameroon, to assess the impact of intensification on plant biodiversity. This impact was evaluated by analyzing species richness, vegetation structure, carbon sequestration and above ground biomass. We hypothesize that: (a) plant (tree and herbs) species richness is negatively correlated to management intensity and (b) vegetational density predictably change with management intensity. Our results show that management as practiced in traditional cocoa forest gardens in southern Cameroon following a gradient of intensification from extensive cocoa forest gardens with high floristic diversity to intensive ones strongly impacts plant diversity, plant biomass and to some extend carbon storage with possible negative consequences on biodiversity. Great differences in species richness, species composition, and, for trees, diameter at breast height and basal area were evident among the five types of traditional cocoa forest garden systems investigated. In terms of plant species richness, we found a decreasing gradient of plant species numbers from extensive forest gardens to intensive ones. This study also highlights the importance of the Management Index for quantifying differences in the management; this index could be used to standardize certification procedures and assess conservation progress and success. Our findings support the idea that traditional cocoa forest gardens can help to protect many forest species, sustains smallholder production and offer more scope for conservation of biodiversity, at both species-level and landscape-level. Moreover, diverse traditional cocoa forest gardens may help in regulating pests and diseases and allow for efficient adaptation to changing socioeconomic conditions.</t>
  </si>
  <si>
    <t>[Herve B., Bisseleua D.; Vidal, Stefan] Univ Gottingen, Dept Crop Sci, Entomol Sect, D-3400 Gottingen, Germany; [Herve B., Bisseleua D.] Nkolbisson Reg Res Ctr, Inst Agr Res Dev IRAD, Yaounde 2067, Cameroon</t>
  </si>
  <si>
    <t>University of Gottingen</t>
  </si>
  <si>
    <t>Herve, BD (corresponding author), Univ Gottingen, Dept Crop Sci, Entomol Sect, Grisebachstr 6, D-3400 Gottingen, Germany.</t>
  </si>
  <si>
    <t>hbissel@gwdg.de</t>
  </si>
  <si>
    <t>Vidal, Stefan/AAC-3130-2020</t>
  </si>
  <si>
    <t>10.1007/s10531-007-9276-1</t>
  </si>
  <si>
    <t>322IB</t>
  </si>
  <si>
    <t>WOS:000257367300003</t>
  </si>
  <si>
    <t>Morin, X; Viner, D; Chuine, I</t>
  </si>
  <si>
    <t>Morin, Xavier; Viner, David; Chuine, Isabelle</t>
  </si>
  <si>
    <t>Tree species range shifts at a continental scale: new predictive insights from a process-based model</t>
  </si>
  <si>
    <t>JOURNAL OF ECOLOGY</t>
  </si>
  <si>
    <t>biodiversity; biogeography; climate change; extinction; migration; nonlinearity; North American trees; phenology; process-based model; species' distribution</t>
  </si>
  <si>
    <t>CLIMATE-CHANGE; MIGRATION RATES; VEGETATION DYNAMICS; PLANT MIGRATION; ENVELOPE MODELS; CHANGE IMPACTS; RESPONSES; DISTRIBUTIONS; PHENOLOGY; CONSEQUENCES</t>
  </si>
  <si>
    <t>1. Climate change has already caused distribution shifts in many species, and climate predictions strongly suggest that these will accelerate in the future. Obtaining reliable predictions of species range shifts under climate change is thus currently one of the most crucial challenges for both ecologists and stakeholders. 2. Here we simulate the distributions of 16 North American tree species at a continental scale for the 21st century according to two IPCC storylines, using a process-based species distribution model that for the first time allows identification of the possible causes of distribution change. 3. Our projections show local extinctions in the south of species ranges (21% of the present distribution, on average), and colonizations of new habitats in the north, though these are limited by dispersal ability for most species. Areas undergoing local extinctions are slightly larger under climate scenario A2 (+3.2 degrees C, +22% on average) than B2 (+1.0 degrees C, +19% on average). This small difference is caused by nonlinear responses of processes (leaves and flowers phenological processes in particular) to temperature. We also show that local extinction may proceed at a slower rate than forecasted so far. 4. Although predicted distribution shifts are very species-specific, we show that the loss of habitats southward will be mostly due to increased drought mortality and decreased reproductive success, while northward colonizations will be primarily promoted by increased probability of fruit ripening and flower frost survival. 5. Synthesis. Our results show that different species will not face the same risks due to climate change, because their responses to climate differ as well as their dispersal rate. Focusing on processes, our study therefore tempers the alarming conclusions of widely used niche-based models about biodiversity loss, mainly because our predictions take into account the local adaptation and trait plasticity to climate of the species.</t>
  </si>
  <si>
    <t>[Morin, Xavier; Chuine, Isabelle] CNRS, Ctr Ecol Fonct &amp; Evolut, Equipe BIOFLUX, F-34293 Montpellier 5, France; [Viner, David] Nat England Sci &amp; Evidence, Norwich NR1 2BE, Norfolk, England</t>
  </si>
  <si>
    <t>Universite PSL; Ecole Pratique des Hautes Etudes (EPHE); Institut Agro; Montpellier SupAgro; CIRAD; Centre National de la Recherche Scientifique (CNRS); Institut de Recherche pour le Developpement (IRD); Universite Paul-Valery; Universite de Montpellier</t>
  </si>
  <si>
    <t>Morin, X (corresponding author), McGill Univ, Dept Biol, Stewart Biol Bldg,W6-15,1205 Dr Penfield Ave, Montreal, PQ H3A 1B1, Canada.</t>
  </si>
  <si>
    <t>xavier.morin@mail.mcgill.ca</t>
  </si>
  <si>
    <t>Morin, Xavier/B-2790-2015</t>
  </si>
  <si>
    <t>0022-0477</t>
  </si>
  <si>
    <t>1365-2745</t>
  </si>
  <si>
    <t>J ECOL</t>
  </si>
  <si>
    <t>J. Ecol.</t>
  </si>
  <si>
    <t>10.1111/j.1365-2745.2008.01369.x</t>
  </si>
  <si>
    <t>311YH</t>
  </si>
  <si>
    <t>WOS:000256635800024</t>
  </si>
  <si>
    <t>Philpott, SM; Bichier, P; Rice, RA; Greenberg, R</t>
  </si>
  <si>
    <t>Philpott, Stacy M.; Bichier, Peter; Rice, Robert A.; Greenberg, Russell</t>
  </si>
  <si>
    <t>Biodiversity conservation, yield, and alternative products in coffee agroecosystems in Sumatra, Indonesia</t>
  </si>
  <si>
    <t>alternative products; ants; birds; coffee agroecosystem; Indonesia; revenue; species similarity; trees</t>
  </si>
  <si>
    <t>SHADE COFFEE; CHIAPAS; CERTIFICATION; AGROFORESTS; MANAGEMENT; DIVERSITY; ABUNDANCE; ANTS</t>
  </si>
  <si>
    <t>Agroecology and conservation must overlap to protect biodiversity and farmer livelihoods. Coffee agroecosystems with complex shade canopies protect biodiversity. Yet, few have examined biodiversity in coffee agroecosystems in Asia relative to the Americas and many question whether coffee agroecosystems can play a similar role for conservation. We examined vegetation, ant and bird diversity, coffee yields and revenues, and harvest of alternative products in coffee farms and forests in SW Sumatra, Indonesia near Bukit Barisan Selatan National Park (BBS). BBS is among the last habitats for large mammals in Sumatra and &gt; 15,000 families illegally cultivate coffee inside of BBS. As a basis for informing management recommendations, we compared the conservation potential and economic outputs from farms inside and outside of BBS. Forests had higher canopy cover, canopy depth, tree height, epiphyte loads, and more emergent trees than coffee farms. Coffee farms inside BBS had more epiphytes and trees and fewer coffee plants than farms outside BBS. Tree, ant, and bird richness was significantly greater in forests than in coffee farms, and richness did not differ in coffee farms inside and outside of BBS. Species similarity of forest and coffee trees, ants, and birds was generally low (&lt; 50%). Surprisingly, farms inside the park were significantly older, but farm size, coffee yields, and revenues from coffee did not depend on farm location. Farmers outside BBS received higher prices for their coffee and also more often produced other crops in their coffee fields such that incentives could be created to draw illegal farmers out of the park. We also discuss these results with reference to similar work in Chiapas, Mexico to compare the relative contribution of coffee fields to conservation in the two continents, and discuss implications for working with farmers in Sumatra towards conservation plans incorporating sustainable coffee production.</t>
  </si>
  <si>
    <t>[Philpott, Stacy M.] Univ Toledo, Dept Environm Sci, Toledo, OH 43606 USA; [Philpott, Stacy M.; Bichier, Peter; Rice, Robert A.; Greenberg, Russell] Smithsonian Migratory Bird Ctr, Washington, DC 20008 USA</t>
  </si>
  <si>
    <t>University System of Ohio; University of Toledo; Smithsonian Institution; Smithsonian National Zoological Park &amp; Conservation Biology Institute</t>
  </si>
  <si>
    <t>Philpott, SM (corresponding author), Univ Toledo, Dept Environm Sci, 2801 W Bancroft St, Toledo, OH 43606 USA.</t>
  </si>
  <si>
    <t>stacy.philpott@utoledo.edu</t>
  </si>
  <si>
    <t>Philpott, Stacy/M-3486-2019; Philpott, Stacy/F-2330-2011</t>
  </si>
  <si>
    <t>Philpott, Stacy/0000-0002-8338-3806</t>
  </si>
  <si>
    <t>10.1007/s10531-007-9267-2</t>
  </si>
  <si>
    <t>WOS:000257367300002</t>
  </si>
  <si>
    <t>Loarie, SR; Carter, BE; Hayhoe, K; McMahon, S; Moe, R; Knight, CA; Ackerly, DD</t>
  </si>
  <si>
    <t>Loarie, Scott R.; Carter, Benjamin E.; Hayhoe, Katharine; McMahon, Sean; Moe, Richard; Knight, Charles A.; Ackerly, David D.</t>
  </si>
  <si>
    <t>Climate Change and the Future of California's Endemic Flora</t>
  </si>
  <si>
    <t>BIOCLIMATE ENVELOPE MODELS; SPECIES DISTRIBUTIONS; EXTINCTION RISK; BIODIVERSITY; IMPACTS; RANGE; DIVERSITY; HABITAT; PLANTS; UNCERTAINTY</t>
  </si>
  <si>
    <t>The flora of California, a global biodiversity hotspot, includes 2387 endemic plant taxa. With anticipated climate change, we project that up to 66% will experience &gt;80% reductions in range size within a century. These results are comparable with other studies of fewer species or just samples of a region's endemics. Projected reductions depend on the magnitude of future emissions and on the ability of species to disperse from their current locations. California's varied terrain could cause species to move in very different directions, breaking up present-day floras. However, our projections also identify regions where species undergoing severe range reductions may persist. Protecting these potential future refugia and facilitating species dispersal will be essential to maintain biodiversity in the face of climate change.</t>
  </si>
  <si>
    <t>[Loarie, Scott R.; McMahon, Sean] Duke Univ, Nicholas Sch Environm &amp; Earth Sci, Durham, NC 27706 USA; [Carter, Benjamin E.; Knight, Charles A.] Calif Polytechnic State Univ San Luis Obispo, Dept Biol Sci, San Luis Obispo, CA USA; [Hayhoe, Katharine] Texas Tech Univ, Dept Geosci, Lubbock, TX USA; [Carter, Benjamin E.; Moe, Richard; Ackerly, David D.] Univ Calif Berkeley, Jepson Herbarium, Berkeley, CA USA; [Carter, Benjamin E.; Ackerly, David D.] Univ Calif Berkeley, Dept Integrat Biol, Berkeley, CA USA</t>
  </si>
  <si>
    <t>Duke University; California State University System; California Polytechnic State University San Luis Obispo; Texas Tech University System; Texas Tech University; University of California System; University of California Berkeley; University of California System; University of California Berkeley</t>
  </si>
  <si>
    <t>Loarie, SR (corresponding author), Duke Univ, Nicholas Sch Environm &amp; Earth Sci, Durham, NC 27706 USA.</t>
  </si>
  <si>
    <t>scott.loarie@duke.edu</t>
  </si>
  <si>
    <t>Ackerly, David/A-1247-2009; Loarie, Scott/D-2610-2009</t>
  </si>
  <si>
    <t>Ackerly, David/0000-0002-1847-7398;</t>
  </si>
  <si>
    <t>JUN 25</t>
  </si>
  <si>
    <t>e2502</t>
  </si>
  <si>
    <t>10.1371/journal.pone.0002502</t>
  </si>
  <si>
    <t>406IK</t>
  </si>
  <si>
    <t>WOS:000263288000024</t>
  </si>
  <si>
    <t>Fitzpatrick, MC; Gove, AD; Sanders, NJ; Dunn, RR</t>
  </si>
  <si>
    <t>Fitzpatrick, Matthew C.; Gove, Aaron D.; Sanders, Nathan J.; Dunn, Robert R.</t>
  </si>
  <si>
    <t>Climate change, plant migration, and range collapse in a global biodiversity hotspot: the Banksia (Proteaceae) of Western Australia</t>
  </si>
  <si>
    <t>bioclimatic; dispersal; ecological niche; endemic; extinction; MAXENT; maximum entropy; niche-based model; range shift; species distribution model</t>
  </si>
  <si>
    <t>DISTANCE SEED DISPERSAL; SPECIES DISTRIBUTIONS; CHANGE IMPACTS; ENVELOPE MODELS; SAMPLE-SIZE; DIVERSITY; PHYTOGEOGRAPHY; UNCERTAINTIES; VULNERABILITY; BIOGEOGRAPHY</t>
  </si>
  <si>
    <t>Climate change has already altered global patterns of biodiversity by modifying the geographic distributions of species. Forecasts based on bioclimatic envelop modeling of distributions of species suggests greater impacts can be expected in the future, but such projections are contingent on assumptions regarding future climate and migration rates of species. Here, we present a first assessment of the potential impact of climate change on a global biodiversity hotspot in southwestern Western Australia. Across three representative scenarios of future climate change, we simulated migration of 100 Banksia (Proteaceae) species at a rate of 5 km decade(-1) and compared projected impacts with those under the commonly applied, but acknowledged as inadequate, assumptions of 'full-' and 'no-migration.' Across all climate x migration scenarios, 66% of species were projected to decline, whereas only 6% were projected to expand or remain stable. Between 5% and 25% of species were projected to suffer range losses of 100% by 2080, depending mainly on climate scenario. Species losses were driven primarily by changes in current precipitation regimes, with the greatest losses of species projected to occur in a transition zone between wet coastal areas and interior arid regions and which is projected to become more arid in the future. Because the ranges of most species tended to collapse in all climate scenarios, we found that climate change impacts to flora of southwestern Western Australia may be large, even under optimistic assumptions regarding migration abilities. Taken together, our results suggest that the future of biodiversity in southwestern Western Australia may lie largely in the degree to which this hotspot experiences increased drought and in the ability of species to tolerate such decreases in precipitation. More broadly, our study is among a growing number of theoretical studies suggesting the impacts of future climate change on global biodiversity may be considerable.</t>
  </si>
  <si>
    <t>[Fitzpatrick, Matthew C.; Sanders, Nathan J.] Univ Tennessee, Dept Ecol &amp; Evolutionary Biol, Knoxville, TN 37996 USA; [Gove, Aaron D.] Curtin Univ Technol, Dept Environm Biol, Ctr Ecosyst Dynam &amp; Diversity, Perth, WA 6845, Australia; [Dunn, Robert R.] N Carolina State Univ, Dept Zool, David Clark Labs 120, Raleigh, NC 27695 USA</t>
  </si>
  <si>
    <t>University of Tennessee System; University of Tennessee Knoxville; Curtin University; North Carolina State University</t>
  </si>
  <si>
    <t>Fitzpatrick, MC (corresponding author), Univ Tennessee, Dept Ecol &amp; Evolutionary Biol, 569 Dabney Hall, Knoxville, TN 37996 USA.</t>
  </si>
  <si>
    <t>mfitzpatrick@utk.edu</t>
  </si>
  <si>
    <t>Fitzpatrick, Matt/F-7620-2010; Dunn, Robert/B-1360-2013; Sanders, Nathan/A-6945-2009; Sanders, Nathan/ABE-4335-2020</t>
  </si>
  <si>
    <t>Fitzpatrick, Matthew/0000-0003-1911-8407; Sanders, Nathan/0000-0001-6220-6731; Dunn, Robert/0000-0002-6030-4837</t>
  </si>
  <si>
    <t>10.1111/j.1365-2486.2008.01559.x</t>
  </si>
  <si>
    <t>298SK</t>
  </si>
  <si>
    <t>WOS:000255707200011</t>
  </si>
  <si>
    <t>Jarvis, A; Lane, A; Hijmans, RJ</t>
  </si>
  <si>
    <t>Jarvis, Andy; Lane, Annie; Hijmans, Robert J.</t>
  </si>
  <si>
    <t>The effect of climate change on crop wild relatives</t>
  </si>
  <si>
    <t>crop wild relatives; climate change; conservation; cowpea; distribution model; peanut; potato</t>
  </si>
  <si>
    <t>INDUCED RANGE SHIFTS; SPECIES DISTRIBUTION; EXTINCTION RISK; CONSERVATION; RESISTANCE; UNCERTAINTY; PROJECTIONS; RESPONSES; IMPACTS; MODELS</t>
  </si>
  <si>
    <t>Crop wild relatives are an important source of genetic diversity for crop improvement. However, the survival of some of these wild plant species could be threatened because of climate change. We used current and projected future climate data for similar to 2055, and a climate envelope species distribution model topredictthe impact of climate change on the wild relatives of peanut (Arachis), potato (Solanum) and cowpea (Vigna). We considered three migrational scenarios for modeling the range shifts (unlimited, limited, and no migration). Climate change strongly affected all taxa, with an estimated 16-22% (depending on migration scenario) of these species predicted to go extinct and most species losing over 50% of their range size. Moreover, for many species, the suitable areas become highly fragmented. Arachis were the most affected group, with 24-31 (depending on the migration scenario) of 51 species projected to go extinct and their distribution area on average reduced by 85-94%, depending on the migration scenario, over the next 50 years. The number of patches was predicted to decrease by 19% under the no migration scenario or increase by 4% assuming unlimited migration. Patch size decreased by 55-60%. For Solanum, 7 (no migration) to 13 (unlimited migration) of 108 species were predicted to go extinct, and their range sizes were reduced by approximately 38-69%. The number of patches was predicted to decrease by 34% (no migration) or increase 7% (unlimited migration) and patch size decreased by 20 (unlimited migration) to 37% (no migration). In terms of species extinction, Vigna was the least affected of the three groups, losing no species (unlimited migration) to 2 species (no migration) of the 48 species in the genus. The mean range size was predicted to decrease by 65% (no migration) or increase 8% (unlimited migration), with 8-41 of the 48 species losing more than 50% of their current geographic range. The number of Vigna patches increased by 12-115%, but the size of those patches shrunk by 51-59%. Our results suggest that there is an urgent need to identify and effectively conserve crop wild relatives that are at risk from climate change. While increased habitat conservation will be important to conserve most species, those that are predicted to undergo strong range size reductions should be a priority for collection and inclusion in genebanks. (c) 2008 Elsevier B.V. All rights reserved.</t>
  </si>
  <si>
    <t>[Jarvis, Andy] Ctr Int Agr Trop, Biovers Int Reg Off Amer, Cali, Colombia; [Lane, Annie] Biovers Int, I-00057 Rome, Italy; [Hijmans, Robert J.] Int Rice Res Inst, Los Banos, Laguna, Philippines</t>
  </si>
  <si>
    <t>Alliance; International Center for Tropical Agriculture - CIAT; Alliance; Bioversity International; CGIAR; International Rice Research Institute (IRRI)</t>
  </si>
  <si>
    <t>Jarvis, A (corresponding author), Ctr Int Agr Trop, Biovers Int Reg Off Amer, Apartado Aereo 6713, Cali, Colombia.</t>
  </si>
  <si>
    <t>a.jarvis@cgiar.org</t>
  </si>
  <si>
    <t>Hijmans, Robert/N-3299-2016; Jarvis, Andy/K-5516-2013</t>
  </si>
  <si>
    <t>Jarvis, Andy/0000-0001-6543-0798</t>
  </si>
  <si>
    <t>10.1016/j.agee.2008.01.013</t>
  </si>
  <si>
    <t>298NP</t>
  </si>
  <si>
    <t>WOS:000255694700003</t>
  </si>
  <si>
    <t>Kuemmerle, T; Hostert, P; Radeloff, VC; van der Linden, S; Perzanowski, K; Kruhlov, I</t>
  </si>
  <si>
    <t>Kuemmerle, Tobias; Hostert, Patrick; Radeloff, Volker C.; van der Linden, Sebastian; Perzanowski, Kajetan; Kruhlov, Ivan</t>
  </si>
  <si>
    <t>Cross-border comparison of post-socialist farmland abandonment in the Carpathians</t>
  </si>
  <si>
    <t>ECOSYSTEMS</t>
  </si>
  <si>
    <t>agricultural abandonment; cropland; forest transition; Carpathians; land use and land cover change; land reform; transition economies; change detection; support vector machines (SVM); remote sensing</t>
  </si>
  <si>
    <t>SUPPORT VECTOR MACHINES; LAND-COVER CHANGE; AGRICULTURAL LAND; IMAGE CLASSIFICATION; EASTERN-EUROPE; NEURAL-NETWORK; FOREST; REFORESTATION; TRANSITION; SCENARIOS</t>
  </si>
  <si>
    <t>Agricultural areas are declining in many areas of the world, often because socio-economic and political changes make agriculture less profitable. The transition from centralized to market-oriented economies in Eastern Europe and the former Soviet Union after 1989 represented major economic and political changes, yet the resulting rates and spatial pattern of post-socialist farmland abandonment remain largely unknown. Remote sensing offers unique opportunities to map farmland abandonment, but automated assessments are challenging because phenology and crop types often vary substantially. We developed a change detection method based on support vector machines (SVM) to map farmland abandonment in the border triangle of Poland, Slovakia, and Ukraine in the Carpathians from Landsat TM/ETM+ images from 1986, 1988, and 2000. Our SVM-based approach yielded an accurate change map (overall accuracy = 90.9%; kappa = 0.82), underpinning the potential of SVM to map complex land-use change processes such as farmland abandonment. Farmland abandonment was widespread in the study area (16.1% of the farmland used in socialist times), likely due to decreasing profitability of agriculture after 1989. We also found substantial differences in abandonment among the countries (13.9% in Poland, 20.7% in Slovakia, and 13.3% in Ukraine), and between previously collectivized farmland and farmland that remained private during socialism in Poland. These differences are likely due to differences in socialist land ownership patterns, post-socialist land reform strategies, and rural population density.</t>
  </si>
  <si>
    <t>[Kuemmerle, Tobias; Hostert, Patrick; van der Linden, Sebastian] Humboldt Univ, Geomat Lab, Dept Geog, D-10099 Berlin, Germany; [Radeloff, Volker C.] Univ Wisconsin, Forest &amp; Wildlife Ecol, Madison, WI 53706 USA; [Perzanowski, Kajetan] Catholic Univ Lublin, PL-20708 Lublin, Poland; [Kruhlov, Ivan] Lvov Ivan Franko State Univ, Dept Geog, UA-79000 Lvov, Ukraine</t>
  </si>
  <si>
    <t>Humboldt University of Berlin; University of Wisconsin System; University of Wisconsin Madison; Catholic University of Lublin; Ministry of Education &amp; Science of Ukraine; Ukrainian National Forestry University; Ivan Franko National University Lviv</t>
  </si>
  <si>
    <t>Kuemmerle, T (corresponding author), Humboldt Univ, Geomat Lab, Dept Geog, Unter Linden 6, D-10099 Berlin, Germany.</t>
  </si>
  <si>
    <t>tobias.kuemmerle@geo.hu-berlin.de</t>
  </si>
  <si>
    <t>Kruhlov, Ivan/M-9132-2019; Hostert, Patrick/F-9291-2013; van der Linden, Sebastian/B-4516-2008; Kuemmerle, Tobias/B-4340-2008; Radeloff, Volker/B-6124-2016</t>
  </si>
  <si>
    <t>Hostert, Patrick/0000-0002-5730-5484; van der Linden, Sebastian/0000-0001-6576-8377; Kuemmerle, Tobias/0000-0002-9775-142X; Kruhlov, Ivan/0000-0002-0814-0935; Radeloff, Volker/0000-0001-9004-221X</t>
  </si>
  <si>
    <t>1432-9840</t>
  </si>
  <si>
    <t>1435-0629</t>
  </si>
  <si>
    <t>Ecosystems</t>
  </si>
  <si>
    <t>10.1007/s10021-008-9146-z</t>
  </si>
  <si>
    <t>310KT</t>
  </si>
  <si>
    <t>WOS:000256529200009</t>
  </si>
  <si>
    <t>Nunez-Iturri, G; Olsson, O; Howe, HF</t>
  </si>
  <si>
    <t>Nunez-Iturri, Gabriela; Olsson, Ola; Howe, Henry F.</t>
  </si>
  <si>
    <t>Hunting reduces recruitment of primate-dispersed trees in Amazonian Peru</t>
  </si>
  <si>
    <t>Amazon basin; hunting; primates; seed dispersal; seedling communities; tropical rain forest</t>
  </si>
  <si>
    <t>SEED DISPERSAL; FOREST FRAGMENTATION; RAIN-FOREST; SPECIES COMPOSITION; TROPICAL FORESTS; CONSERVATION; DIVERSITY; BUSHMEAT; HARVEST; WILDLIFE</t>
  </si>
  <si>
    <t>Hunting with firearms decimates primates of large and medium body size (&gt; 2 kg) that disperse the seeds of large-seeded trees. In continuous, un-fragmented forests of southeastern Peru regularly hunted with firearms for 30-40 years, large primates are extirpated and medium-sized (medium) primates are reduced 61% compared with protected forests. At hunted sites seedlings and small juveniles (&lt; 1 m height) of trees dispersed by primates heavier than 2 kg are reduced 46%, a loss of one species m(-2), and abiotically-dispersed plants are 284% more common, adding eight individuals m(-2), compared with protected forests. Here we provide evidence consistent with the long-held prediction that commercial hunting changes plant communities. We show that the composition of seedling and small juvenile tree communities that ultimately regenerate future forests differs markedly in forests hunted with firearms compared with protected forests. This opens the possibility of shifts in tree species composition, even in hunted forests that are not logged or fragmented, towards forests dominated by trees dispersed by wind or non-game animals. (c) 2008 Elsevier Ltd. All rights reserved.</t>
  </si>
  <si>
    <t>[Nunez-Iturri, Gabriela; Howe, Henry F.] Univ Illinois, Dept Biol Sci, Chicago, IL 60607 USA; [Olsson, Ola] Lund Univ, Dept Anim Ecol, SE-22362 Lund, Sweden; [Howe, Henry F.] Field Museum Nat Hist, Dept Zool, Chicago, IL 60605 USA</t>
  </si>
  <si>
    <t>University of Illinois System; University of Illinois Chicago; University of Illinois Chicago Hospital; Lund University; Field Museum of Natural History (Chicago)</t>
  </si>
  <si>
    <t>Howe, HF (corresponding author), Univ Illinois, Dept Biol Sci, 845 W Taylor St M-C 066, Chicago, IL 60607 USA.</t>
  </si>
  <si>
    <t>hfhowe@uic.edu</t>
  </si>
  <si>
    <t>; Howe, Henry/B-8749-2014</t>
  </si>
  <si>
    <t>Olsson, Ola/0000-0003-0789-1064;</t>
  </si>
  <si>
    <t>10.1016/j.biocon.2008.03.020</t>
  </si>
  <si>
    <t>324RQ</t>
  </si>
  <si>
    <t>WOS:000257536100009</t>
  </si>
  <si>
    <t>Lüthi, D; Le Floch, M; Bereiter, B; Blunier, T; Barnola, JM; Siegenthaler, U; Raynaud, D; Jouzel, J; Fischer, H; Kawamura, K; Stocker, TF</t>
  </si>
  <si>
    <t>Luethi, Dieter; Le Floch, Martine; Bereiter, Bernhard; Blunier, Thomas; Barnola, Jean-Marc; Siegenthaler, Urs; Raynaud, Dominique; Jouzel, Jean; Fischer, Hubertus; Kawamura, Kenji; Stocker, Thomas F.</t>
  </si>
  <si>
    <t>High-resolution carbon dioxide concentration record 650,000-800,000 years before present</t>
  </si>
  <si>
    <t>PAST 800,000 YEARS; 8 GLACIAL CYCLES; C ICE CORE; ATMOSPHERIC CO2; CLIMATE VARIABILITY; BIPOLAR SEESAW; ANTARCTICA; MODEL; CIRCULATION; GREENLAND</t>
  </si>
  <si>
    <t>Changes in past atmospheric carbon dioxide concentrations can be determined by measuring the composition of air trapped in ice cores from Antarctica. So far, the Antarctic Vostok and EPICA Dome C ice cores have provided a composite record of atmospheric carbon dioxide levels over the past 650,000 years(1-4). Here we present results of the lowest 200m of the Dome C ice core, extending the record of atmospheric carbon dioxide concentration by two complete glacial cycles to 800,000 yr before present. From previously published data(1-8) and the present work, we find that atmospheric carbon dioxide is strongly correlated with Antarctic temperature throughout eight glacial cycles but with significantly lower concentrations between 650,000 and 750,000 yr before present. Carbon dioxide levels are below 180 parts per million by volume ( p. p. m. v.) for a period of 3,000 yr during Marine Isotope Stage 16, possibly reflecting more pronounced oceanic carbon storage. We report the lowest carbon dioxide concentration measured in an ice core, which extends the pre-industrial range of carbon dioxide concentrations during the late Quaternary by about 10 p. p. m. v. to 172-300 p. p. m. v.</t>
  </si>
  <si>
    <t>[Luethi, Dieter; Bereiter, Bernhard; Blunier, Thomas; Siegenthaler, Urs; Kawamura, Kenji; Stocker, Thomas F.] Univ Bern, Inst Phys, CH-3012 Bern, Switzerland; [Luethi, Dieter; Bereiter, Bernhard; Blunier, Thomas; Siegenthaler, Urs; Kawamura, Kenji; Stocker, Thomas F.] Univ Bern, Oeschger Ctr Climate Change Res, CH-3012 Bern, Switzerland; [Le Floch, Martine; Barnola, Jean-Marc; Raynaud, Dominique] Univ Grenoble 1, CNRS, Lab Glaciol &amp; Geophys Environm, F-38402 St Martin Dheres, France; [Jouzel, Jean] Univ Versailles St Quentin, Inst Pierre Simon Laplace, Lab Sci Climat &amp; Environm, CEA CNRS,CE Saclay, F-91191 Gif Sur Yvette, France; [Fischer, Hubertus] Alfred Wegener Inst Polar &amp; Marine Res, D-27568 Bremerhaven, Germany</t>
  </si>
  <si>
    <t>University of Bern; University of Bern; Communaute Universite Grenoble Alpes; Universite Grenoble Alpes (UGA); Centre National de la Recherche Scientifique (CNRS); CEA; Universite Paris Saclay; Helmholtz Association; Alfred Wegener Institute, Helmholtz Centre for Polar &amp; Marine Research</t>
  </si>
  <si>
    <t>Lüthi, D (corresponding author), Univ Bern, Inst Phys, Sidlerstr 5, CH-3012 Bern, Switzerland.</t>
  </si>
  <si>
    <t>luethi@climate.unibe.ch</t>
  </si>
  <si>
    <t>Fischer, Hubertus/A-1211-2014; raynaud, dominique/ABG-4718-2020; Stocker, Thomas/B-1273-2013; Blunier, Thomas/M-4609-2014; Kawamura, Kenji/C-7660-2011</t>
  </si>
  <si>
    <t>Fischer, Hubertus/0000-0002-2787-4221; Blunier, Thomas/0000-0002-6065-7747; Kawamura, Kenji/0000-0003-1163-700X</t>
  </si>
  <si>
    <t>MAY 15</t>
  </si>
  <si>
    <t>10.1038/nature06949</t>
  </si>
  <si>
    <t>301AI</t>
  </si>
  <si>
    <t>WOS:000255868400049</t>
  </si>
  <si>
    <t>Pérez-Ramos, IM; Zavala, MA; Maranón, T; Díaz-Villa, MD; Valladares, F</t>
  </si>
  <si>
    <t>Perez-Ramos, I. M.; Zavala, M. A.; Maranon, T.; Diaz-Villa, M. D.; Valladares, F.</t>
  </si>
  <si>
    <t>Dynamics of understorey herbaceous plant diversity following shrub clearing of cork oak forests:: A five-year study</t>
  </si>
  <si>
    <t>Mediterranean forest; Quercus suber; silvicultural practices; species richness; sustainability</t>
  </si>
  <si>
    <t>WHITE-TAILED DEER; COMMUNITY RESPONSES; BIODIVERSITY; CONSERVATION; MANAGEMENT; VEGETATION; ECOSYSTEMS; COMPONENTS; INTENSITY; PATTERNS</t>
  </si>
  <si>
    <t>Cork oak forest management has been traditionally oriented towards optimization of cork production. Shrub clearing is a traditional silvicultural practice aimed to: (1) facilitate cork extraction (conducted every nine years); (2) increase cork yield by reducing competition from neighbouring shrubs; and (3) reduce fire risk by decreasing fuel load. These silvicultural practices, however, may interfere with current objectives of conservation and sustainable use of biodiversity. The effects of shrub clearing on different diversity components were assessed in three structurally contrasting forests sites, located in Southern Spain. A fenced experimental plot (1 ha) was established at each forest site. Half of each plot was shrub-cleared and the other half was left unmanaged (control stand). Afterwards, the presence of herbaceous species was monitored during five consecutive years in a total of 120 permanent quadrats (1 m(2)). Species richness (alpha- and gamma-diversity) increased with the clearing, mainly by expansion of open grassland species, while beta-diversity declined due to the homogenizing process associated with this expansion. Thus, the herbaceous species composition was modified by these silvicultural practices, especially the second year following treatment application. Effects differed across forest stands, being more marked in the Open Woodland, while there was no significant effect observed in the closed Forest. Understorey herbaceous communities were resilient to shrub clearing and initial diversity values were approximately restored after five years. The high resprouting potential of shrubs contributed to this resilience. Based on the results of this study, we propose several low costs strategies to be incorporated in forest management plans to reconcile cork oak extraction with the maintenance of biodiversity. (C) 2008 Elsevier B.V. All rights reserved.</t>
  </si>
  <si>
    <t>[Perez-Ramos, I. M.; Maranon, T.; Diaz-Villa, M. D.] CSIC, IRNAS, Seville 41012, Spain; [Zavala, M. A.] INIA, CIFOR, Madrid 28040, Spain; [Perez-Ramos, I. M.; Maranon, T.; Diaz-Villa, M. D.] Ctr Ciencias Medioambientales, CSIC, IRN, Madrid 28006, Spain</t>
  </si>
  <si>
    <t>Consejo Superior de Investigaciones Cientificas (CSIC); CSIC - Instituto de Recursos Naturales y Agrobiologia de Sevilla (IRNAS); Instituto Nacional Investigacion Tecnologia Agraria Alimentaria (INIA); Consejo Superior de Investigaciones Cientificas (CSIC); CSIC - Instituto de Recursos Naturales (IRN); CSIC - Centro de Ciencias Medioambientales (CCMA)</t>
  </si>
  <si>
    <t>Pérez-Ramos, IM (corresponding author), CNRS, Ctr Ecol Fonct &amp; Evolut, 1919 Route Mende, F-34293 Montpellier 5, France.</t>
  </si>
  <si>
    <t>Ignacio.PEREZ-RAMOS@cefe.cnrs.fr</t>
  </si>
  <si>
    <t>Perez-Ramos, Ignacio/H-6048-2015; Marañón, Teodoro/K-6648-2014; Valladares, Fernando/K-9406-2014; Zavala, Miguel A/H-3603-2015; Maranon, Teodoro/K-6648-2014; Zavala, Miguel/H-3603-2015</t>
  </si>
  <si>
    <t>Perez-Ramos, Ignacio/0000-0003-2332-7818; Marañón, Teodoro/0000-0002-7751-9316; Valladares, Fernando/0000-0002-5374-4682; Zavala, Miguel A/0000-0003-1456-0132;</t>
  </si>
  <si>
    <t>8-9</t>
  </si>
  <si>
    <t>10.1016/j.foreco.2008.01.069</t>
  </si>
  <si>
    <t>307AC</t>
  </si>
  <si>
    <t>WOS:000256288800015</t>
  </si>
  <si>
    <t>Sirrine, JR; Letourneau, DK; Shennan, C; Sirrine, D; Fouch, R; Jackson, L; Mages, A</t>
  </si>
  <si>
    <t>Sirrine, J. R.; Letourneau, D. K.; Shennan, C.; Sirrine, D.; Fouch, R.; Jackson, L.; Mages, A.</t>
  </si>
  <si>
    <t>Impacts of groundcover management systems on yield, leaf nutrients, weeds, and arthropods of tart cherry in Michigan, USA</t>
  </si>
  <si>
    <t>groundcover management system; cover crop; mulch; natural enemy; Prunus cerasus; orchard</t>
  </si>
  <si>
    <t>COVER MANAGEMENT; ORCHARD FLOOR; APPLE; SOIL; PESTS</t>
  </si>
  <si>
    <t>Three different assemblages of cover crops were planted, fertilizer and herbicide input reduced, and mulch side-delivered in a northern Michigan tart cherry orchard to evaluate effects on tree leaf nutrients, arthropod communities, weed control, and tart cherry yield. The three treatments were compared. against the conventional management system, which consisted of sod alleys and herbicide-maintained tree rows. Although fertilizer was reduced by 1/2 and herbicides eliminated in the ground cover management systems (GMSs), there was no evidence of reduced cherry yields. All GMSs provided more plant cover than the unmanipulated sod control. Biomass samples suggested that there was not enough side-delivery mulch to significantly reduce understory weed growth in the tree rows when compared to the non-mulched plots. The GMSs increased species richness, abundance, and diversity (H) of arthropods, despite frequent pesticide applications in all treatments. The results of the economic analysis suggest that cover cropping, half N fertilizer, and herbicide elimination may be a viable alternative to conventional groundcover management in northern Michigan. (C) 2008 Elsevier B.V. All rights reserved.</t>
  </si>
  <si>
    <t>[Sirrine, J. R.] Michigan State Univ Extens, Suttons Bay, MI 49682 USA; [Letourneau, D. K.; Shennan, C.; Sirrine, D.; Jackson, L.; Mages, A.] Univ Calif Santa Cruz, Dept Environm Studies, Santa Cruz, CA 95064 USA; [Fouch, R.] Fouch Orchards, Traverse City, MI 49686 USA</t>
  </si>
  <si>
    <t>Michigan State University; University of California System; University of California Santa Cruz</t>
  </si>
  <si>
    <t>Sirrine, JR (corresponding author), Michigan State Univ Extens, Suite 107,8527 E Govt Ctr Dr, Suttons Bay, MI 49682 USA.</t>
  </si>
  <si>
    <t>sirrine@msu.edu</t>
  </si>
  <si>
    <t>Letourneau, Deborah/G-3694-2011; Shennan, Carol/I-1694-2013</t>
  </si>
  <si>
    <t>Shennan, Carol/0000-0001-6401-5007</t>
  </si>
  <si>
    <t>1-4</t>
  </si>
  <si>
    <t>10.1016/j.agee.2008.01.005</t>
  </si>
  <si>
    <t>290PK</t>
  </si>
  <si>
    <t>WOS:000255134500025</t>
  </si>
  <si>
    <t>Van Vliet, N; Nasi, R</t>
  </si>
  <si>
    <t>Van Vliet, Nathalie; Nasi, Robert</t>
  </si>
  <si>
    <t>Mammal distribution in a Central African logging concession area</t>
  </si>
  <si>
    <t>mammal distribution; logging concession; eco-geographical factors; hunting; roads; Gabon</t>
  </si>
  <si>
    <t>FOREST; GABON</t>
  </si>
  <si>
    <t>We used data collected during a routine forest inventory to prepare a management plan for a logging concession in Gabon to identify the biophysical and human factors that better explain the distribution of mammal species within the logged-over landscape. Results of a Multiple Correspondence Analysis show that the distribution of mammals within the forest concession is more influenced by roads and hunting than by the direct effects of logging. The structure of the canopy and that of the understorey are also important factors explaining the distribution of mammals within the concession. Linear regressions and Spearman correlation tests were computed to assess the significance of the correlation between the probability of encounter for a particular species and the distance from main roads. Small diurnal monkeys were found far from the villages and between 3 and 10 km from the main roads. Elephants were equally found close or far from roads and do not seem to be affected by hunting activities. Red duikers and the yellow back duikers avoided hunted zones and were significantly more abundant far from roads. Other species like gorillas, chimpanzees or forest buffaloes show no negative relationship with distance to roads and were observed close to villages. We show also how using routinely collected data without research purposes, can be used to propose practical recommendations to managers to limit the negative impacts of logging activities within the concession.</t>
  </si>
  <si>
    <t>[Van Vliet, Nathalie; Nasi, Robert] CIRAD, CIFOR, F-34398 Montpellier 5, France</t>
  </si>
  <si>
    <t>CGIAR; Center for International Forestry Research (CIFOR); CIRAD</t>
  </si>
  <si>
    <t>Van Vliet, N (corresponding author), CIRAD, CIFOR, Campus Int Baillarguet, F-34398 Montpellier 5, France.</t>
  </si>
  <si>
    <t>vanvlietnathalie@yahoo.com; robert.nasi@cirad.fr</t>
  </si>
  <si>
    <t>Nasi, Robert/A-3549-2015; Nasi, Robert/P-2382-2019</t>
  </si>
  <si>
    <t>Nasi, Robert/0000-0001-9739-3135;</t>
  </si>
  <si>
    <t>10.1007/s10531-007-9300-5</t>
  </si>
  <si>
    <t>302VO</t>
  </si>
  <si>
    <t>WOS:000255998100017</t>
  </si>
  <si>
    <t>Virkkala, R; Heikkinen, RK; Leikola, N; Luoto, M</t>
  </si>
  <si>
    <t>Virkkala, Raimo; Heikkinen, Risto K.; Leikola, Niko; Luoto, Miska</t>
  </si>
  <si>
    <t>Projected large-scale range reductions of northern-boreal land bird species due to climate change</t>
  </si>
  <si>
    <t>arctic; bioclimatic envelope; climate change; land bird species; northern-boreal; range reduction</t>
  </si>
  <si>
    <t>HABITAT FRAGMENTATION; CHANGE IMPACTS; DISTRIBUTIONS; COVER; CONSERVATION; BIODIVERSITY; LANDSCAPE; FINLAND; RISK; UNCERTAINTIES</t>
  </si>
  <si>
    <t>Climate change is projected to be particularly strong in the northern latitudes. Thus, boreal or arctic species are especially susceptible to the effects of climate warming. In this work we forecasted changes in the distributions of 27 northern land bird species in the 21st century, based on predicted rates of climate change. We used climate and bird atlas data of Finland and northern Norway from 1971-1990 to establish bioclimatic envelope models for each species. Next, these models were applied to two climate scenarios (A2 and B1) from the general circulation model HadCM3 to forecast potential future distributions of the study species over a larger area also covering parts of nearby Sweden and Russia. This area stretches through the boreal and continental arctic zone in northern Europe. In the A2 scenario the predicted global change in mean temperature is 3.8 degrees C by 2100 and in the B1 scenario 2.0 degrees C. Our results suggest that most of the northern land bird species will lose most of their climatic space by 2080 both in the more severe (A2, average predicted range decline: -83.6%) and in the less severe scenario (B1, average change: -73.6%). A large proportion (over two thirds) of the species considered here is thus susceptible to major range contractions in this geographical region. These climate change-induced threats are of importance because the Arctic Ocean represents a natural barrier for northward movement of species. To reduce the negative effects of climate change on the northern species, relatively large areas of continuous habitats in a connected reserve network should be preserved. (C) 2008 Elsevier Ltd. All rights reserved.</t>
  </si>
  <si>
    <t>[Virkkala, Raimo; Heikkinen, Risto K.] Finnish Environm Inst, Res Dept, Res Programme Biodivers, FI-00251 Helsinki, Finland; [Leikola, Niko] Finnish Environm Inst, Nat Div, FI-00251 Helsinki, Finland; [Luoto, Miska] Univ Oulu, Dept Geog, FI-90014 Oulu, Finland</t>
  </si>
  <si>
    <t>Finnish Environment Institute; Finnish Environment Institute; University of Oulu</t>
  </si>
  <si>
    <t>Virkkala, R (corresponding author), Finnish Environm Inst, Res Dept, Res Programme Biodivers, POB 140, FI-00251 Helsinki, Finland.</t>
  </si>
  <si>
    <t>raimo.virkkala@ymparisto.fi; risto.heikkinen@ymparisto.fi; niko.leikola@ymparisto.fi; miska.luoto@oulu.fi</t>
  </si>
  <si>
    <t>Heikkinen, Risto/AAN-6257-2020; Virkkala, Raimo/AAN-6178-2020; Luoto, Miska/E-6693-2014</t>
  </si>
  <si>
    <t>Luoto, Miska/0000-0001-6203-5143</t>
  </si>
  <si>
    <t>10.1016/j.biocon.2008.03.007</t>
  </si>
  <si>
    <t>317GQ</t>
  </si>
  <si>
    <t>WOS:000257008400017</t>
  </si>
  <si>
    <t>Benito Garzón, M; Sanchez de Dios, R; Sainz Ollero, H</t>
  </si>
  <si>
    <t>Benito Garzon, Marta; Sanchez de Dios, Rut; Sainz Ollero, Helios</t>
  </si>
  <si>
    <t>Effects of climate change on the distribution of Iberian tree species</t>
  </si>
  <si>
    <t>forest distributions; iberian peninsula; machine learning; random forest</t>
  </si>
  <si>
    <t>PINUS-SYLVESTRIS; PLANT DIVERSITY; FORESTS; MODELS; PHYLOGEOGRAPHY; CONSERVATION; VEGETATION; RESPONSES</t>
  </si>
  <si>
    <t>Question: Will the predicted climate changes affect species distribution in the Iberian Peninsula? Location: Iberian Peninsula (Spain and Portugal). Methods: We modelled current and future tree distributions as a function of climate, using a computational framework that made use of one machine learning technique, the random forest (RF) algorithm. This algorithm provided good predictions of the current distribution of each species, as shown by the area under the corresponding receiver operating characteristics (ROC) curves. Species turnover, richness and the change in distributions over time to 2080 under four Intergovernmental panel on climate change (IPCC) scenarios were calculated using the species map outputs. Results and Conclusions: The results show a notable reduction in the potential distribution of the studied species under all the IPCC scenarios, particularly so for mountain conifer species such as Pinus sylvestris, P. uncinata and Abies alba. Temperate species, especially Fagus sylvatica and Quercus petraea, were also predicted to suffer a reduction in their range; also submediterranean species, especially Q. pyrenaica, were predicted to undergo notable decline. In contrast, typically Mediterranean species appeared to be generally more capable of migration, and are therefore likely to be less affected.</t>
  </si>
  <si>
    <t>[Benito Garzon, Marta; Sanchez de Dios, Rut; Sainz Ollero, Helios] UAM, Dept Biol, Unidad Bot, Madrid 28049, Spain</t>
  </si>
  <si>
    <t>Autonomous University of Madrid</t>
  </si>
  <si>
    <t>Benito Garzón, M (corresponding author), UAM, Dept Biol, Unidad Bot, Carretera Colmenar Km 15, Madrid 28049, Spain.</t>
  </si>
  <si>
    <t>marta.benito@uam.es; rut.sanchez@uam.es; helios.sainz@uam.es</t>
  </si>
  <si>
    <t>; Garzon, Marta/E-3622-2013; de Dios, Rut/M-3596-2014</t>
  </si>
  <si>
    <t>Sánchez de Dios, Rut/0000-0002-1296-8604;</t>
  </si>
  <si>
    <t>10.3170/2008-7-18348</t>
  </si>
  <si>
    <t>291XC</t>
  </si>
  <si>
    <t>WOS:000255229600003</t>
  </si>
  <si>
    <t>Church, JA; White, NJ; Aarup, T; Wilson, WS; Woodworth, PL; Domingues, CM; Hunter, JR; Lambeck, K</t>
  </si>
  <si>
    <t>Church, John A.; White, Neil J.; Aarup, Thorkild; Wilson, W. Stanley; Woodworth, Philip L.; Domingues, Catia M.; Hunter, John R.; Lambeck, Kurt</t>
  </si>
  <si>
    <t>Understanding global sea levels: past, present and future</t>
  </si>
  <si>
    <t>SUSTAINABILITY SCIENCE</t>
  </si>
  <si>
    <t>Sea-level rise; Climate change; Coasts; Extreme events; IPCC; Greenhouse</t>
  </si>
  <si>
    <t>ICE SHEETS; SUBSURFACE TEMPERATURE; ALTIMETRIC HEIGHT; STERIC HEIGHT; WATER STORAGE; MASS-BALANCE; HEAT-STORAGE; RISE; GREENLAND; OCEAN</t>
  </si>
  <si>
    <t>The coastal zone has changed profoundly during the 20th century and, as a result, society is becoming increasingly vulnerable to the impact of sea-level rise and variability. This demands improved understanding to facilitate appropriate planning to minimise potential losses. With this in mind, the World Climate Research Programme organised a workshop (held in June 2006) to document current understanding and to identify research and observations required to reduce current uncertainties associated with sea-level rise and variability. While sea levels have varied by over 120 m during glacial/interglacial cycles, there has been little net rise over the past several millennia until the 19th century and early 20th century, when geological and tide-gauge data indicate an increase in the rate of sea-level rise. Recent satellite-altimeter data and tide-gauge data have indicated that sea levels are now rising at over 3 mm year(-1). The major contributions to 20th and 21st century sea-level rise are thought to be a result of ocean thermal expansion and the melting of glaciers and ice caps. Ice sheets are thought to have been a minor contributor to 20th century sea-level rise, but are potentially the largest contributor in the longer term. Sea levels are currently rising at the upper limit of the projections of the Third Assessment Report of the Intergovernmental Panel on Climate Change (TAR IPCC), and there is increasing concern of potentially large ice-sheet contributions during the 21st century and beyond, particularly if greenhouse gas emissions continue unabated. A suite of ongoing satellite and in situ observational activities need to be sustained and new activities supported. To the extent that we are able to sustain these observations, research programmes utilising the resulting data should be able to significantly improve our understanding and narrow projections of future sea-level rise and variability.</t>
  </si>
  <si>
    <t>[Church, John A.; White, Neil J.; Domingues, Catia M.] CSIRO Marine &amp; Atmospher Res, Ctr Australian Weather &amp; Climate Res Partnership, Hobart, Tas 7001, Australia; [Church, John A.; White, Neil J.; Domingues, Catia M.] CSIRO Marine &amp; Atmospher Res, Australian Bur Meteorol &amp; CSIRO, Hobart, Tas 7001, Australia; [Church, John A.; White, Neil J.; Hunter, John R.; Lambeck, Kurt] Antarctic Climate &amp; Ecosyst Cooperat Res Ctr, Hobart, Tas, Australia; [Aarup, Thorkild] UNESCO, Intergovt Oceanog Commiss, Paris, France; [Wilson, W. Stanley] US Natl Ocean &amp; Atmospher Adm, Washington, DC USA; [Woodworth, Philip L.] Proudman Oceanog Lab, Permanent Serv Mean Sea Level, Liverpool, Merseyside, England; [Lambeck, Kurt] Australian Natl Univ, Res Sch Earth Sci, Canberra, ACT, Australia</t>
  </si>
  <si>
    <t>Commonwealth Scientific &amp; Industrial Research Organisation (CSIRO); Commonwealth Scientific &amp; Industrial Research Organisation (CSIRO); Antarctic Climate &amp; Ecosystems Cooperative Research Centre (ACE CRC); National Oceanic Atmospheric Admin (NOAA) - USA; NERC National Oceanography Centre; Australian National University</t>
  </si>
  <si>
    <t>Church, JA (corresponding author), CSIRO Marine &amp; Atmospher Res, Ctr Australian Weather &amp; Climate Res Partnership, GPO Box 1538, Hobart, Tas 7001, Australia.</t>
  </si>
  <si>
    <t>John.Church@csiro.au</t>
  </si>
  <si>
    <t>Domingues, Catia/A-2901-2015; White, Neil/B-2077-2013; Woodworth, Philip/JBJ-1344-2023; Church, John/A-1541-2012; Domingues, Catia M/A-2901-2015</t>
  </si>
  <si>
    <t>Woodworth, Philip/0000-0002-6681-239X; Church, John/0000-0002-7037-8194; Domingues, Catia M/0000-0001-5100-4595</t>
  </si>
  <si>
    <t>CSIRO; Australian Government's Cooperative Research Centres Programme; Australian Climate Change Science Program; Natural Environment Research Council [soc010007, pol010005] Funding Source: researchfish; NERC [soc010007, pol010005] Funding Source: UKRI</t>
  </si>
  <si>
    <t>CSIRO(Commonwealth Scientific &amp; Industrial Research Organisation (CSIRO)); Australian Government's Cooperative Research Centres Programme(Australian GovernmentDepartment of Industry, Innovation and ScienceCooperative Research Centres (CRC) Programme); Australian Climate Change Science Program; Natural Environment Research Council(UK Research &amp; Innovation (UKRI)Natural Environment Research Council (NERC)); NERC(UK Research &amp; Innovation (UKRI)Natural Environment Research Council (NERC))</t>
  </si>
  <si>
    <t>This paper is a contribution to the CSIRO Climate Change Research Program and the CSIRO Wealth from Oceans Flagship and was supported by the Australian Government's Cooperative Research Centres Programme through the Antarctic Climate and Ecosystems Cooperative Research Centre. JAC, NJW and JRH were partly funded by the Australian Climate Change Science Program.</t>
  </si>
  <si>
    <t>SPRINGER JAPAN KK</t>
  </si>
  <si>
    <t>SHIROYAMA TRUST TOWER 5F, 4-3-1 TORANOMON, MINATO-KU, TOKYO, 105-6005, JAPAN</t>
  </si>
  <si>
    <t>1862-4065</t>
  </si>
  <si>
    <t>1862-4057</t>
  </si>
  <si>
    <t>SUSTAIN SCI</t>
  </si>
  <si>
    <t>Sustain. Sci.</t>
  </si>
  <si>
    <t>10.1007/s11625-008-0042-4</t>
  </si>
  <si>
    <t>Green &amp; Sustainable Science &amp; Technology; Environmental Sciences</t>
  </si>
  <si>
    <t>417UM</t>
  </si>
  <si>
    <t>WOS:000264104000003</t>
  </si>
  <si>
    <t>Müller, J; Bussler, H; Kneib, T</t>
  </si>
  <si>
    <t>Mueller, Joerg; Bussler, Heinz; Kneib, Thomas</t>
  </si>
  <si>
    <t>Saproxylic beetle assemblages related to silvicultural management intensity and stand structures in a beech forest in Southern Germany</t>
  </si>
  <si>
    <t>JOURNAL OF INSECT CONSERVATION</t>
  </si>
  <si>
    <t>management intensity; beech forests; species richness; saproxylic beetles</t>
  </si>
  <si>
    <t>OLD-GROWTH; PINE FORESTS; COLEOPTERA; DIVERSITY; QUALITY; CONSERVATION; SPRUCE; SIZE</t>
  </si>
  <si>
    <t>Compared to agricultural land and spruce plantations, central European beech-oak forests are often relatively close to natural conditions. However, forest management may alter these conditions. In Steigerwald, southern Germany, a large beech-dominated forest area, three management intensities were applied during the past 30-70 years. Here, we examined the influence of management intensity on saproxylic beetles in &gt; 100-year old mature stands at 69 sampling plots in 2004. We sampled beetles using flight-window traps and time standard direct searches. The community structure based on presence/absence data changed remarkably along the gradient from unmanaged to low-intensity to high-intensity management, but these differences were not evident using abundance data from flight interception traps. Saproxylic species richness decreased in intensively managed forests. Elateridae and threatened species richness peaked in unmanaged forests and in forests under low-intensity management. Saproxylic species richness was dependent on certain micro-habitat factors. These factors were (1) the amount of dead wood for Elateridae, overall and threatened saproxylic beetle richness; (2) the amount of flowering plants for Cerambycidae; (3) the richness of wood-inhabiting fungi for Staphylinidae, Melandryidae and overall saproxylic beetle richness; and (4) the frequency of Fomes fomentarius for threatened species. Species richness was better explained by plot factors, such as dead wood or fungi, than by management intensity. These results suggest that the natural variation of dead wood niches (decay stages, snag sizes, tree cavities and wood-inhabiting fungi species) must be maintained to efficiently conserve the whole saproxylic beetle fauna of beech forests. Also, intensive management may alter the specialised saproxylic beetle community even if the initial tree-species composition is maintained, which was the case in our study. For monitoring the ecological sustainability of forest management we must focus on threatened species. If structures alone are sampled then the amount of dead wood is the best indicator for a rich saproxylic beetle fauna.</t>
  </si>
  <si>
    <t>[Mueller, Joerg] Bavarian Forest Natl Pk, D-94481 Grafenau, Germany; [Bussler, Heinz] Bayer Landesanstalt Wald &amp; Forstwirtschaft, D-85354 Freising Weihenstephan, Germany; [Kneib, Thomas] Univ Munich, Inst Stat, D-80539 Munich, Germany</t>
  </si>
  <si>
    <t>University of Munich</t>
  </si>
  <si>
    <t>Müller, J (corresponding author), Bavarian Forest Natl Pk, Freyunger Str 2, D-94481 Grafenau, Germany.</t>
  </si>
  <si>
    <t>joerg.mueller@npv-bw.bayern.de</t>
  </si>
  <si>
    <t>Müller, Jörg/0000-0002-1409-1586; Kneib, Thomas/0000-0003-3390-0972</t>
  </si>
  <si>
    <t>1366-638X</t>
  </si>
  <si>
    <t>1572-9753</t>
  </si>
  <si>
    <t>J INSECT CONSERV</t>
  </si>
  <si>
    <t>J. Insect Conserv.</t>
  </si>
  <si>
    <t>10.1007/s10841-006-9065-2</t>
  </si>
  <si>
    <t>Biodiversity Conservation; Entomology</t>
  </si>
  <si>
    <t>Biodiversity &amp; Conservation; Entomology</t>
  </si>
  <si>
    <t>268IB</t>
  </si>
  <si>
    <t>WOS:000253572400003</t>
  </si>
  <si>
    <t>Westphal, MI; Browne, M; MacKinnon, K; Noble, I</t>
  </si>
  <si>
    <t>Westphal, Michael I.; Browne, Michael; MacKinnon, Kathy; Noble, Ian</t>
  </si>
  <si>
    <t>The link between international trade and the global distribution of invasive alien species</t>
  </si>
  <si>
    <t>BIOLOGICAL INVASIONS</t>
  </si>
  <si>
    <t>environmental externality; exotic species; regression tree; species richness; trade and environment</t>
  </si>
  <si>
    <t>BIOLOGICAL INVASIONS; PLANT INVASIONS; RESISTANCE; DIVERSITY; PATTERNS; AREA</t>
  </si>
  <si>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</si>
  <si>
    <t>[Westphal, Michael I.] US EPA, Off Int Affairs, Washington, DC 20460 USA; [Westphal, Michael I.; MacKinnon, Kathy; Noble, Ian] World Bank, Dept Environm, Washington, DC 20433 USA; [Browne, Michael] Univ Auckland, Invas Species Specialist Grp, World Conservat Union IUCN, Auckland, New Zealand</t>
  </si>
  <si>
    <t>United States Environmental Protection Agency; The World Bank; University of Auckland</t>
  </si>
  <si>
    <t>Westphal, MI (corresponding author), US EPA, Off Int Affairs, Washington, DC 20460 USA.</t>
  </si>
  <si>
    <t>mwestphal@worldbank.org</t>
  </si>
  <si>
    <t>Browne, Michael/0000-0003-3718-0087; Noble, Ian/0000-0002-6300-7395</t>
  </si>
  <si>
    <t>1387-3547</t>
  </si>
  <si>
    <t>1573-1464</t>
  </si>
  <si>
    <t>BIOL INVASIONS</t>
  </si>
  <si>
    <t>Biol. Invasions</t>
  </si>
  <si>
    <t>10.1007/s10530-007-9138-5</t>
  </si>
  <si>
    <t>275QO</t>
  </si>
  <si>
    <t>WOS:000254086900002</t>
  </si>
  <si>
    <t>Luoto, M; Heikkinen, RK</t>
  </si>
  <si>
    <t>Luoto, Miska; Heikkinen, R. K.</t>
  </si>
  <si>
    <t>Disregarding topographical heterogeneity biases species turnover assessments based on bioclimatic models</t>
  </si>
  <si>
    <t>butterflies; climate change; colonization; Europe; extinction; scenarios; topography; turnover</t>
  </si>
  <si>
    <t>CLIMATE-CHANGE; ENVELOPE MODELS; EXTINCTION RISK; DISTRIBUTIONS; BIODIVERSITY; BUTTERFLIES; RICHNESS; IMPACTS; UNCERTAINTIES; PROJECTIONS</t>
  </si>
  <si>
    <t>We investigated whether the inclusion of topographical heterogeneity in bioclimatic envelope models would significantly alter predictions of climate change - induced broad-scale butterfly species range size changes in Europe. Using generalized additive models, and data on current climate and species distributions and two different climate scenarios (HadCM3A2 and HadCM3B2) for the period 2051-2080, we developed predictions of the currently suitable area and potential range size changes of 100 European butterfly species. The inclusion of elevation range increased the predictive accuracy of climate-only models for 86 of the 100 species. The differences in projected future distributions were most notable in mountainous areas, where the climate-topography models projected only ca. half of the species losses than the climate-only models. By contrast, climate-topography models estimated double the losses of species than climate-only models in the flatlands regions. Our findings suggest that disregarding topographical heterogeneity may cause a significant source of error in broad-scale bioclimatic modelling. Mountainous regions are likely to be even more important for future conservation of species than had until now been predicted, based on bioclimatic envelope models that did not take an explicit account of elevational range of grid squares.</t>
  </si>
  <si>
    <t>[Luoto, Miska] Univ Oulu, Thule Inst, FIN-90014 Oulu, Finland; [Heikkinen, R. K.] Finnish Environm Inst, Res Dept, Res Programme Biodivers, FIN-00251 Helsinki, Finland</t>
  </si>
  <si>
    <t>University of Oulu; Finnish Environment Institute</t>
  </si>
  <si>
    <t>Luoto, M (corresponding author), Univ Oulu, Dept Geog, PO Box 3000, FIN-90014 Oulu, Finland.</t>
  </si>
  <si>
    <t>miska.luoto@oulu.fi</t>
  </si>
  <si>
    <t>; Luoto, Miska/E-6693-2014; Heikkinen, Risto/AAN-6257-2020</t>
  </si>
  <si>
    <t>Luoto, Miska/0000-0001-6203-5143;</t>
  </si>
  <si>
    <t>10.1111/j.1365-2486.2007.01527.x</t>
  </si>
  <si>
    <t>259HH</t>
  </si>
  <si>
    <t>WOS:000252929900004</t>
  </si>
  <si>
    <t>Halpern, BS; Walbridge, S; Selkoe, KA; Kappel, CV; Micheli, F; D'Agrosa, C; Bruno, JF; Casey, KS; Ebert, C; Fox, HE; Fujita, R; Heinemann, D; Lenihan, HS; Madin, EMP; Perry, MT; Selig, ER; Spalding, M; Steneck, R; Watson, R</t>
  </si>
  <si>
    <t>Halpern, Benjamin S.; Walbridge, Shaun; Selkoe, Kimberly A.; Kappel, Carrie V.; Micheli, Fiorenza; D'Agrosa, Caterina; Bruno, John F.; Casey, Kenneth S.; Ebert, Colin; Fox, Helen E.; Fujita, Rod; Heinemann, Dennis; Lenihan, Hunter S.; Madin, Elizabeth M. P.; Perry, Matthew T.; Selig, Elizabeth R.; Spalding, Mark; Steneck, Robert; Watson, Reg</t>
  </si>
  <si>
    <t>A global map of human impact on marine ecosystems</t>
  </si>
  <si>
    <t>COASTAL; FISHERIES; BIODIVERSITY; CONSERVATION; OCEAN; WORLD; AQUACULTURE; DEPLETION; HOTSPOTS; THREATS</t>
  </si>
  <si>
    <t>The management and conservation of the world's oceans require synthesis of spatial data on the distribution and intensity of human activities and the overlap of their impacts on marine ecosystems. We developed an ecosystem- specific, multiscale spatial model to synthesize 17 global data sets of anthropogenic drivers of ecological change for 20 marine ecosystems. Our analysis indicates that no area is unaffected by human influence and that a large fraction ( 41%)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 based management; and to inform marine spatial planning, education, and basic research.</t>
  </si>
  <si>
    <t>[Halpern, Benjamin S.; Walbridge, Shaun; Selkoe, Kimberly A.; Kappel, Carrie V.; Ebert, Colin; Perry, Matthew T.] Natl Ctr Ecol Anal &amp; Synth, Santa Barbara, CA 93101 USA; [Selkoe, Kimberly A.] Hawaii Inst Marine Biol, Kaneohe, HI 96744 USA; [Micheli, Fiorenza] Stanford Univ, Hopkins Marine Stn, Pacific Grove, CA 93950 USA; [D'Agrosa, Caterina] Wildlife Conservat Soc, Bronx, NY 10460 USA; [Bruno, John F.] Univ N Carolina, Dept Marine Sci, Chapel Hill, NC 27599 USA; [Casey, Kenneth S.; Selig, Elizabeth R.] NOAA, Natl Oceanog Data Ctr, Silver Spring, MD 20910 USA; [Fox, Helen E.] World Wildlife Fund, Conservat Sci Program, Washington, DC 20037 USA; [Fujita, Rod] Environm Def, Oakland, CA 94618 USA; [Heinemann, Dennis] Ocean Conservancy, Washington, DC 20006 USA; [Lenihan, Hunter S.] Univ Calif Santa Barbara, Bren Sch Environm Sci &amp; Management, Santa Barbara, CA 93106 USA; [Madin, Elizabeth M. P.] Univ Calif Santa Barbara, Dept Ecol Evolut &amp; Marine Biol, Santa Barbara, CA 93106 USA; [Selig, Elizabeth R.] Univ N Carolina, Curriculum Ecol, Chapel Hill, NC 27599 USA; [Spalding, Mark] Nature Conservancy, Conservat Strategies Div, Newmarket CB8 8AW, Suffolk, England; [Steneck, Robert] Univ Maine, Darling Marine Ctr, Sch Marine Sci, Walpole, ME 04353 USA; [Watson, Reg] Univ British Columbia, Fisheries Ctr, Vancouver, BC V6T 1Z4, Canada</t>
  </si>
  <si>
    <t>University of California System; University of California Santa Barbara; Stanford University; Wildlife Conservation Society; University of North Carolina; University of North Carolina Chapel Hill; National Oceanic Atmospheric Admin (NOAA) - USA; World Wildlife Fund; University of California System; University of California Santa Barbara; University of California System; University of California Santa Barbara; University of North Carolina; University of North Carolina Chapel Hill; University of Maine System; University of Maine Orono; University of British Columbia</t>
  </si>
  <si>
    <t>Halpern, BS (corresponding author), Natl Ctr Ecol Anal &amp; Synth, 735 State St, Santa Barbara, CA 93101 USA.</t>
  </si>
  <si>
    <t>halpern@nceas.ucsb.edu; selkoe@nceas.ucsb.edu</t>
  </si>
  <si>
    <t>Halpern, Benjamin/J-6141-2014; Spalding, Mark/GVU-0739-2022; Fox, Helen/C-3543-2009; Kappel, Carrie/B-9534-2009; Watson, Reg/F-4850-2012; Casey, Kenneth/D-4065-2013</t>
  </si>
  <si>
    <t>Halpern, Benjamin/0000-0001-8844-2302; Fox, Helen Elizabeth/0000-0002-0541-7484; Heinemann, Dennis/0000-0002-1434-2445; Spalding, Mark/0000-0001-9456-4533; Watson, Reg/0000-0001-7201-8865; Micheli, Fiorenza/0000-0002-6865-1438; Casey, Kenneth/0000-0002-6052-7117</t>
  </si>
  <si>
    <t>10.1126/science.1149345</t>
  </si>
  <si>
    <t>262RM</t>
  </si>
  <si>
    <t>WOS:000253165700045</t>
  </si>
  <si>
    <t>Iverson, LR; Prasad, AM; Matthews, SN; Peters, M</t>
  </si>
  <si>
    <t>Iverson, Louis R.; Prasad, Anantha M.; Matthews, Stephen N.; Peters, Matthew</t>
  </si>
  <si>
    <t>Estimating potential habitat for 134 eastern US tree species under six climate scenarios</t>
  </si>
  <si>
    <t>International Workshop on Forest Landscape Modeling</t>
  </si>
  <si>
    <t>JUN 20-24, 2006</t>
  </si>
  <si>
    <t>Beijing, PEOPLES R CHINA</t>
  </si>
  <si>
    <t>China Nat Sci Fdn,Int Assoc Landscape Ecol,Chinese Acad Sci, Inst Appl Ecol</t>
  </si>
  <si>
    <t>climate change; eastern United States; tree species distributions; composition changes; species shifts; random forests; regression tree analysis; bagging</t>
  </si>
  <si>
    <t>FIRE-SUCCESSION MODELS; UNITED-STATES; CLASSIFICATION; DISTRIBUTIONS; RESPONSES; FORESTS; IMPACT</t>
  </si>
  <si>
    <t>We modeled and mapped, using the predictive data mining tool Random Forests, 134 tree species from the eastern United States for potential response to several scenarios of climate change. Each species was modeled individually to show current and potential future habitats according to two emission scenarios (high emissions on current trajectory and reasonable conservation of energy implemented) and three climate models: the Parallel Climate Model, the Hadley CM3 model, and the Geophysical Fluid Dynamics Laboratory model. Since we model potential suitable habitats of species, our results should not be interpreted as actual changes in ranges of the species. We also evaluated both emission scenarios under an average future climate from all three models. Climate change could have large impacts on suitable habitat for tree species in the eastern United States, especially under a high emissions trajectory. Of the 134 species, approximately 66 species would gain and 54 species would lose at least 10% of their suitable habitat under climate change. A lower emission pathway would result in lower numbers of both losers and gainers. When the mean centers, i.e. center of gravity, of current and potential future habitat are evaluated, most of the species habitat moves generally northeast, up to 800 km in the hottest scenario and highest emissions trajectory. The models suggest a retreat of the spruce-fir zone and an advance of the southern oaks and pines. In any case, our results show that species will have a lot less pressure to move their suitable habitats if we follow the path of lower emissions of greenhouse gases. The information contained in this; paper, and much more, is detailed on our website: http://www.nrs.fs.fed.us/atlas. Published by Elsevier B.V.</t>
  </si>
  <si>
    <t>[Iverson, Louis R.; Prasad, Anantha M.; Matthews, Stephen N.; Peters, Matthew] US Forest Serv, Delaware, OH 43015 USA</t>
  </si>
  <si>
    <t>Iverson, LR (corresponding author), US Forest Serv, 359 Main Rd, Delaware, OH 43015 USA.</t>
  </si>
  <si>
    <t>liverson@fs.fed.us</t>
  </si>
  <si>
    <t>Matthews, Stephen/D-1050-2012; Iverson, Louis/AAZ-3910-2020</t>
  </si>
  <si>
    <t>Matthews, Stephen/0000-0001-9175-7778; Peters, Matthew/0000-0002-4793-0075;</t>
  </si>
  <si>
    <t>10.1016/j.foreco.2007.07.023</t>
  </si>
  <si>
    <t>266OC</t>
  </si>
  <si>
    <t>WOS:000253444600003</t>
  </si>
  <si>
    <t>Sekercioglu, CH; Schneider, SH; Fay, JP; Loarie, SR</t>
  </si>
  <si>
    <t>Sekercioglu, Cagan H.; Schneider, Stephen H.; Fay, John P.; Loarie, Scott R.</t>
  </si>
  <si>
    <t>Climate change, elevational range shifts, and bird extinctions</t>
  </si>
  <si>
    <t>biodiversity; avian biogeography; extinction likelihood; GIS; global warming; lapse rates; macroecology; mountain endemics; ornithology; tropical forests</t>
  </si>
  <si>
    <t>POPULATION-SIZE; CHANGE IMPACTS; DISTRIBUTIONS; TEMPERATURE; ECOLOGY; ENERGETICS; ISLANDS; FORESTS; TROPICS; RARITY</t>
  </si>
  <si>
    <t>Limitations imposed on species ranges by the climatic, ecological, and physiological effects of elevation are important determinants of extinction risk. We modeled the effects of elevational limits on the extinction risk of landbirds, 87% of all bird species. Elevational limitation of range size explained 97% of the variation in the probability of being in a World Conservation Union category of extinction risk. Our model that combined elevational ranges, four Millennium Assessment habitat-loss scenarios, and an intermediate estimate of surface warming of 2.8 degrees C, projected a best guess of 400-550 landbird extinctions, and that approximately 2150 additional species would be at risk of extinction by 2100. For Western Hemisphere landbirds, intermediate extinction estimates based on climate-induced changes in actual distributions ranged from 1.3% (1.1 degrees C warming) to 30.0% (6.4 degrees C warming) of these species. Worldwide, every degree of warming projected a nonlinear increase in bird extinctions of about 100-500 species. Only 21% of the species predicted to become extinct in our scenarios are currently considered threatened with extinction. Different habitat-loss and surface-warming scenarios predicted substantially different futures for landbird species. To improve the precision of climate-induced extinction estimates, there is an urgent need for high-resolution measurements of shifts in the elevational ranges of species. Given the accelerating influence of climate change on species distributions and conservation, using elevational limits in a tested, standardized, and robust manner can improve conservation assessments of terrestrial species and will help identify species that are most vulnerable to global climate change. Our climate-induced extinction estimates are broadly similar to those of bird species at risk from other factors, but these estimates largely involve different sets of species.</t>
  </si>
  <si>
    <t>[Sekercioglu, Cagan H.; Schneider, Stephen H.] Stanford Univ, Dept Biol Sci, Stanford, CA 94305 USA; [Fay, John P.; Loarie, Scott R.] Duke Univ, Nicholas Sch Environm &amp; Earth Sci, Durham, NC 27707 USA</t>
  </si>
  <si>
    <t>Stanford University; Duke University</t>
  </si>
  <si>
    <t>Sekercioglu, CH (corresponding author), Stanford Univ, Dept Biol Sci, 371 Serra Mall, Stanford, CA 94305 USA.</t>
  </si>
  <si>
    <t>cagan@stanford.edu</t>
  </si>
  <si>
    <t>Şekercioğlu, Çağan H/A-1273-2007; Loarie, Scott/D-2610-2009; Sekercioglu, Cagan/A-2331-2013</t>
  </si>
  <si>
    <t>Şekercioğlu, Çağan H/0000-0003-3193-0377; Fay, John/0000-0002-1871-7582;</t>
  </si>
  <si>
    <t>10.1111/j.1523-1739.2007.00852.x</t>
  </si>
  <si>
    <t>258UT</t>
  </si>
  <si>
    <t>WOS:000252895700016</t>
  </si>
  <si>
    <t>Sullivan, TP; Sullivan, DS; Lindgren, PMF</t>
  </si>
  <si>
    <t>Sullivan, Thomas P.; Sullivan, Druscilla S.; Lindgren, Pontus M. F.</t>
  </si>
  <si>
    <t>Influence of variable retention harvests on forest ecosystems: Plant and mammal responses up to 8 years post-harvest</t>
  </si>
  <si>
    <t>abundance; Clethrionomys gapperi; forest floor small mammals; green-tree retention; species diversity; Tamias amoenus; understory vegetation; variable retention</t>
  </si>
  <si>
    <t>GREEN-TREE RETENTION; SPRUCE-FIR FORESTS; VARYING LEVELS; FLUCTUATING POPULATIONS; DEMOGRAPHIC-CHANGES; UNDERSTORY PLANTS; STAND STRUCTURE; PELLET-GROUP; MULE DEER; PATTERNS</t>
  </si>
  <si>
    <t>Green-tree retention systems are an important management component of variable retention harvests in temperate zone coniferous forests. Residual live trees (legacy trees) provide mature forest habitat, increase structural diversity, and provide continuity in the regenerating stand. This study was designed to test the hypotheses that, at up to 8 years after harvest, abundance and species diversity of communities of (i) understory plants and (ii) forest-floor small mammals, and (iii) relative habitat use by mule deer (Odocoileits hemionus), will decline with decreasing levels of tree retention. Communities of plants and forest floor small mammals were sampled in replicated clearcut, single seed-tree, group seed-tree, patch cut, and uncut forest sites in mixed Douglas-fir (Pseudotsuga menziesii)-lodgepole pine (Pinus contorta) forest in southern British Columbia, Canada from 2000 to 2003 (5-8 years post-harvest). Habitat use by mule deer was measured during summer and winter periods each year from 1999 to 2003 in these same sites. Mean total abundance (crown volume index) of herbs, shrubs, mosses, and lichens was similar among sites. Mean species richness of herbs, shrubs, and total plants was similar among sites, but total species diversity and structural diversity were significantly lower in the patch cut and uncut forest sites than in the other harvesting treatments. Thus, hypothesis (i) was not supported. Mean total abundance, species richness, and species diversity of small mammals were similar among sites, contrary to hypothesis (ii). However, the southern red-backed vole (Clethrionomys gapperi) declined in abundance as conditions became intolerable for this microtine to persist at numbers &gt; 1/ha in the clearcut and seed-tree sites. The early successional and mycophagist northwestern chipmunk (Tamias amoenus) occurred at 2.3-4.4 times higher abundance on the seed-tree sites than the other sites. Relative habitat use by mule deer was highest in the seed-tree sites during summer periods and highest in the group seed-tree, patch cut and uncut sites in winter periods. The responses to our treatments were species specific, and hence a range of different harvesting systems should be used to maintain plant and mammal diversity across forest landscapes. (c) 2007 Elsevier BX All rights reserved.</t>
  </si>
  <si>
    <t>[Sullivan, Thomas P.] Univ British Columbia, Fac Forestry, Dept Forest Sci, Vancouver, BC V6T 1Z4, Canada; [Sullivan, Druscilla S.; Lindgren, Pontus M. F.] Appl Mammal Res Inst, Summeland, BC V0H 1Z8, Canada</t>
  </si>
  <si>
    <t>University of British Columbia</t>
  </si>
  <si>
    <t>Sullivan, TP (corresponding author), Univ British Columbia, Fac Forestry, Dept Forest Sci, 2424 Main Mall, Vancouver, BC V6T 1Z4, Canada.</t>
  </si>
  <si>
    <t>torn.sullivan@ubc.ca</t>
  </si>
  <si>
    <t>JAN 25</t>
  </si>
  <si>
    <t>10.1016/j.foreco.2007.08.005</t>
  </si>
  <si>
    <t>256XL</t>
  </si>
  <si>
    <t>WOS:000252763100014</t>
  </si>
  <si>
    <t>Huntley, B; Collingham, YC; Willis, SG; Green, RE</t>
  </si>
  <si>
    <t>Huntley, Brian; Collingham, Yvonne C.; Willis, Stephen G.; Green, Rhys E.</t>
  </si>
  <si>
    <t>Potential Impacts of Climatic Change on European Breeding Birds</t>
  </si>
  <si>
    <t>Background. Climatic change is expected to lead to changes in species' geographical ranges. Adaptation strategies for biodiversity conservation require quantitative estimates of the magnitude, direction and rates of these potential changes. Such estimates are of greatest value when they are made for large ensembles of species and for extensive (sub-continental or continental) regions. Methodology/Principal Findings. For six climate scenarios for 2070-99 changes have been estimated for 431 European breeding bird species using models relating species' distributions in Europe to climate. Mean range centroid potentially shifted 258-882 km in a direction between 341 degrees (NNW) and 45 degrees (NE), depending upon the climate scenario considered. Potential future range extent averaged 72-89% of the present range, and overlapped the present range by an average of 31-53% of the extent of the present range. Even if potential range changes were realised, the average number of species breeding per 50x50 km grid square would decrease by 6.8-23.2%. Many species endemic or near-endemic to Europe have little or no overlap between their present and potential future ranges; such species face an enhanced extinction risk as a consequence of climatic change. Conclusions/Significance. Although many human activities exert pressures upon wildlife, the magnitude of the potential impacts estimated for European breeding birds emphasises the importance of climatic change. The development of adaptation strategies for biodiversity conservation in the face of climatic change is an urgent need; such strategies must take into account quantitative evidence of potential climatic change impacts such as is presented here.</t>
  </si>
  <si>
    <t>[Collingham, Yvonne C.; Willis, Stephen G.] Univ Durham, Sch Biol &amp; Biomed Sci, Inst Ecosyst Sci, Durham, England; [Green, Rhys E.] Roy Soc Protect Birds, Conserv Sci Dept, Sandy, Beds, England; [Green, Rhys E.] Univ Cambridge, Dept Zool, Conservation Sci Grp, Cambridge, England</t>
  </si>
  <si>
    <t>Durham University; Royal Society for Protection of Birds; University of Cambridge</t>
  </si>
  <si>
    <t>Huntley, B (corresponding author), Univ Durham, Sch Biol &amp; Biomed Sci, Inst Ecosyst Sci, Durham, England.</t>
  </si>
  <si>
    <t>brian.huntley@durham.ac.uk; reg29@hermes.cam.ac.uk</t>
  </si>
  <si>
    <t>Willis, Stephen/F-8503-2015</t>
  </si>
  <si>
    <t>Willis, Stephen/0000-0002-8656-5808</t>
  </si>
  <si>
    <t>UK Natural Environment Research Council; Royal Society for the Protection of Birds (RSPB); Royal Society - Wolfson Foundation Research Merit Award</t>
  </si>
  <si>
    <t>UK Natural Environment Research Council(UK Research &amp; Innovation (UKRI)Natural Environment Research Council (NERC)); Royal Society for the Protection of Birds (RSPB); Royal Society - Wolfson Foundation Research Merit Award</t>
  </si>
  <si>
    <t>The research work reported was supported in part by a grant from the UK Natural Environment Research Council and in part by a contract from the Royal Society for the Protection of Birds (RSPB). During the preparation of the manuscript Prof. Brian Huntley was in receipt of financial support from a Royal Society - Wolfson Foundation Research Merit Award. The post of Prof. Rhys E. Green at Cambridge University also is funded by the RSPB. Nonetheless, the sponsors have played no direct role in the design or conduct of the study, nor in the interpretation of the data or the preparation, review or approval of the manuscript. Data relating to the European breeding distributions of birds were collected by the European Bird Census Council (EBCC), who made those data available to us to use in our work. The EBCC played no role in the research work nor in the preparation of this paper.</t>
  </si>
  <si>
    <t>JAN 16</t>
  </si>
  <si>
    <t>e1439</t>
  </si>
  <si>
    <t>10.1371/journal.pone.0001439</t>
  </si>
  <si>
    <t>366SN</t>
  </si>
  <si>
    <t>WOS:000260503800011</t>
  </si>
  <si>
    <t>Buckley, LB</t>
  </si>
  <si>
    <t>Buckley, Lauren B.</t>
  </si>
  <si>
    <t>Linking traits to energetics and population dynamics to predict lizard ranges in changing environments</t>
  </si>
  <si>
    <t>AMERICAN NATURALIST</t>
  </si>
  <si>
    <t>bioenergetic model; climate change; fundamental niche; population dynamic model; range shifts; species' ranges</t>
  </si>
  <si>
    <t>EASTERN FENCE LIZARD; SCELOPORUS-UNDULATUS; LIFE-HISTORY; BODY-TEMPERATURE; CLIMATE-CHANGE; REPRODUCTIVE STRATEGIES; GEOGRAPHIC-VARIATION; FOOD AVAILABILITY; LANDSCAPE SCALE; SPECIES BORDERS</t>
  </si>
  <si>
    <t>I present a dynamic bioenergetic model that couples individual energetics and population dynamics to predict current lizard ranges and those following climate warming. The model predictions are uniquely based on first principles of morphology, life history, and thermal physiology. I apply the model to five populations of a widespread North American lizard, Sceloporus undulatus, to examine how geographic variation in traits and life histories influences ranges. This geographic variation reflects the potential for species to adapt to environmental change. I then consider the range dynamics of the closely related Sceloporus graciosus. Comparing predicted ranges and actual current ranges reveals how dispersal limitations, species interactions, and habitat requirements influence the occupied portions of thermally suitable ranges. The dynamic model predicts individualistic responses to a uniform 3 degrees C warming but a northward shift in the northern range boundary for all populations and species. In contrast to standard correlative climate envelope models, the extent of the predicted northward shift depends on organism traits and life histories. The results highlight the limitations of correlative models and the need for more dynamic models of species' ranges.</t>
  </si>
  <si>
    <t>Santa Fe Inst, Santa Fe, NM 87501 USA</t>
  </si>
  <si>
    <t>The Santa Fe Institute</t>
  </si>
  <si>
    <t>Buckley, LB (corresponding author), Santa Fe Inst, Santa Fe, NM 87501 USA.</t>
  </si>
  <si>
    <t>lbuckley@santafe.edu</t>
  </si>
  <si>
    <t>; Buckley, Lauren/ABD-6759-2021</t>
  </si>
  <si>
    <t>Buckley, Lauren/0000-0003-1315-3818;</t>
  </si>
  <si>
    <t>0003-0147</t>
  </si>
  <si>
    <t>1537-5323</t>
  </si>
  <si>
    <t>AM NAT</t>
  </si>
  <si>
    <t>Am. Nat.</t>
  </si>
  <si>
    <t>E1</t>
  </si>
  <si>
    <t>E19</t>
  </si>
  <si>
    <t>10.1086/523949</t>
  </si>
  <si>
    <t>248XY</t>
  </si>
  <si>
    <t>WOS:000252191700017</t>
  </si>
  <si>
    <t>Winemiller, KO; Agostinho, AA; Caramaschi, ÉP</t>
  </si>
  <si>
    <t>Dudgeon, D</t>
  </si>
  <si>
    <t>Winemiller, Kirk O.; Agostinho, Angelo A.; Caramaschi, Erica Pellegrini</t>
  </si>
  <si>
    <t>Fish Ecology in Tropical Streams</t>
  </si>
  <si>
    <t>TROPICAL STREAM ECOLOGY</t>
  </si>
  <si>
    <t>Aquatic Ecology Series</t>
  </si>
  <si>
    <t>RAIN-FOREST STREAMS; FRESH-WATER FISHES; ONTOGENIC DIET SHIFTS; 2 SMALL TRIBUTARIES; SOUTH-AMERICA; LIFE-HISTORY; PARANA RIVER; ARMORED CATFISH; SRI-LANKA; ECOMORPHOLOGICAL DIVERSIFICATION</t>
  </si>
  <si>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</si>
  <si>
    <t>[Winemiller, Kirk O.] Texas A&amp;M Univ, Dept Wildlife &amp; Fisheries Sci, College Stn, TX 77843 USA; [Agostinho, Angelo A.] Univ Estadual Maringa, Nucleo Pesquisas Limnol Ictiol &amp; Aquicultura NUPE, BR-87020900 Maringa, Parana, Brazil; [Caramaschi, Erica Pellegrini] Univ Fed Rio de Janeiro, Dept Ecol, IB, CCS, BR-21941970 Rio De Janeiro, RJ, Brazil</t>
  </si>
  <si>
    <t>Texas A&amp;M University System; Texas A&amp;M University College Station; Universidade Estadual de Maringa; Universidade Federal do Rio de Janeiro</t>
  </si>
  <si>
    <t>Winemiller, KO (corresponding author), Texas A&amp;M Univ, Dept Wildlife &amp; Fisheries Sci, College Stn, TX 77843 USA.</t>
  </si>
  <si>
    <t>Agostinho, Angelo/S-1538-2019; Caramaschi, Erica/D-5406-2013; Agostinho, Angelo Antonio/D-5888-2013</t>
  </si>
  <si>
    <t>Winemiller, Kirk/0000-0003-0236-5129; Agostinho, Angelo Antonio/0000-0002-4707-9444</t>
  </si>
  <si>
    <t>ELSEVIER ACADEMIC PRESS INC</t>
  </si>
  <si>
    <t>525 B STREET, SUITE 1900, SAN DIEGO, CA 92101-4495 USA</t>
  </si>
  <si>
    <t>1573-4595</t>
  </si>
  <si>
    <t>978-0-08-055717-5; 978-0-12-088449-0</t>
  </si>
  <si>
    <t>AQUAT ECOL SER</t>
  </si>
  <si>
    <t>Aquat. Ecol. Ser.</t>
  </si>
  <si>
    <t>10.1016/B978-012088449-0.50007-8</t>
  </si>
  <si>
    <t>BEY19</t>
  </si>
  <si>
    <t>WOS:000318618900006</t>
  </si>
  <si>
    <t>Gómez-Mendoza, L; Arriaga, L</t>
  </si>
  <si>
    <t>Gomez-Mendoza, Leticia; Arriaga, Laura</t>
  </si>
  <si>
    <t>Modeling the effect of climate change on the distribution of oak and pine species of Mexico</t>
  </si>
  <si>
    <t>climate-change scenarios; GARP; HadCM2; models; Pinus; Quercus; species distribution; temperate forests</t>
  </si>
  <si>
    <t>FORESTS; PREDICTION; IMPACT; BIODIVERSITY; UNCERTAINTY; PROJECTIONS; HIGHLANDS; RESPONSES; GROWTH; RISK</t>
  </si>
  <si>
    <t>We examined the vulnerability of 34 species of oaks (Quercus) and pines (Pinus) to the effects of global climate change in Mexico. We regionalized the HadCM2 model of climate change with local climatic data (mean annual temperature and rainfall) and downscaled the model with the inverse distance-weighted method. Databases of herbaria specimens, genetic algorithms (GARP), and digital covers of biophysical variables that affect oaks and pines were used to project geographic distributions of the species under a severe and conservative scenario of climate change for the year 2050. Starting with the current average temperature of 20.2 degrees C and average precipitation of 793 mm, under the severe warming scenario mean temperature and precipitation changed to 22.7 degrees C and 660 mm, respectively, in 2050. For the conservative warming scenario, these variables shifted to 21.8 degrees C and 721 mm. Responses to the different scenarios of climate change were predicted to be species-specific and related to each species climate affinity. The current geographic distribution of oaks and pines decreased 7-48% and 0.2-64%, respectively. The more vulnerable pines were Pinus rudis, P. chihuahuana, P. oocarpa, and P. culminicola, and the most vulnerable oaks were Quercus crispipilis, Q. peduncularis, Q. acutifolia, and Q. sideroxyla. In addition to habitat conservation, we think sensitive pine and oak species should be looked at more closely to define ex situ strategies (i.e., seed preservation in germplasm banks) for their long-term conservation. Modeling climatic-change scenarios is important to the development of conservation strategies.</t>
  </si>
  <si>
    <t>[Gomez-Mendoza, Leticia] Univ Nacl Autonoma Mexico, Inst Geog, Mexico City 14510, DF, Mexico; [Arriaga, Laura] Ctr Invest Biol Noroeste, La Paz 23090, Baja California, Mexico</t>
  </si>
  <si>
    <t>Universidad Nacional Autonoma de Mexico; CIBNOR - Centro de Investigaciones Biologicas del Noroeste; Telefonica SA</t>
  </si>
  <si>
    <t>Gómez-Mendoza, L (corresponding author), Univ Nacl Autonoma Mexico, Inst Geog, Ciudad Univ, Mexico City 14510, DF, Mexico.</t>
  </si>
  <si>
    <t>larriaga04@cibnor.mx</t>
  </si>
  <si>
    <t>Gomez-Mendoza, Leticia/AAB-9163-2020</t>
  </si>
  <si>
    <t>10.1111/j.1523-1739.2007.00814.x</t>
  </si>
  <si>
    <t>242ZH</t>
  </si>
  <si>
    <t>WOS:000251764200024</t>
  </si>
  <si>
    <t>Levinsky, I; Skov, F; Svenning, JC; Rahbek, C</t>
  </si>
  <si>
    <t>Levinsky, Irina; Skov, Flemming; Svenning, Jens-Christian; Rahbek, Carsten</t>
  </si>
  <si>
    <t>Potential impacts of climate change on the distributions and diversity patterns of European mammals</t>
  </si>
  <si>
    <t>climate change; Europe; mammals; terrestrial; bioclimatic envelope models; distributions; species richness</t>
  </si>
  <si>
    <t>BIOCLIMATE ENVELOPE MODELS; SPECIES DISTRIBUTIONS; WOODRATS NEOTOMA; RANGE; BIODIVERSITY; VULNERABILITY; CONSEQUENCES; EXTINCTION; PREDICTION; SYSTEMS</t>
  </si>
  <si>
    <t>The Intergovernmental Panel on Climate Change (IPCC) predicts an increase in global temperatures of between 1.4 degrees C and 5.8 degrees C during the 21st century, as a result of elevated CO2 levels. Using bioclimatic envelope models, we evaluate the potential impact of climate change on the distributions and species richness of 120 native terrestrial non-volant European mammals under two of IPCC's future climatic scenarios. Assuming unlimited and no migration, respectively, our model predicts that 1% or 5-9% of European mammals risk extinction, while 32-46% or 70-78% may be severely threatened (lose &gt; 30% of their current distribution) under the two scenarios. Under the no migration assumption endemic species were predicted to be strongly negatively affected by future climatic changes, while widely distributed species would be more mildly affected. Finally, potential mammalian species richness is predicted to become dramatically reduced in the Mediterranean region but increase towards the northeast and for higher elevations. Bioclimatic envelope models do not account for non-climatic factors such as land-use, biotic interactions, human interference, dispersal or history, and our results should therefore be seen as first approximations of the potential magnitude of future climatic changes.</t>
  </si>
  <si>
    <t>Univ Copenhagen, Ctr Mocroecol, Inst Biol, DK-2100 Copenhagen, Denmark; Aarhus Univ, Natl Environm Res Inst, Dept Wildlife Ecol &amp; Biodiversity, DK-8410 Ronde, Denmark; Aarhus Univ, Dept Biol Sci, DK-8000 Aarhus, Denmark</t>
  </si>
  <si>
    <t>University of Copenhagen; Aarhus University; Danish National Environmental Research Institute; Aarhus University</t>
  </si>
  <si>
    <t>Levinsky, I (corresponding author), Univ Copenhagen, Ctr Mocroecol, Inst Biol, Universitetsparken 15, DK-2100 Copenhagen, Denmark.</t>
  </si>
  <si>
    <t>ilevinsky@bi.ku.dk</t>
  </si>
  <si>
    <t>Rahbek, Carsten/L-1129-2013; Skov, Flemming/I-2665-2013; Svenning, Jens-Christian/C-8977-2012</t>
  </si>
  <si>
    <t>Rahbek, Carsten/0000-0003-4585-0300; Skov, Flemming/0000-0002-9490-8663; Svenning, Jens-Christian/0000-0002-3415-0862</t>
  </si>
  <si>
    <t>10.1007/s10531-007-9181-7</t>
  </si>
  <si>
    <t>222ML</t>
  </si>
  <si>
    <t>WOS:000250301400007</t>
  </si>
  <si>
    <t>Peterson, AT; Martinez-Meyer, E</t>
  </si>
  <si>
    <t>Peterson, A. Townsend; Martinez-Meyer, Enrique</t>
  </si>
  <si>
    <t>Geographic evaluation of conservation status of African forest squirrels (Sciuridae) considering land use change and climate change: the importance of point data</t>
  </si>
  <si>
    <t>Africa; biodiversity conservation; climate change; ecological niche modeling; resolution; spatial scale; squirrels</t>
  </si>
  <si>
    <t>SUB-SAHARAN AFRICA; SOUTH-AFRICA; BIODIVERSITY; DISTRIBUTIONS; PATTERNS; MADAGASCAR; MOUNTAINS; DIVERSITY; RICHNESS; CENTERS</t>
  </si>
  <si>
    <t>Known occurrences based on natural history museum voucher specimens for three genera of African forest squirrels were used to develop a detailed, fine-scale distributional under-standing of each species. Considerations of species' autecology, effects of land use change, and effects of global climate change were all included in our analyses, and negative effects of land use and climate change on species' distributional areas were roughly equivalent across the species surveyed. We describe geographic patterns of distribution and endemism, and identify areas of potential occurrence of unknown species. Comparing with coarse grid-based approaches currently in vogue in African biodiversity conservation efforts, we suggest that the point-based method offers significant advantages in fine resolution and avoiding loss of information, and yet are feasibly implemented for many vertebrate groups.</t>
  </si>
  <si>
    <t>Univ Kansas, Museum Nat Hist, Lawrence, KS 66045 USA; Univ Kansas, Biodivers Res Ctr, Lawrence, KS 66045 USA; Univ Nacl Autonoma Mexico, Inst Biol, Mexico City, DF, Mexico</t>
  </si>
  <si>
    <t>University of Kansas; University of Kansas; Universidad Nacional Autonoma de Mexico</t>
  </si>
  <si>
    <t>Peterson, AT (corresponding author), Univ Kansas, Museum Nat Hist, Lawrence, KS 66045 USA.</t>
  </si>
  <si>
    <t>town@ku.edu</t>
  </si>
  <si>
    <t>Peterson, A. Townsend/I-5697-2013; Martínez-Meyer, Enrique/AAZ-7352-2020; Peterson, A Townsend/I-5697-2013</t>
  </si>
  <si>
    <t>Martínez-Meyer, Enrique/0000-0003-1184-9264; Peterson, A Townsend/0000-0003-0243-2379</t>
  </si>
  <si>
    <t>10.1007/s10531-007-9152-z</t>
  </si>
  <si>
    <t>229VC</t>
  </si>
  <si>
    <t>WOS:000250833000001</t>
  </si>
  <si>
    <t>Lotze, HK</t>
  </si>
  <si>
    <t>Lotze, Heike K.</t>
  </si>
  <si>
    <t>Rise and fall of fishing and marine resource use in the Wadden Sea, southern North Sea</t>
  </si>
  <si>
    <t>environmental history; fisheries; management; marine conservation; overexploitation; recovery</t>
  </si>
  <si>
    <t>MEDIEVAL EUROPE; FOOD WEBS; HISTORY; ABUNDANCE; DEPLETION; FISHES; TRANSFORMATIONS; PERSPECTIVE; ATLANTIC; FAUNA</t>
  </si>
  <si>
    <t>The Wadden Sea is the world's largest intertidal ecosystem and one of the most productive coastal areas worldwide. People have fished and hunted marine resources in the Wadden Sea since its origin similar to 7500 years ago, but have since depleted the majority of formerly important species and their supporting habitats. Most of these changes have been lost from memory. Here, I reconstructed the history of fishing and marine resource use in the Wadden Sea using a multi-disciplinary approach that combines archaeological, historical, fisheries, and ecological records. Early farmers and settlers used a great variety of coastal mammals, birds, fish, and shellfish from similar to 5000-500 years ago. During the Middle Ages (500-1500 AD) fish gained in importance over birds, mammals, and shellfish, and fishing gradually replaced hunting and gathering along the coast. About 1000 years ago, freshwater and migrating fish stocks in European inland lakes and rivers declined because of overfishing and habitat degradation. This induced an expansion and commercialization of marine fisheries along the coast, first for herring and oysters in the 12th and 13th centuries, later for haddock and cod in the 16th century. Exploitation of birds and whales was also commercialized and some species started to decline with increasing exploitation pressure. During Modem Times (1500-1800 AD), commercial fisheries further developed for rays, flatfish, lobster, and shrimp along the coast and for sturgeon and salmon in the estuaries. Intensification of exploitation in the 19th century led. to strong depletion of many coastal resources and several fisheries collapsed in the early 1900s. As a result, new fisheries were developed for formerly less valued species but many declined or collapsed before the end of the 20th century. Today, the only remaining commercial fisheries target shrimp, blue mussels, and cockles. On the other side, conservation efforts have recovered some formerly exploited species, especially birds and seals. Meanwhile, fishing has been gradually replaced by tourism and nature conservation along the coast. The history of the Wadden Sea may serve as an example for a coastal region that sustained people for millennia, was heavily exploited and transformed over time, but still shows some potential for recovery where protection and restoration efforts are integrated into coastal management plans. (c) 2007 Elsevier B.V. All rights reserved.</t>
  </si>
  <si>
    <t>Dalhousie Univ, Dept Biol, Halifax, NS B3H 4J1, Canada</t>
  </si>
  <si>
    <t>Dalhousie University</t>
  </si>
  <si>
    <t>Lotze, HK (corresponding author), Dalhousie Univ, Dept Biol, 1355 Oxford St, Halifax, NS B3H 4J1, Canada.</t>
  </si>
  <si>
    <t>hlotze@dal.ca</t>
  </si>
  <si>
    <t>Lotze, Heike/0000-0001-6258-1304</t>
  </si>
  <si>
    <t>2-3</t>
  </si>
  <si>
    <t>10.1016/j.fishres.2006.12.009</t>
  </si>
  <si>
    <t>238SS</t>
  </si>
  <si>
    <t>WOS:000251468500012</t>
  </si>
  <si>
    <t>Thomas, H; Prowe, AEF; van Heuven, S; Bozec, Y; de Baar, HJW; Schiettecatte, LS; Suykens, K; Koné, M; Borges, AV; Lima, ID; Doney, SC</t>
  </si>
  <si>
    <t>Thomas, Helmuth; Prowe, A. E. Friederike; van Heuven, Steven; Bozec, Yann; de Baar, Hein J. W.; Schiettecatte, Laure-Sophie; Suykens, Kim; Kone, Mathieu; Borges, Alberto V.; Lima, Ivan D.; Doney, Scott C.</t>
  </si>
  <si>
    <t>Rapid decline of the CO2 buffering capacity in the North Sea and implications for the North Atlantic Ocean</t>
  </si>
  <si>
    <t>DISSOLVED INORGANIC CARBON; INTERANNUAL VARIABILITY; CONTINENTAL-SHELF; ATMOSPHERIC CO2; SINK; PCO(2); SIMULATIONS; TEMPERATURE; CIRCULATION; SYSTEMS</t>
  </si>
  <si>
    <t>New observations from the North Sea, a NW European shelf sea, show that between 2001 and 2005 the CO2 partial pressure (pCO(2)) in surface waters rose by 22 mu atm, thus faster than atmospheric pCO(2), which in the same period rose approximately 11 matm. The surprisingly rapid decline in air-sea partial pressure difference (Delta pCO(2)) is primarily a response to an elevated water column inventory of dissolved inorganic carbon (DIC), which, in turn, reflects mostly anthropogenic CO2 input rather than natural interannual variability. The resulting decline in the buffering capacity of the inorganic carbonate system (increasing Revelle factor) sets up a theoretically predicted feedback loop whereby the invasion of anthropogenic CO2 reduces the ocean's ability to uptake additional CO2. Model simulations for the North Atlantic Ocean and thermodynamic principles reveal that this feedback should be stronger, at present, in colder midlatitude and subpolar waters because of the lower present-day buffer capacity and elevated DIC levels driven either by northward advected surface water and/or excess local air-sea CO2 uptake. This buffer capacity feedback mechanism helps to explain at least part of the observed trend of decreasing air-sea Delta pCO(2) over time as reported in several other recent North Atlantic studies.</t>
  </si>
  <si>
    <t>Univ Liege, Chem,Oceanog Unit, Liege, Belgium; Woods Hole Oceanog Inst, Marine Chem &amp; Geochem Dept, Woods Hole, MA 02543 USA; Royal Netherlands Inst Sea Res, Den Burg, Netherlands; Dalhousie Univ, Dept Oceanog, Halifax, NS, Canada; Univ Groningen, Dept Ocean Unit, Haren, Netherlands</t>
  </si>
  <si>
    <t>University of Liege; Woods Hole Oceanographic Institution; Utrecht University; Royal Netherlands Institute for Sea Research (NIOZ); Dalhousie University; University of Groningen</t>
  </si>
  <si>
    <t>Thomas, H (corresponding author), Scripps Inst Oceanog, San Diego, CA USA.</t>
  </si>
  <si>
    <t>Prowe, AE/AAH-2497-2021; Lima, Ivan/A-6823-2016; Borges, Alberto/C-4989-2008; Doney, Scott/F-9247-2010; Lima, Ivan/A-6823-2016</t>
  </si>
  <si>
    <t>Borges, Alberto V/0000-0002-5434-2247; Prowe, Friederike/0000-0001-5281-4696; Lima, Ivan/0000-0001-5345-0652; Doney, Scott/0000-0002-3683-2437; Lima, Ivan/0000-0001-5345-0652</t>
  </si>
  <si>
    <t>OCT 6</t>
  </si>
  <si>
    <t>GB4001</t>
  </si>
  <si>
    <t>10.1029/2006GB002825</t>
  </si>
  <si>
    <t>218WC</t>
  </si>
  <si>
    <t>Green Submitted, Green Published, Green Accepted, Bronze</t>
  </si>
  <si>
    <t>WOS:000250045700001</t>
  </si>
  <si>
    <t>Beltman, B; Willems, JH; Güsewell, S</t>
  </si>
  <si>
    <t>Beltman, Boudewijn; Willems, Jo H.; Guesewell, Sabine</t>
  </si>
  <si>
    <t>Flood events overrule fertiliser effects on biomass production and species richness in riverine grasslands</t>
  </si>
  <si>
    <t>arrhenatherion; flooding; long-term fertilisation experiment; nutrient mineralisation; river floodplain; species richness; time series</t>
  </si>
  <si>
    <t>ATMOSPHERIC NITROGEN DEPOSITION; NUTRIENT LIMITATION; LAND-USE; PLANT; VEGETATION; RECRUITMENT; DISPERSAL; DIVERSITY; RHINE; FENS</t>
  </si>
  <si>
    <t>Question: Do severe winter flood events lift the nutrient limitation of biomass production in a river floodplain? How does this affect plant species richness? How long do the effects last? Location: Floodplain grassland on calcareous sandy loam near river Rhine in The Netherlands. Methods: Plots were fertilised with four treatments (control, N, P, N+ P) for 21 years; plant species composition, vegetation biomass and tissue nutrient concentrations were determined every year between 1985 and 2005. Results: Fertilisation with N generally increased biomass production and reduced species richness, but these effects varied over time. During the. rst four years of the experiment, biomass production appeared to be co-limited by N and P, while N fertilisation dramatically reduced plant species richness; these effects became weaker subsequently. Following two extreme winter floods in 1993-94 and 1994-95 and a drought in spring 1996, the effects of fertilisation disappeared between 1998 and 2001 and then appeared again. Flooding caused an overall reduction in species richness (from c. 24 to 15 species m(-2)) and an increase in biomass production, which were only partly reversed after ten years. Conclusions: Long time series are necessary to understand vegetation dynamics and nutrient limitation in river floodplains, since they are influenced by occasional flood and drought events, whose effects may persist for more than ten years. A future increase in flooding frequency might be detrimental to species richness in floodplain grasslands.</t>
  </si>
  <si>
    <t>Univ Utrecht, Dept Environm Biol, NL-3508 TB Utrecht, Netherlands; ETH, Inst Integrat Biol, CH-8092 Zurich, Switzerland</t>
  </si>
  <si>
    <t>Utrecht University; Swiss Federal Institutes of Technology Domain; ETH Zurich</t>
  </si>
  <si>
    <t>Beltman, B (corresponding author), Univ Utrecht, Dept Environm Biol, PO Box 80084, NL-3508 TB Utrecht, Netherlands.</t>
  </si>
  <si>
    <t>b.beltman@uu.nl; sabine.guesewell@env.ethz.ch</t>
  </si>
  <si>
    <t>10.1658/1100-9233(2007)18[625:FEOFEO]2.0.CO;2</t>
  </si>
  <si>
    <t>193SA</t>
  </si>
  <si>
    <t>WOS:000248293400002</t>
  </si>
  <si>
    <t>Müller, J; Engel, H; Blaschke, M</t>
  </si>
  <si>
    <t>Mueller, Joerg; Engel, Heinz; Blaschke, Markus</t>
  </si>
  <si>
    <t>Assemblages of wood-inhabiting fungi related to silvicultural management intensity in beech forests in southern Germany</t>
  </si>
  <si>
    <t>EUROPEAN JOURNAL OF FOREST RESEARCH</t>
  </si>
  <si>
    <t>silvicultural intensity; beech forest; saproxylic fungi; Fomes fomentarius; critical thresholds of dead wood</t>
  </si>
  <si>
    <t>DEAD WOOD; FAGUS-SYLVATICA; HABITAT FACTORS; DIVERSITY; BOREAL; SPRUCE; STATISTICS; SUCCESSION; PATTERNS; INSECTS</t>
  </si>
  <si>
    <t>Current silvicultural treatments in beech forests are aimed at achieving thick logs without discoloured hardwood. Therefore intensive thinning is applied already in younger stands with the objective of large-sized trunks at an age of 100 years. However, this approach bears the risk that dead wood structures and broken trees are completely removed from the forest. The impact of three different silvicultural management intensity levels on wood-inhabiting fungi over decades was investigated in a large beech forest (&gt; 10,000 ha) in southern Germany in 69 sampling plots: A Intensive Thinning and Logging with high-value trees, B Conservation-Oriented Logging with integration of special structures such as dead wood and broken trees and C Strict Forest Reserves with no logging for 30 years. The analysis of community showed marked differences in the fungus species composition of the three treatments, independent of stand age. The relative frequencies of species between treatments were statistically different. Indicator species for naturalness were more abundant at sites with low silvicultural management intensity. Fomes fomentarius, the most common fungus in virgin forests and strict forest reserves, is almost missing in forests with high-management intensity. The species richness seemed to be lower where intensive thinning was applied (P = 0.051). Species characteristic for coarse woody debris were associated to low management intensity, whereas species with a significant preference for stumps became more frequent with increasing management intensity. A total amount of dead wood higher than 60 m(3)/ha was found to enable significantly higher numbers of species indicators of naturalness (P = 0.013). In conclusion, when applying intensive silvicultural treatment, the role of dead wood needs to be actively considered in order to maintain the natural biocoenosis of beech forests.</t>
  </si>
  <si>
    <t>Bavarian Forest Natl Pk, D-94481 Grafenau, Germany; Bavarian State Inst Forestry, D-85354 Freising Weihenstephan, Germany</t>
  </si>
  <si>
    <t>joerg.mueller@npv-bw.bayern.de; HeinzEngel@t-online.de; bls@lwf.uni-muenchen.de</t>
  </si>
  <si>
    <t>Blaschke, Markus/0000-0001-9361-8966; Müller, Jörg/0000-0002-1409-1586</t>
  </si>
  <si>
    <t>1612-4669</t>
  </si>
  <si>
    <t>1612-4677</t>
  </si>
  <si>
    <t>EUR J FOREST RES</t>
  </si>
  <si>
    <t>Eur. J. For. Res.</t>
  </si>
  <si>
    <t>10.1007/s10342-007-0173-7</t>
  </si>
  <si>
    <t>212EJ</t>
  </si>
  <si>
    <t>WOS:000249576100005</t>
  </si>
  <si>
    <t>Carroll, C</t>
  </si>
  <si>
    <t>Carroll, Carlos</t>
  </si>
  <si>
    <t>Interacting effects of climate change, landscape conversion, and harvest on carnivore populations at the range margin: Marten and Lynx in the northern Appalachians</t>
  </si>
  <si>
    <t>connectivity; conservation planning; focal species; Lynx canadensis; Martes americana; population viability analysis; resource selection function; spatially explicit population model</t>
  </si>
  <si>
    <t>EXTINCTION RISK; AMERICAN MARTEN; HABITAT USE; DYNAMICS; DISTRIBUTIONS; FOREST; MODELS</t>
  </si>
  <si>
    <t>Assessing the effects of climate change on threatened species requires moving beyond simple bioclimatic models to models that incorporate interactions among climatic trends, landscape change, environmental stochasticity, and species life history. Populations of marten (Martes americana) and lynx (Lynx canadensis) in southeastern Canada and the northeastern United States represent peninsular extensions of boreal ranges and illustrate the potential impact of these threats on semi-isolated populations at the range margin. Decreased snowfall may affect marten and lynx through decreased prey vulnerability and decreased competitive advantage over sympatric carnivores. I used a spatially explicit population model to assess potential effects of predicted changes in snowfall by 2055 on regional marten and lynx populations. The models' habitat rankings were derived from previous static models that correlated regional distribution with snowfall and vegetation data. Trapping scenarios were parameterized as a 10% proportional decrease in survival, and logging scenarios were parameterized as a 10% decrease in the extent of older coniferous or mixed forest. Both species showed stronger declines in the simulations due to climate change than to overexploitation or logging. Marten populations declined 40% because of climate change, 16% because of logging, and 30% because of trapping. Lynx populations declined 59% because of climate change, 36% because of trapping, and 20% in scenarios evaluating the effects of population cycles. Climate change interacted with logging in its effects on the marten and with trapping in its effects on the lynx, increasing overall vulnerability. For both species larger lowland populations were vulnerable to climate change, which suggests that contraction may occur in the core of their current regional range as well as among smaller peripheral populations. Despite their greater data requirements compared with bioclimatic models, mesoscale spatial viability models are important tools for generating more biologically realistic hypotheses regarding biotic response to climate change.</t>
  </si>
  <si>
    <t>Klamath Ctr Conservat Res, Orleans, CA 95556 USA</t>
  </si>
  <si>
    <t>Carroll, C (corresponding author), Klamath Ctr Conservat Res, POB 104, Orleans, CA 95556 USA.</t>
  </si>
  <si>
    <t>carlos@klamathconservation.org</t>
  </si>
  <si>
    <t>10.1111/j.1523-1739.2007.00719.x</t>
  </si>
  <si>
    <t>195GT</t>
  </si>
  <si>
    <t>WOS:000248401200029</t>
  </si>
  <si>
    <t>Beaumont, LJ; Pitman, AJ; Poulsen, M; Hughes, L</t>
  </si>
  <si>
    <t>Beaumont, Linda J.; Pitman, A. J.; Poulsen, Michael; Hughes, Lesley</t>
  </si>
  <si>
    <t>Where will species go? Incorporating new advances in climate modelling into projections of species distributions</t>
  </si>
  <si>
    <t>bioclimatic modelling; climate change; climate models; projected distributions; quantifying uncertainty; realizations; within-model variability</t>
  </si>
  <si>
    <t>CAPE FLORISTIC REGION; GEOGRAPHIC DISTRIBUTIONS; NORTH QUEENSLAND; CHANGE SCENARIOS; EXTINCTION RISK; ENVELOPE MODELS; CHANGE IMPACTS; RANGE SHIFTS; SOUTH-AFRICA; BIODIVERSITY</t>
  </si>
  <si>
    <t>Bioclimatic models are the primary tools for simulating the impact of climate change on species distributions. Part of the uncertainty in the output of these models results from uncertainty in projections of future climates. To account for this, studies often simulate species responses to climates predicted by more than one climate model and/or emission scenario. One area of uncertainty, however, has remained unexplored: internal climate model variability. By running a single climate model multiple times, but each time perturbing the initial state of the model slightly, different but equally valid realizations of climate will be produced. In this paper, we identify how ongoing improvements in climate models can be used to provide guidance for impacts studies. In doing so we provide the first assessment of the extent to which this internal climate model variability generates uncertainty in projections of future species distributions, compared with variability between climate models. We obtained data on 13 realizations from three climate models (three from CSIRO Mark2 v3.0, four from GISS AOM, and six from MIROC v3.2) for two time periods: current (1985-1995) and future (2025-2035). Initially, we compared the simulated values for each climate variable (P, T-max, T-min, and T-mean) for the current period to observed climate data. This showed that climates simulated by realizations from the same climate model were more similar to each other than to realizations from other models. However, when projected into the future, these realizations followed different trajectories and the values of climate variables differed considerably within and among climate models. These had pronounced effects on the projected distributions of nine Australian butterfly species when modelled using the BIOCLIM component of DIVA-GIS. Our results show that internal climate model variability can lead to substantial differences in the extent to which the future distributions of species are projected to change. These can be greater than differences resulting from between-climate model variability. Further, different conclusions regarding the vulnerability of species to climate change can be reached due to internal model variability. Clearly, several climate models, each represented by multiple realizations, are required if we are to adequately capture the range of uncertainty associated with projecting species distributions in the future.</t>
  </si>
  <si>
    <t>Macquarie Univ, Dept Biol Sci, N Ryde, NSW 2109, Australia; Macquarie Univ, Dept Phys Geog, N Ryde, NSW 2109, Australia; Macquarie Univ, Dept Human Geog, N Ryde, NSW 2109, Australia</t>
  </si>
  <si>
    <t>Macquarie University; Macquarie University; Macquarie University</t>
  </si>
  <si>
    <t>Beaumont, LJ (corresponding author), Macquarie Univ, Dept Biol Sci, N Ryde, NSW 2109, Australia.</t>
  </si>
  <si>
    <t>lbeaumon@rna.bio.mq.edu.au</t>
  </si>
  <si>
    <t>Beaumont, Linda/D-5499-2012; Pitman, Anew/A-7353-2011; Pitman, Andrew/A-7353-2011</t>
  </si>
  <si>
    <t>Pitman, Anew/0000-0003-0604-3274; Beaumont, Linda/0000-0001-6307-1680; Hughes, Lesley/0000-0003-0313-9780</t>
  </si>
  <si>
    <t>10.1111/j.1365-2486.2007.01357.x</t>
  </si>
  <si>
    <t>202ZV</t>
  </si>
  <si>
    <t>WOS:000248945800007</t>
  </si>
  <si>
    <t>Grimbacher, PS; Catterall, CP; Kanowski, J; Proctor, HC</t>
  </si>
  <si>
    <t>Grimbacher, Peter S.; Catterall, Carla P.; Kanowski, John; Proctor, Heather C.</t>
  </si>
  <si>
    <t>Responses of ground-active beetle assemblages to different styles of reforestation on cleared rainforest land</t>
  </si>
  <si>
    <t>coleoptera; colonisation; forest management; habitat complexity; invertebrate; plantation; restoration; stand age; structure; succession</t>
  </si>
  <si>
    <t>SPECIES RESPONSES; CLIMATIC STRESS; DUNG BEETLES; DIVERSITY; BIODIVERSITY; COLEOPTERA; HABITAT; RESTORATION; PLANTATIONS; COMMUNITIES</t>
  </si>
  <si>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</si>
  <si>
    <t>Griffith Univ, Australian Sch Environm Studies, Rainforest Cooperat Res Ctr, Nathan, Qld 4111, Australia; Univ Alberta, Dept Biol Sci, Edmonton, AB T6G 2E9, Canada</t>
  </si>
  <si>
    <t>Griffith University; University of Alberta</t>
  </si>
  <si>
    <t>Grimbacher, PS (corresponding author), James Cook Univ N Queensland, Sch Marine &amp; Trop Biol, Cairns, Qld 4870, Australia.</t>
  </si>
  <si>
    <t>Peter.Grimbacher@jcu.edu.au</t>
  </si>
  <si>
    <t>; Proctor, Heather/A-2677-2014; Catterall, Carla/K-7996-2017</t>
  </si>
  <si>
    <t>Kanowski, John/0009-0009-7025-4456; Proctor, Heather/0000-0002-4920-9556; Catterall, Carla/0000-0002-1914-0455</t>
  </si>
  <si>
    <t>10.1007/s10531-006-9146-2</t>
  </si>
  <si>
    <t>177KX</t>
  </si>
  <si>
    <t>WOS:000247153100012</t>
  </si>
  <si>
    <t>Jetz, W; Wilcove, DS; Dobson, AP</t>
  </si>
  <si>
    <t>Jetz, Walter; Wilcove, David S.; Dobson, Andrew P.</t>
  </si>
  <si>
    <t>Projected impacts of climate and land-use change on the global diversity of birds</t>
  </si>
  <si>
    <t>PLOS BIOLOGY</t>
  </si>
  <si>
    <t>SPECIES RICHNESS; PLANT DIVERSITY; BIODIVERSITY; EXTINCTION; RESPONSES; HOTSPOTS; THREATS; FUTURE</t>
  </si>
  <si>
    <t>Over the past few decades, land-use and climate change have led to substantial range contractions and species extinctions. Even more dramatic changes to global land cover are projected for this century. We used the Millennium Ecosystem Assessment scenarios to evaluate the exposure of all 8,750 land bird species to projected land-cover changes due to climate and land-use change. For this first baseline assessment, we assumed stationary geographic ranges that may overestimate actual losses in geographic range. Even under environmentally benign scenarios, at least 400 species are projected to suffer &gt; 50% range reductions by the year 2050 (over 900 by the year 2100). Although expected climate change effects at high latitudes are significant, species most at risk are predominantly narrow-ranged and endemic to the tropics, where projected range contractions are driven by anthropogenic land conversions. Most of these species are currently not recognized as imperiled. The causes, magnitude and geographic patterns of potential range loss vary across socioeconomic scenarios, but all scenarios (even the most environmentally benign ones) result in large declines of many species. Whereas climate change will severely affect biodiversity, in the near future, land-use change in tropical countries may lead to yet greater species loss. A vastly expanded reserve network in the tropics, coupled with more ambitious goals to reduce climate change, will be needed to minimize global extinctions.</t>
  </si>
  <si>
    <t>Univ Calif San Diego, Div Biol Sci, La Jolla, CA 92093 USA; Princeton Univ, Dept Ecol &amp; Evolut Biol, Princeton, NJ 08544 USA; Princeton Univ, Woodrow Wilson Sch, Princeton, NJ 08544 USA</t>
  </si>
  <si>
    <t>University of California System; University of California San Diego; Princeton University; Princeton University</t>
  </si>
  <si>
    <t>Jetz, W (corresponding author), Univ Calif San Diego, Div Biol Sci, La Jolla, CA 92093 USA.</t>
  </si>
  <si>
    <t>wjetz@ucsd.edu</t>
  </si>
  <si>
    <t>Jetz, Walter/ABF-1517-2020</t>
  </si>
  <si>
    <t>Wilcove, David S/0000-0002-1354-0503; Jetz, Walter/0000-0002-1971-7277</t>
  </si>
  <si>
    <t>1544-9173</t>
  </si>
  <si>
    <t>1545-7885</t>
  </si>
  <si>
    <t>PLOS BIOL</t>
  </si>
  <si>
    <t>PLoS. Biol.</t>
  </si>
  <si>
    <t>e157</t>
  </si>
  <si>
    <t>10.1371/journal.pbio.0050157</t>
  </si>
  <si>
    <t>Biochemistry &amp; Molecular Biology; Biology</t>
  </si>
  <si>
    <t>Biochemistry &amp; Molecular Biology; Life Sciences &amp; Biomedicine - Other Topics</t>
  </si>
  <si>
    <t>177SQ</t>
  </si>
  <si>
    <t>WOS:000247173200006</t>
  </si>
  <si>
    <t>Kidd, KA; Blanchfield, PJ; Mills, KH; Palace, VP; Evans, RE; Lazorchak, JM; Flick, RW</t>
  </si>
  <si>
    <t>Kidd, Karen A.; Blanchfield, Paul J.; Mills, Kenneth H.; Palace, Vince P.; Evans, Robert E.; Lazorchak, James M.; Flick, Robert W.</t>
  </si>
  <si>
    <t>Collapse of a fish population after exposure to a synthetic estrogen</t>
  </si>
  <si>
    <t>endocrine disrupters; fathead minnow; municipal wastewaters; population-level effects; whole-lake experiment</t>
  </si>
  <si>
    <t>MINNOW PIMEPHALES-PROMELAS; EXPERIMENTAL ACIDIFICATION; WASTE-WATER; FATHEAD MINNOWS; LIFE-CYCLE; WILD; LAKE; ETHINYLESTRADIOL; ETHYNYLESTRADIOL; IDENTIFICATION</t>
  </si>
  <si>
    <t>Municipal wastewaters are a complex mixture containing estrogens and estrogen mimics that are known to affect the reproductive health of wild fishes. Male fishes downstream of some wastewater out falls produce vitellogenin (VTG) (a protein normally synthesized by females during oocyte maturation) and early-stage eggs in their testes, and this feminization has been attributed to the presence of estrogenic substances such as natural estrogens [estrone or 17 beta-estradiol (E2)], the synthetic estrogen used in birth-control pills [17 alpha-ethynylestradiol (EE2)], or weaker estrogen mimics such as nonylphenol in the water. Despite widespread evidence that male fishes are being feminized, it is not known whether these low-level, chronic exposures adversely impact the sustainability of wild populations. We conducted a 7-year, wholelake experiment at the Experimental Lakes Area (ELA) in northwestern Ontario, Canada, and showed that chronic exposure of fathead minnow (Pimephalespromelas) to low concentrations (5-6 ng-L-1) of the potent 17 alpha-ethynylestradiol led to feminization of males through the production of vitellogenin mRNA and protein, impacts on gonadal development as evidenced by intersex in males and altered oogenesis in females, and, ultimately, a near extinction of this species from the lake. Our observations demonstrate that the concentrations of estrogens and their mimics observed in freshwaters can impact the sustainability of wild fish populations.</t>
  </si>
  <si>
    <t>Fisheries &amp; Oceans Canada, Inst Freshwater, Winnipeg, MB R3T 2N6, Canada; US EPA, Mol Indicators Res Branch, Cincinnati, OH 45268 USA</t>
  </si>
  <si>
    <t>Fisheries &amp; Oceans Canada; United States Environmental Protection Agency</t>
  </si>
  <si>
    <t>Kidd, KA (corresponding author), Univ New Brunswick, Canadian Rivers Inst, St John, NB E2E 4P1, Canada.</t>
  </si>
  <si>
    <t>kiddk@unbsj.ca</t>
  </si>
  <si>
    <t>Kidd, Karen/ABG-3237-2020; Kidd, Karen A/ABG-3237-2020; Lazorchak, James/E-2363-2016; Palace, Vince/AHB-6708-2022; Mills, Kingston/F-5684-2013</t>
  </si>
  <si>
    <t>Kidd, Karen A/0000-0002-5619-1358; Lazorchak, James/0000-0002-7354-7571; Blanchfield, Paul/0000-0003-0886-5642; Mills, Kingston/0000-0003-3646-8222</t>
  </si>
  <si>
    <t>10.1073/pnas.0609568104</t>
  </si>
  <si>
    <t>173DM</t>
  </si>
  <si>
    <t>WOS:000246853700040</t>
  </si>
  <si>
    <t>Quinton, JN; Catt, JA</t>
  </si>
  <si>
    <t>Quinton, John N.; Catt, John A.</t>
  </si>
  <si>
    <t>Enrichment of heavy metals in sediment resulting from soil erosion on agricultural fields</t>
  </si>
  <si>
    <t>LONG-TERM; SURFACE RUNOFF; WATER EROSION; PHOSPHORUS; TRANSPORT; NUTRIENT; TILLAGE; ENGLAND; LOSSES; CARBON</t>
  </si>
  <si>
    <t>Heavy metal pollution of soil and water is often associated with industry, but in this paper we demonstrate that water erosion on agricultural soil which has received only agrochemicals has enriched sediment metal concentrations to toxic levels which breach many accepted standards for soils and sediments. Eight 0.1 ha erosion plots with different cultivation treatments were monitored over a 6 year period for surface runoff, soil loss, and Cr, Cu, Pb, and Ni concentrations. Mean concentrations of these heavy metals were up to 3.98 times higher in the sediment than in the parent soil and in some erosion events the sediment had 13.5 times the concentration of metals in the soil. All the sediment heavy metal concentrations were significantly correlated (p &lt; 0.01) with the clay and silt sized fractions of the sediment and with carbon content. The erosion was a highly selective process enriching the detached material in silt, clay, and organic carbon. This was particularly true in smaller erosion events. Sediment metal concentrations tended to follow the shape of runoff hydrographs, although the pattern changed from storm to storm.</t>
  </si>
  <si>
    <t>Univ Lancaster, Dept Environm Sci, Lancaster LA1 4YQ, England; UCL, Dept Geog, London WC1E 6BT, England; Rothamsted Res, Agr &amp; Environm Div, Harpenden AL5 2JQ, Herts, England</t>
  </si>
  <si>
    <t>Lancaster University; University of London; University College London; UK Research &amp; Innovation (UKRI); Biotechnology and Biological Sciences Research Council (BBSRC); Rothamsted Research</t>
  </si>
  <si>
    <t>Quinton, JN (corresponding author), Univ Lancaster, Dept Environm Sci, Lancaster LA1 4YQ, England.</t>
  </si>
  <si>
    <t>Quinton, John/B-1290-2011</t>
  </si>
  <si>
    <t>Quinton, John/0000-0003-1746-4795</t>
  </si>
  <si>
    <t>10.1021/es062147h</t>
  </si>
  <si>
    <t>166IG</t>
  </si>
  <si>
    <t>WOS:000246371800023</t>
  </si>
  <si>
    <t>Nuñez-Iturri, G; Howe, HF</t>
  </si>
  <si>
    <t>Nunez-Iturri, Gabriela; Howe, Henry F.</t>
  </si>
  <si>
    <t>Bushmeat and the fate of trees with seeds dispersed by large primates in a lowland rain forest in western Amazonia</t>
  </si>
  <si>
    <t>Annual Meeting of the Association-for-Tropical-Biology-and-Conservation</t>
  </si>
  <si>
    <t>Uberlandia, BRAZIL</t>
  </si>
  <si>
    <t>Canadian Assoc Phys Anthropol</t>
  </si>
  <si>
    <t>bushmeat; conservation; hunting; Manu; Peru; primates; recruitment; regeneration; seed dispersal; tropical forest</t>
  </si>
  <si>
    <t>TINIGUA-NATIONAL-PARK; FOOD CHOICE; CONSEQUENCES; COMMUNITIES; DIVERSITY; MONKEYS; HARVEST; CONSERVATION; RECRUITMENT; GERMINATION</t>
  </si>
  <si>
    <t>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</si>
  <si>
    <t>Univ Illinois, Dept Biol Sci, Chicago, IL 60607 USA</t>
  </si>
  <si>
    <t>University of Illinois System; University of Illinois Chicago; University of Illinois Chicago Hospital</t>
  </si>
  <si>
    <t>Nuñez-Iturri, G (corresponding author), Univ Illinois, Dept Biol Sci, 845 W Taylor St M-C 066, Chicago, IL 60607 USA.</t>
  </si>
  <si>
    <t>gnunez2@uic.edu</t>
  </si>
  <si>
    <t>Howe, Henry/B-8749-2014</t>
  </si>
  <si>
    <t>10.1111/j.1744-7429.2007.00276.x</t>
  </si>
  <si>
    <t>160KM</t>
  </si>
  <si>
    <t>WOS:000245939300007</t>
  </si>
  <si>
    <t>Wang, BC; Sork, VL; Leong, MT; Smith, TB</t>
  </si>
  <si>
    <t>Wang, Benjamin C.; Sork, Victoria L.; Leong, Misha T.; Smith, Thomas B.</t>
  </si>
  <si>
    <t>Hunting of mammals reduces seed removal and dispersal of the afrotropical tree Antrocaryon klaineanum (Anacardiaceae)</t>
  </si>
  <si>
    <t>Africa; Antrocaryon klaineanum; hunting; microsatellite; tropical forest; seed dispersal; seed removal</t>
  </si>
  <si>
    <t>TROPICAL RAIN-FOREST; SPATIAL-PATTERNS; DJA-RESERVE; WILDLIFE; FATE; RECRUITMENT; POPULATIONS; AFRICA; MICROSATELLITES; ESTABLISHMENT</t>
  </si>
  <si>
    <t>Throughout the tropics, mammalian seed dispersers are being driven to local extinction by intense hunting pressure, generating concern not only about the loss of these species, but also about the consequences for the plants they disperse. We compared two rain forest sites in Cameroon-one with heavy hunting pressure and one protected from hunting-to appraise the loss of mammalian seed dispersers and to assess the impact of this loss on seed removal and seed dispersal of Antrocaryon klaineanum (Anacardiaceae), a mammal-dispersed tree. Surveys of arboreal frugivores indicate that three of the five monkey species, as well as chimpanzee and gorilla, have been extirpated from the hunted forest. Diaspore counts underneath A. klaineanum adults (six trees per site) indicate that seed removal is severely reduced in the hunted forest. Finally, genetic maternity exclusion analysis (using 3-7 nuclear microsatellite loci) of maternally inherited endocarp tissue from diaspores collected under the canopies of 12 fruiting mother trees (six trees per site) revealed that seed dispersal in the hunted forest is also greatly reduced. In the hunted forest with reduced mammal dispersal agents, only 1 of the 53 assayed endocarps (2%) did not match the mother and was determined to be from a dispersed diaspore. By contrast, in the protected forest, 20 of the 48 assayed endocarps (42%) were from dispersed diaspores. This study provides strong evidence that loss of dispersal agents can lead to reduced seed removal and loss of seed dispersal, disrupting the seed dispersal cycle.</t>
  </si>
  <si>
    <t>Univ Calif Los Angeles, Dept Ecol &amp; Evolut Biol, Los Angeles, CA 90095 USA; Univ Calif Los Angeles, Ctr Trop Res, Inst Environm, Los Angeles, CA 90095 USA; Univ Calif Los Angeles, Inst Environm, Los Angeles, CA 90095 USA</t>
  </si>
  <si>
    <t>University of California System; University of California Los Angeles; University of California System; University of California Los Angeles; University of California System; University of California Los Angeles</t>
  </si>
  <si>
    <t>Wang, BC (corresponding author), Univ Calif Los Angeles, Dept Ecol &amp; Evolut Biol, Box 951606, Los Angeles, CA 90095 USA.</t>
  </si>
  <si>
    <t>bcw@ucla.edu</t>
  </si>
  <si>
    <t>Sork, Victoria/P-9278-2017; , Tom Smtih/JXX-5281-2024</t>
  </si>
  <si>
    <t>10.1111/j.1744-7429.2007.00275.x</t>
  </si>
  <si>
    <t>WOS:000245939300006</t>
  </si>
  <si>
    <t>Blake, S; Strindberg, S; Boudjan, P; Makombo, C; Bila-Isia, I; Ilambu, O; Grossmann, F; Bene-Bene, L; de Semboli, B; Mbenzo, V; S'hwa, D; Bayogo, R; Williamson, L; Fay, M; Hart, J; Maisels, F</t>
  </si>
  <si>
    <t>Blake, Stephen; Strindberg, Samantha; Boudjan, Patrick; Makombo, Calixte; Bila-Isia, Inogwabini; Ilambu, Omari; Grossmann, Falk; Bene-Bene, Lambert; de Semboli, Bruno; Mbenzo, Valentin; S'hwa, Dino; Bayogo, Rosine; Williamson, Liz; Fay, Mike; Hart, John; Maisels, Fiona</t>
  </si>
  <si>
    <t>Forest elephant crisis in the Congo Basin</t>
  </si>
  <si>
    <t>IVORY TRADE; NUMBERS</t>
  </si>
  <si>
    <t>Debate over repealing the ivory trade ban dominates conferences of the Convention on International Trade in Endangered Species of Wild Fauna and Flora ( CITES). Resolving this controversy requires accurate estimates of elephant population trends and rates of illegal killing. Most African savannah elephant populations are well known; however, the status of forest elephants, perhaps a distinct species, in the vast Congo Basin is unclear. We assessed population status and incidence of poaching from line-transect and reconnaissance surveys conducted on foot in sites throughout the Congo Basin. Results indicate that the abundance and range of forest elephants are threatened from poaching that is most intense close to roads. The probability of elephant presence increased with distance to roads, whereas that of human signs declined. At all distances from roads, the probability of elephant occurrence was always higher inside, compared to outside, protected areas, whereas that of humans was always lower. Inside protected areas, forest elephant density was correlated with the size of remote forest core, but not with size of protected area. Forest elephants must be prioritised in elephant management planning at the continental scale.</t>
  </si>
  <si>
    <t>Wildlife Conservat Soc, Africa Program, Bronx, NY USA; Univ Maryland, Dept Geog, College Pk, MD 20742 USA; Worl Wildlife Fund, Yaounde, Cameroon; World Wildlife Fund Dzanga Sangha, Bangui, Cent Afr Republ; Canadian Ctr Int Studies &amp; Cooperat, Bangassou Forest Project, Bangui, Cent Afr Republ</t>
  </si>
  <si>
    <t>Wildlife Conservation Society; University System of Maryland; University of Maryland College Park</t>
  </si>
  <si>
    <t>Blake, S (corresponding author), Wildlife Conservat Soc, Africa Program, Bronx, NY USA.</t>
  </si>
  <si>
    <t>sblake@uuplus.com</t>
  </si>
  <si>
    <t>; Williamson, Elizabeth/N-8958-2019; Blake, Stephen/HPE-0562-2023; Maisels, Fiona/E-7382-2015; Maisels, Fiona/E-7382-2015</t>
  </si>
  <si>
    <t>Williaon, Elizabeth/0000-0001-6848-9154; Maisels, Fiona/0000-0002-0778-0615; Maisels, Fiona/0000-0002-0778-0615; Inogwabini, Bila-Isia/0000-0002-6897-2477</t>
  </si>
  <si>
    <t>e11</t>
  </si>
  <si>
    <t>10.1371/journal.pbio.0050111</t>
  </si>
  <si>
    <t>159XP</t>
  </si>
  <si>
    <t>WOS:000245901500025</t>
  </si>
  <si>
    <t>Jenkins, RKB; Andriafidison, D; Razafimanahaka, HJ; Rabearivelo, A; Razafindrakoto, N; Ratsimandresy, Z; Andrianandrasana, RH; Razafimahatratra, E; Racey, PA</t>
  </si>
  <si>
    <t>Jenkins, Richard K. B.; Andriafidison, Daudet; Razafimanahaka, H. Julie; Rabearivelo, Andriamanana; Razafindrakoto, Noromampiandra; Ratsimandresy, Zo; Andrianandrasana, Rabe H.; Razafimahatratra, Emilienne; Racey, Paul A.</t>
  </si>
  <si>
    <t>Not rare, but threatened:: the endemic Madagascar flying fox Pteropus rufus in a fragmented landscape</t>
  </si>
  <si>
    <t>diet; flying fox; fragmentation; hunting; plantations; Pteropus rufus; Madagascar</t>
  </si>
  <si>
    <t>LITTORAL FOREST; SAINTE-LUCE; PTEROPODIDAE; CONSERVATION; CHIROPTERA; DIET</t>
  </si>
  <si>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</si>
  <si>
    <t>Univ Aberdeen, Sch Biol Sci, Aberdeen AB24 2TZ, Scotland; Univ Antananarivo, Fac Sci, Dept Biol Anim, Antananarivo, Madagascar; Univ Antananarivo, Ecole Super Sci Agron, Dept Eaux &amp; Foret, Antananarivo 101, Madagascar</t>
  </si>
  <si>
    <t>University of Aberdeen; University Antananarivo; University Antananarivo</t>
  </si>
  <si>
    <t>Jenkins, RKB (corresponding author), Univ Aberdeen, Sch Biol Sci, Aberdeen AB24 2TZ, Scotland.</t>
  </si>
  <si>
    <t>jenkins@wanadoo.mg</t>
  </si>
  <si>
    <t>Jenkins, Richard/A-4567-2012; Racey, Paul/I-4541-2019</t>
  </si>
  <si>
    <t>10.1017/S0030605307001883</t>
  </si>
  <si>
    <t>181ML</t>
  </si>
  <si>
    <t>WOS:000247440700024</t>
  </si>
  <si>
    <t>Rodríguez, MA; Winemiller, KO; Lewis, WM; Baechle, DCT</t>
  </si>
  <si>
    <t>Rodriguez, Marco A.; Winemiller, Kirk O.; Lewis, William M., Jr.; Baechle, Donald C. Taphorn</t>
  </si>
  <si>
    <t>The freshwater habitats, fishes, and fisheries of the Orinoco River basin</t>
  </si>
  <si>
    <t>AQUATIC ECOSYSTEM HEALTH &amp; MANAGEMENT</t>
  </si>
  <si>
    <t>aquatic resources; conservation; ecology; management; neotropical; floodplain; Venezuela</t>
  </si>
  <si>
    <t>NEOTROPICAL FLOODPLAIN RIVER; TROPICAL RIVER; FOOD WEBS; ASSEMBLAGES; VENEZUELA; LAKES; DIVERSITY; REGIONS; APURE</t>
  </si>
  <si>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</si>
  <si>
    <t>Univ Quebec, Dept Chim Biol, Trois Rivieres, PQ G9A 5H7, Canada; Texas A&amp;M Univ, Dept Wildlife &amp; Fisheries Sci, College Stn, TX 77894 USA; Univ Colorado, Ctr Limnol, Cooperat Inst Res Environm Sci, Boulder, CO 80309 USA; UNELLEZ, Bioctr, Guanare 3310, Portuguesa, Venezuela</t>
  </si>
  <si>
    <t>University of Quebec; University of Quebec Trois Rivieres; Texas A&amp;M University System; Texas A&amp;M University College Station; University of Colorado System; University of Colorado Boulder</t>
  </si>
  <si>
    <t>Rodríguez, MA (corresponding author), Univ Quebec, Dept Chim Biol, 3351 Boul Forges, Trois Rivieres, PQ G9A 5H7, Canada.</t>
  </si>
  <si>
    <t>marco.rodriguez@uqtr.ca</t>
  </si>
  <si>
    <t>Roiguez, Marco A/J-6492-2012; Rodríguez, Marco/J-6492-2012</t>
  </si>
  <si>
    <t>Roiguez, Marco A/0000-0003-0391-9170; Winemiller, Kirk/0000-0003-0236-5129</t>
  </si>
  <si>
    <t>325 CHESTNUT ST, SUITE 800, PHILADELPHIA, PA 19106 USA</t>
  </si>
  <si>
    <t>1463-4988</t>
  </si>
  <si>
    <t>AQUAT ECOSYST HEALTH</t>
  </si>
  <si>
    <t>Aquat. Ecosyst. Health Manag.</t>
  </si>
  <si>
    <t>10.1080/14634980701350686</t>
  </si>
  <si>
    <t>Ecology; Environmental Sciences; Marine &amp; Freshwater Biology; Water Resources</t>
  </si>
  <si>
    <t>187SY</t>
  </si>
  <si>
    <t>WOS:000247870000003</t>
  </si>
  <si>
    <t>Lei, XD; Lu, YC; Peng, CH; Zhang, XP; Chang, J; Hong, LX</t>
  </si>
  <si>
    <t>Lei, Xiangdong; Lu, Yuanchang; Peng, Changhui; Zhang, Xiaopeng; Chang, Jie; Hong, Lingxia</t>
  </si>
  <si>
    <t>Growth and structure development of semi-natural larch-spruce-fir (Larix olgensis-Picea jezoensis-Abies nephrolepis) forests in northeast China:: 12-year results after thinning</t>
  </si>
  <si>
    <t>thinning; semi-natural larch plantation; growth; stand structure; stand development</t>
  </si>
  <si>
    <t>TREE SPATIAL-PATTERNS; LONG-TERM CHANGES; STAND STRUCTURE; SIZE DIVERSITY; STEM FORM; INTENSITY; YIELD; PLANT; FERTILIZATION; REGENERATION</t>
  </si>
  <si>
    <t>Analyzing and understanding the structure and growth dynamics of semi-natural plantations is useful for their management. Since 1987, 16 plots with 4 treatments (CT: control; LT: light thinning; MT: medium thinning; and HT: heavy thinning) by 0, 20, 30 and 40% of basal area removal, respectively, and four replications were established in semi-natural larch-spruce-fir forests in northeast China. The structure and growth dynamics of semi-natural larch-spruce-fir stands and the effects of thinning on the growth, structure and diversity were examined. A mixed model repeated measures analysis of variance (RMANOVA) was used to test the effects of treatment and time. Results showed that differences in periodic annual increment (PAI) of stand basal area and volume and the individual diameter and volume among treatments changed over time in a complex statistical interaction. Thinning, however, had a significant effect on growth at tree and stand levels 12 years after thinning while the PAI of the diameter, basal area and volume was positively correlated with thinning intensity. No significant differences were found in the total stand yield among treatments. Composition of tree species group (larch, other conifers and deciduous trees) during monitoring years did not change significantly. Moreover, no significant differences were observed in tree species and size diversity among treatments in the years following thinning. Both thinning and control plots had similar understory plant diversity after the 12 year period. Univariate point pattern analysis revealed that clumped and random distributions were dominant for tree species groups in this study. The current species composition and regeneration dynamics within these semi-natural plantations suggested a development towards mixed coniferous and broad-leaved forests. Management implications for the transformation from larch plantations towards mixed broad-leaved Korean forests with a more diverse structure. the climax vegetation in this region, were discussed. (c) 2006 Elsevier B.V. All fights reserved.</t>
  </si>
  <si>
    <t>Chinese Acad Forestry, Inst Forest Resource Informat Tech, Beijing 100091, Peoples R China; Univ Quebec, Inst Environm Sci, Montreal, PQ H3C 3P8, Canada; Chinese Acad Sci, Inst Automat, Beijing 100080, Peoples R China; Zhejiang Univ, Coll Life Sci, Hangzhou 310012, Peoples R China</t>
  </si>
  <si>
    <t>Chinese Academy of Forestry; Research Institute of Forest Resources Information Technique, CAF; University of Quebec; University of Quebec Montreal; Chinese Academy of Sciences; Institute of Automation, CAS; Zhejiang University</t>
  </si>
  <si>
    <t>Lei, XD (corresponding author), Chinese Acad Forestry, Inst Forest Resource Informat Tech, Beijing 100091, Peoples R China.</t>
  </si>
  <si>
    <t>xdlei@caf.ac.cn</t>
  </si>
  <si>
    <t>Peng, Changhui/JQJ-4339-2023</t>
  </si>
  <si>
    <t>MAR 15</t>
  </si>
  <si>
    <t>1-3</t>
  </si>
  <si>
    <t>10.1016/j.foreco.2006.12.019</t>
  </si>
  <si>
    <t>144KT</t>
  </si>
  <si>
    <t>WOS:000244795600017</t>
  </si>
  <si>
    <t>Daufresne, M; Bady, P; Fruget, JF</t>
  </si>
  <si>
    <t>Daufresne, Martin; Bady, Pierre; Fruget, Jean-Francois</t>
  </si>
  <si>
    <t>Impacts of global changes and extreme hydroclimatic events on macroinvertebrate community structures in the French Rhone River</t>
  </si>
  <si>
    <t>climate change; disturbances; heatwave; regime shift; ordination techniques</t>
  </si>
  <si>
    <t>ACUTE TOXICITY; CLIMATE-CHANGE; CORAL-REEFS; DISTURBANCE; FISH; AMMONIA; DIVERSITY; RECOVERY; SHIFTS; INVERTEBRATE</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</si>
  <si>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</si>
  <si>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GEOMAR, IFM, Leibniz Inst Meereswissensch, FB3, D-24105 Kiel, Germany; Univ Lyon 1, CNRS, UMR 5023, F-69622 Villeurbanne, France; ARALEP, Ecole Eaux Douces, Domaine Sci Doua, F-69603 Villeurbanne, France</t>
  </si>
  <si>
    <t>Helmholtz Association; GEOMAR Helmholtz Center for Ocean Research Kiel; Centre National de la Recherche Scientifique (CNRS); Universite Claude Bernard Lyon 1; CNRS - Institute of Ecology &amp; Environment (INEE)</t>
  </si>
  <si>
    <t>Daufresne, M (corresponding author), GEOMAR, IFM, Leibniz Inst Meereswissensch, FB3, Dusternbrooker Weg 20, D-24105 Kiel, Germany.</t>
  </si>
  <si>
    <t>mdaufresne@ifm-geomar.de</t>
  </si>
  <si>
    <t>Daufresne, Martin/JGE-5174-2023; Bady, Pierre/N-1231-2015</t>
  </si>
  <si>
    <t>DAUFRESNE, MARTIN/0009-0004-4604-4903; Bady, Pierre/0000-0003-1398-4689</t>
  </si>
  <si>
    <t>10.1007/s00442-006-0655-1</t>
  </si>
  <si>
    <t>143AP</t>
  </si>
  <si>
    <t>WOS:000244692700016</t>
  </si>
  <si>
    <t>Reyna-Hurtado, R; Tanner, GW</t>
  </si>
  <si>
    <t>Reyna-Hurtado, Rafael; Tanner, George W.</t>
  </si>
  <si>
    <t>Ungulate relative abundance in hunted and non-hunted sites in Calakmul Forest (Southern Mexico)</t>
  </si>
  <si>
    <t>brocket deer; Calakmul; collared peccary; hunting; relative abundance; tapir; transects; ungulate; white-lipped peccary; white-tailed deer</t>
  </si>
  <si>
    <t>TAYASSU PECARI; PECCARIES</t>
  </si>
  <si>
    <t>The relative abundance of an ungulate community in hunted and non-hunted areas was studied in Calakmul, a tropical forest in southern Mexico that includes a 723,815 ha Biosphere Reserve where no hunting is allowed and communal lands where hunting activity does take place. Tapir, white-lipped peccary (WLP), collared peccary, two species of brocket deer and white-tailed deer were the focal species. Relative abundance of ungulates was obtained by counting tracks along transects in three hunted sites and in the southern core area of the Calakmul Biosphere Reserve, a enforced part of the protected area of 350,000 ha where no hunting has been-permitted since 1989. A total of 1708 ungulates tracks were obtained along 206.1 km (n = 90 transects) divided among the four sites. Relative abundance of the species was estimated from the track encounter rate (TER) calculated as the number of tracks per species encountered per km of transect. No significant differences in brocket deer and collared peccary TER was found among hunted and non-hunted areas. TER for WLP was significant higher in the non-hunted area, while TER for white-tailed deer and tapir was significant higher in hunted sites. Hunting activity affected the ungulate species in Calakmul differently. Brocket deer, white-tailed deer and collared peccary are more resistant species toward the hunting pressure than the WLP, who needs an immediate protection plan throughout Calakmul. Hunting areas are important habitat refuges for tapir populations and they should be protected in these areas.</t>
  </si>
  <si>
    <t>Univ Florida, Dept Wildlife Ecol &amp; Conservat, Gainesville, FL 32611 USA</t>
  </si>
  <si>
    <t>State University System of Florida; University of Florida</t>
  </si>
  <si>
    <t>Reyna-Hurtado, R (corresponding author), Univ Florida, Dept Wildlife Ecol &amp; Conservat, 110 Newins Ziegler Hall,POB 110430, Gainesville, FL 32611 USA.</t>
  </si>
  <si>
    <t>rafaelrh@ufl.edu</t>
  </si>
  <si>
    <t>Reyna-Hurtado, Rafael/B-6223-2015; Reyna-Hurtado, Rafael/M-7204-2019</t>
  </si>
  <si>
    <t>Reyna-Hurtado, Rafael/0000-0003-4382-642X;</t>
  </si>
  <si>
    <t>10.1007/s10531-005-6198-7</t>
  </si>
  <si>
    <t>142XN</t>
  </si>
  <si>
    <t>WOS:000244684700011</t>
  </si>
  <si>
    <t>David, V; Sautour, B; Chardy, P</t>
  </si>
  <si>
    <t>David, Valerie; Sautour, Benoit; Chardy, Pierre</t>
  </si>
  <si>
    <t>Successful colonization of the calanoid copepod Acartia tonsa in the oligo-mesohaline area of the Gironde estuary (SW France) -: Natural or anthropogenic forcing?</t>
  </si>
  <si>
    <t>Acartia tonsa; non-indigenous species; successful establishment; long-term trends; environmental parameters; NAO</t>
  </si>
  <si>
    <t>NORTH-ATLANTIC OSCILLATION; EGG-PRODUCTION; NARRAGANSETT BAY; ENGLISH-CHANNEL; ZOOPLANKTON; TEMPERATURE; MARINE; PHYTOPLANKTON; VARIABILITY; ENVIRONMENT</t>
  </si>
  <si>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</si>
  <si>
    <t>Univ Bordeaux 1, UMR 5805, CNRS, Lab Oceanog Biol, F-33120 Arcachon, France</t>
  </si>
  <si>
    <t>Universite de Bordeaux; Centre National de la Recherche Scientifique (CNRS); CNRS - National Institute for Earth Sciences &amp; Astronomy (INSU)</t>
  </si>
  <si>
    <t>David, V (corresponding author), Univ Bordeaux 1, UMR 5805, CNRS, Lab Oceanog Biol, 2 Rue Professeur Jolyet, F-33120 Arcachon, France.</t>
  </si>
  <si>
    <t>v.david@epoc.u-bordeaux1.fr; b.sautour@epoc.u-bordeaux1.fr; p.chardy@epoc.u-bordeaux1.fr</t>
  </si>
  <si>
    <t>David, Valerie/A-8770-2017</t>
  </si>
  <si>
    <t>David, Valerie/0000-0001-6950-9604</t>
  </si>
  <si>
    <t>10.1016/j.ecss.2006.08.018</t>
  </si>
  <si>
    <t>135TT</t>
  </si>
  <si>
    <t>WOS:000244177300008</t>
  </si>
  <si>
    <t>Allen, JI; Clarke, KR</t>
  </si>
  <si>
    <t>Allen, J. I.; Clarke, K. R.</t>
  </si>
  <si>
    <t>Effects of demersal trawling on ecosystem functioning in the North Sea: a modelling study</t>
  </si>
  <si>
    <t>ERSEM; ecosystem; change; benthic-pelagic coupling; trawling impact; ensemble models; nutrient cycling; disturbance experiments</t>
  </si>
  <si>
    <t>DISTURBANCE; DYNAMICS; IMPACTS; FLUXES; FISH</t>
  </si>
  <si>
    <t>Demersal trawling causes chronic and widespread disturbance to the seabed in shallow shelf seas potentially leading to changes in function and trophic structure of benthic communities and with important implications for the processing of primary production and the wider functioning of the marine ecosystem. We used a coupled physical-ecological model (the European Regional Seas Ecosystem Model (ERSEM) with the General Ocean Turbulence Model (GOTM)) to investigate the impact of demersal trawling on the benthic and pelagic ecosystems of generic stratified and unstratified water columns in the central North Sea. Perturbation experiments were used to simulate trawling events using estimates of mortality of benthic fauna caused by different fishing gears in different habitats, derived from a meta-analysis of over 100 trawling disturbance experiments reported in the literature. The results suggest that the biogeochemical impact of demersal trawling is most significant in regions where gear type, trawl frequency and bed type cause high levels of filter feeder mortality. This results in substantially increased oxygen content of the benthic system and significant changes in its biogeochemistry (increased phosphorus absorption, increased nitrification of ammonia, reduced silicate cycling). The impacts of these changes on the overlying pelagic ecosystem are, however, buffered by the physical environment and the ability of phytoplankton to vary their internal cell nutrient contents. Analysis of recovery of the benthic system on complete cessation of demersal trawling suggests that the system will return to its original state within 5 yr, except in extreme cases where the deposit or filter feeder function is effectively removed, when a permanent change in the function of the benthic ecosystem may result.</t>
  </si>
  <si>
    <t>Plymouth Marine Lab, Plymouth PL1 3DH, Devon, England</t>
  </si>
  <si>
    <t>Plymouth Marine Laboratory</t>
  </si>
  <si>
    <t>Allen, JI (corresponding author), Plymouth Marine Lab, Prospect Pl, Plymouth PL1 3DH, Devon, England.</t>
  </si>
  <si>
    <t>jia@pml.ac.uk</t>
  </si>
  <si>
    <t>Clarke, K/A-5934-2012</t>
  </si>
  <si>
    <t>10.3354/meps336063</t>
  </si>
  <si>
    <t>174ZB</t>
  </si>
  <si>
    <t>WOS:000246980400005</t>
  </si>
  <si>
    <t>Boncina, A; Kadunc, A; Robic, D</t>
  </si>
  <si>
    <t>Boncina, Andrej; Kadunc, Ales; Robic, Dusan</t>
  </si>
  <si>
    <t>Effects of selective thinning on growth and development of beech (Fagus sylvatica L.) forest stands in south-eastern Slovenia</t>
  </si>
  <si>
    <t>thinning; Fagus sylvatica; basal area increment; crop tree; stand structure; distribution</t>
  </si>
  <si>
    <t>DIAMETER GROWTH; DOMINANT; HEIGHT; KARST.; TREES; PINE</t>
  </si>
  <si>
    <t>We studied the effects of two types of selective thinning on beech stands formed by a shelterwood cut in 1910-with lower number of crop trees and higher thinning intensity (T1) and higher number of crop trees with lower thinning intensity (T2). The stands were thinned in 1980, 1991 and 2001. Despite a lower stand density after thinning, the annual basal area increments of thinned stands in both thinning periods (1980-1991 and 1991-2002) were around 20% higher compared to those of the control (unthinned) stands. The mean annual basal area increment of dominant trees was 30-56% larger in the thinned plots compared to the control plots. Of 176 initial crop trees in the T1, 72% were chosen again during the last thinning. In the T2, 258 crop trees were chosen in the first thinning, and only 62% of these trees were chosen again during the last thinning. Only crown suppression and diameter classes of crop trees significantly influenced their basal area increment when diameter classes, crown size, crown suppression, and social status were tested. In the thinned stands, the dominant trees are more uniformly distributed if compared to the dominant trees in the control plots. Finally, the herbaceous cover and the species diversity were higher in the thinned plots.</t>
  </si>
  <si>
    <t>Univ Ljubljana, Biotech Fac, Dept Forestry &amp; Renewable Forest Resources, Ljubljana 1000, Slovenia</t>
  </si>
  <si>
    <t>Boncina, A (corresponding author), Univ Ljubljana, Biotech Fac, Dept Forestry &amp; Renewable Forest Resources, Vecna Pot 83, Ljubljana 1000, Slovenia.</t>
  </si>
  <si>
    <t>andrej.boncina@bf.uni-lj.si</t>
  </si>
  <si>
    <t>JAN-FEB</t>
  </si>
  <si>
    <t>10.1051/forest:2006087</t>
  </si>
  <si>
    <t>126OC</t>
  </si>
  <si>
    <t>WOS:000243521300006</t>
  </si>
  <si>
    <t>Clough, Y; Kruess, A; Tscharntke, T</t>
  </si>
  <si>
    <t>Clough, Yann; Kruess, Andreas; Tscharntke, Teja</t>
  </si>
  <si>
    <t>Organic versus conventional arable farming systems: Functional grouping helps understand staphylinid response</t>
  </si>
  <si>
    <t>staphylinidae; functional diversity; landscape context; detritivores; predators</t>
  </si>
  <si>
    <t>SPECIES RICHNESS; PREDATORY COLEOPTERA; LANDSCAPE CONTEXT; BIODIVERSITY; DIVERSITY; ABUNDANCE; CEREAL; ARTHROPODS; MANAGEMENT; FIELD</t>
  </si>
  <si>
    <t>The response of different feeding groups of staphylinid beetles to organic management, distance to perennial boundary and landscape context was studied in 42 paired organic and conventional winter wheat fields. Management effects were found to strongly depend on feeding group. While the activity-density of predators was higher in the conventional fields, both activity-density and species richness of detritivores were higher in the organic fields. Activity-density and species richness of detritivores were positively correlated to crop yield in the conventional but not in the organic fields. Unexpectedly, species richness as high as in the less productive organic fields was thus found in intensified conventional systems. No significant effects of landscape context could be found on activity-density or species richness of the different feeding groups. More species were caught near the field edge than in the middle, showing the importance of spill-over from field boundaries into arable crops for diversity. In conclusion, separation of species into feeding groups revealed patterns that have not been shown before. Decomposer diversity (but not that of predators and fungivores) was higher in organic fields, but reached similar levels in high-yielding conventional fields. Thus resource quality (purely organic or organic/synthetic fertiliser) and quantity appear to play a major role for this functional group. (c) 2006 Elsevier B.V. All rights reserved.</t>
  </si>
  <si>
    <t>Univ Gottingen, Dept Agroecol, D-37073 Gottingen, Germany</t>
  </si>
  <si>
    <t>Clough, Y (corresponding author), Univ Gottingen, Dept Agroecol, Waldweg 26, D-37073 Gottingen, Germany.</t>
  </si>
  <si>
    <t>yclough@gwdg.de</t>
  </si>
  <si>
    <t>Clough, Yann/B-9739-2014; Tscharntke, Teja/N-5123-2014</t>
  </si>
  <si>
    <t>Clough, Yann/0000-0002-2901-7602; Tscharntke, Teja/0000-0002-4482-3178</t>
  </si>
  <si>
    <t>10.1016/j.agee.2006.05.028</t>
  </si>
  <si>
    <t>127TS</t>
  </si>
  <si>
    <t>WOS:000243609800029</t>
  </si>
  <si>
    <t>Mollet, FM; Kraak, SBM; Rijnsdorp, AD</t>
  </si>
  <si>
    <t>Mollet, Fabian M.; Kraak, Sarah B. M.; Rijnsdorp, Adriaan D.</t>
  </si>
  <si>
    <t>Fisheries-induced evolutionary changes in maturation reaction norms in North Sea sole Solea solea</t>
  </si>
  <si>
    <t>life history evolution; probabilistic maturation reaction norm; phenotypic plasticity; growth; condition</t>
  </si>
  <si>
    <t>PLEURONECTES-PLATESSA L; LIFE-HISTORY EVOLUTION; LONG-TERM CHANGES; COD GADUS-MORHUA; CORAL-REEF FISH; PHENOTYPIC PLASTICITY; NATURAL-POPULATIONS; SOCIAL INHIBITION; SEXUAL-MATURITY; EGG SIZE</t>
  </si>
  <si>
    <t>Age and size at maturation decreased in several commercially exploited fish stocks, which, according to life history theory, may be due to fisheries-induced evolutionary change. However, the observed changes may also represent a plastic response to environmental variability. To disentangle phenotypic plasticity from evolutionary change, the probabilistic reaction norm approach was applied to 43 cohorts (1960 to 2002) of female sole Solea solea from market samples. The reaction norm for age and size at first maturation has significantly shifted towards younger age and smaller size. Size at 50% probability of maturation at Age 3 decreased from 28.6 cm (251 g) to 24.6 cm (128 g). This change was even stronger when condition was included as a third dimension in the reaction norm estimation. The influence of alternative factors was tested on the population level by regression of reaction norm midpoints on annual estimates of condition, temperature and competitive biomass. Although effects of temperature and competitive biomass were significant, the variation in the midpoints was best explained by the decreasing time trend. Therefore, the results provide strong evidence for a fisheries -induced evolutionary change in the onset of sexual maturity.</t>
  </si>
  <si>
    <t>[Mollet, Fabian M.; Kraak, Sarah B. M.; Rijnsdorp, Adriaan D.] Wageningen Inst Marine Resources &amp; Ecol Studies, NL-1970 AB Ijmuiden, Netherlands</t>
  </si>
  <si>
    <t>Wageningen University &amp; Research</t>
  </si>
  <si>
    <t>Mollet, FM (corresponding author), Wageningen Inst Marine Resources &amp; Ecol Studies, POB 68, NL-1970 AB Ijmuiden, Netherlands.</t>
  </si>
  <si>
    <t>fabian.mollet@wur.nl</t>
  </si>
  <si>
    <t>Kraak, Sarah/O-6671-2019; Rijnsdorp, Adriaan/A-4217-2008</t>
  </si>
  <si>
    <t>Kraak, Sarah/0000-0002-1937-2555; Rijnsdorp, Aiaan D/0000-0003-0785-9662</t>
  </si>
  <si>
    <t>10.3354/meps07138</t>
  </si>
  <si>
    <t>247FV</t>
  </si>
  <si>
    <t>WOS:000252064100016</t>
  </si>
  <si>
    <t>Munodawafa, A</t>
  </si>
  <si>
    <t>Munodawafa, Adelaide</t>
  </si>
  <si>
    <t>Assessing nutrient losses with soil erosion under different tillage systems and their implications on water quality</t>
  </si>
  <si>
    <t>PHYSICS AND CHEMISTRY OF THE EARTH</t>
  </si>
  <si>
    <t>7th WaterNet/Warfsa/GWP SA Symposium</t>
  </si>
  <si>
    <t>NOV 01-03, 2006</t>
  </si>
  <si>
    <t>Lilongwe, SOUTH AFRICA</t>
  </si>
  <si>
    <t>nutrient losses; soil erosion; tillage; water quality</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</si>
  <si>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t>
  </si>
  <si>
    <t>Midlands State Univ, Dept Land &amp; Water Resources Management, Gweru, Zimbabwe</t>
  </si>
  <si>
    <t>Munodawafa, A (corresponding author), Midlands State Univ, Dept Land &amp; Water Resources Management, POB 9055, Gweru, Zimbabwe.</t>
  </si>
  <si>
    <t>amunodafa@yahoo.com</t>
  </si>
  <si>
    <t>1474-7065</t>
  </si>
  <si>
    <t>1873-5193</t>
  </si>
  <si>
    <t>PHYS CHEM EARTH</t>
  </si>
  <si>
    <t>Phys. Chem. Earth</t>
  </si>
  <si>
    <t>15-18</t>
  </si>
  <si>
    <t>10.1016/j.pce.2007.07.033</t>
  </si>
  <si>
    <t>Geosciences, Multidisciplinary; Meteorology &amp; Atmospheric Sciences; Water Resources</t>
  </si>
  <si>
    <t>Geology; Meteorology &amp; Atmospheric Sciences; Water Resources</t>
  </si>
  <si>
    <t>220LZ</t>
  </si>
  <si>
    <t>WOS:000250159500021</t>
  </si>
  <si>
    <t>Normand, S; Svenning, JC; Skov, F</t>
  </si>
  <si>
    <t>Normand, Signe; Svenning, Jens-Christian; Skov, Flemming</t>
  </si>
  <si>
    <t>National and European perspectives on climate change sensitivity of the habitats directive characteristic plant species</t>
  </si>
  <si>
    <t>JOURNAL FOR NATURE CONSERVATION</t>
  </si>
  <si>
    <t>bioclimatic envelope modelling; conservation; global warming; vegetation impact</t>
  </si>
  <si>
    <t>MIGRATION RATES; DISTRIBUTIONS; CONSERVATION; BIODIVERSITY; IMPACTS; MODELS; RANGE; FRAGMENTATION; LANDSCAPE; SCENARIOS</t>
  </si>
  <si>
    <t>The main goat of the Habitats Directive, a key document for European conservation, is to maintain a 'favourable' conservation status of selected species and habitats. In the face of near-future climatic change this goat may become difficult to achieve. Here, we evaluate the sensitivity to climate change of 84 plant species that characterise the Danish habitat types included in the Habitats Directive. A fuzzy bioctimatic envelope model, linking European and Northwest African species' distribution data with climate, was used to predict climatically suitable areas for these species in year 2100 under two-climate change scenarios. Climate sensitivity was evaluated at both Danish and European scales to provide an explicit European perspective on the impacts predicted for Denmark. In all 69-99% of the species were predicted to become negatively affected by climate change at either scale. Application of international Red List criteria showed that 43-55% and 17-69% would become vulnerable in Denmark and Europe, respectively. Northwest African atlas data were used to improve the ecological accuracy of the future predictions. For comparison, using only European data added 0-7% to these numbers. No species were predicted to become extinct in Europe, but 4-7% could be lost from Denmark. Some species were predicted to become positively affected in Denmark, but negatively affected in Europe. In addition to nationally endangered species, this group would be an important focus for a Danish conservation strategy. A geographically differentiated Danish conservation strategy is suggested as the eastern part of Denmark was predicted to be more negatively affected than the western part. No differences in the sensitivity of the Habitats Directive habitats were found. We conclude that the conservation strategy of the Habitats Directive needs to integrate the expected shifts in species' distributions due to climate change. (c) 2006 Elsevier GmbH. All rights reserved.</t>
  </si>
  <si>
    <t>Univ Aarhus, Dept Biol Sci, DK-8000 Aarhus C, Denmark; Natl Environm Res Inst Denmark, Dept Wildlife Ecol &amp; Biodivers, DK-8410 Ronde, Denmark</t>
  </si>
  <si>
    <t>Aarhus University; Aarhus University; Danish National Environmental Research Institute</t>
  </si>
  <si>
    <t>Normand, S (corresponding author), Univ Aarhus, Dept Biol Sci, Ny Munkegade,Bygn 1540 Univ Sparken, DK-8000 Aarhus C, Denmark.</t>
  </si>
  <si>
    <t>Signe.Normand@biology.au.dk; svenning@biology.au.dk; fs@dmu.dk</t>
  </si>
  <si>
    <t>Skov, Flemming/I-2665-2013; Normand, Signe/A-1561-2012; Svenning, Jens-Christian/C-8977-2012</t>
  </si>
  <si>
    <t>Skov, Flemming/0000-0002-9490-8663; Normand, Signe/0000-0002-8782-4154;</t>
  </si>
  <si>
    <t>1617-1381</t>
  </si>
  <si>
    <t>1618-1093</t>
  </si>
  <si>
    <t>J NAT CONSERV</t>
  </si>
  <si>
    <t>J. Nat. Conserv.</t>
  </si>
  <si>
    <t>10.1016/j.jnc.2006.09.001</t>
  </si>
  <si>
    <t>149BT</t>
  </si>
  <si>
    <t>WOS:000245122300004</t>
  </si>
  <si>
    <t>Church, JA; White, NJ; Hunter, JR</t>
  </si>
  <si>
    <t>Church, John A.; White, Neil J.; Hunter, John R.</t>
  </si>
  <si>
    <t>Sea-level rise at tropical Pacific and Indian Ocean islands</t>
  </si>
  <si>
    <t>sea-level changes; climate change; Indian Ocean; Pacific Ocean</t>
  </si>
  <si>
    <t>SURFACE TEMPERATURE; TIDE GAUGES; FUTURE; PERSPECTIVES; VARIABILITY; MALDIVES; HAWAII</t>
  </si>
  <si>
    <t>Historical and projected sea-levels for islands in the tropical Pacific and Indian oceans are a subject of considerable interest and some controversy. The large variability (e.g. El Nino) signals and the shortness of many of the individual tide-gauge records contribute to uncertainty of historical rates of sea-level rise. Here, we determine rates of sea-level rise from tide gauges in the region. We also examine sea-level data from the TOPEX/Poseidon satellite altimeter and from a reconstruction of sea level in order to put the sparse (in space and time) tide-gauge data into context. For 1993 to 2001, all the data show large rates of sea-level rise over the western Pacific and eastern Indian Ocean (approaching 30 mm yr(-1)) and sea-level falls in the eastern Pacific and western Indian Ocean (approaching - 10 mm yr(-1)). Over the region 40 degrees S to 40 degrees N, 30 degrees E to 120 degrees W, the average rise is about 4 mm yr(-1). For 1950 to 2001, the average sea-level rise (relative to land) from the six longest tide-gauge records is 1.4 mm yr(-1). After correcting for glacial isostatic adjustment and atmospheric pressure effects, this rate is 2.0 min yr(-1), close to estimates of the global average and regional average rate of rise. The long tide-gauge records in the equatorial Pacific indicate that the variance of monthly averaged sea-level after 1970 is about twice that before 1970. We find no evidence for,the fall in sea level at the Maldives as postulated by Morner et al. (2004). Our best estimate of relative sea-level rise at Funafuti, Tuvalu is 2 +/- 1 min yr(-1) over the period 1950 to 2001. The analysis clearly indicates that sea-level in this region is rising. We expect that the continued and increasing rate of sea-level rise and any resulting increase in the frequency or intensity of extreme sea-level events will cause serious problems for the inhabitants of some of these islands during the 21st century. (C) 2006 Elsevier B.V. All rights reserved.</t>
  </si>
  <si>
    <t>CSIRO Marine &amp; Atmospher Res, Hobart, Tas 7001, Australia; Antarctic Climate &amp; Ecosyst Cooperat Res Ctr, Hobart, Tas 7001, Australia</t>
  </si>
  <si>
    <t>Commonwealth Scientific &amp; Industrial Research Organisation (CSIRO); Antarctic Climate &amp; Ecosystems Cooperative Research Centre (ACE CRC)</t>
  </si>
  <si>
    <t>Church, JA (corresponding author), CSIRO Marine &amp; Atmospher Res, GPO Box 1538, Hobart, Tas 7001, Australia.</t>
  </si>
  <si>
    <t>Church, John/A-1541-2012; White, Neil/B-2077-2013</t>
  </si>
  <si>
    <t>Church, John/0000-0002-7037-8194;</t>
  </si>
  <si>
    <t>10.1016/j.gloplacha.2006.04.001</t>
  </si>
  <si>
    <t>087LD</t>
  </si>
  <si>
    <t>WOS:000240743000001</t>
  </si>
  <si>
    <t>Haberle, SG; Tibby, J; Dimitriadis, S; Heijnis, H</t>
  </si>
  <si>
    <t>Haberle, Simon G.; Tibby, John; Dimitriadis, Sophia; Heijnis, Henk</t>
  </si>
  <si>
    <t>The impact of European occupation on terrestrial and aquatic ecosystem dynamics in an Australian tropical rain forest</t>
  </si>
  <si>
    <t>alternate states; Atherton Tableland; Australia; charcoal; chironomids; diatoms; disturbance; historic range of variability; pollen; tropical rain forest</t>
  </si>
  <si>
    <t>WET TROPICS; POLLEN DIAGRAM; SEDIMENT ACCUMULATION; NORTHEAST QUEENSLAND; DIATOM ASSEMBLAGES; VEGETATION CHANGE; NATIONAL-PARK; LAKE BARRINE; FIRE; VARIABILITY</t>
  </si>
  <si>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</si>
  <si>
    <t>Australian Natl Univ, Res Sch Pacific &amp; Asian Studies, Resource Management Asia Pacific Program, Canberra, ACT 0200, Australia; Univ Adelaide, Adelaide, SA 5005, Australia; Australian Natl Univ, Sch Bot &amp; Zool, Canberra, ACT 0200, Australia; Australian Nucl Sci &amp; Technol Org, Menai, NSW 2234, Australia</t>
  </si>
  <si>
    <t>Australian National University; Adelaide University; University of Adelaide; Australian National University; Australian Nuclear Science &amp; Technology Organisation</t>
  </si>
  <si>
    <t>Haberle, SG (corresponding author), Australian Natl Univ, Res Sch Pacific &amp; Asian Studies, Resource Management Asia Pacific Program, Canberra, ACT 0200, Australia.</t>
  </si>
  <si>
    <t>simon.haberle@anu.edu.au</t>
  </si>
  <si>
    <t>; Heijnis, Hendrik/A-6673-2010; Haberle, Simon/MZQ-3551-2025</t>
  </si>
  <si>
    <t>Heijnis, Henik/0000-0002-7601-3452; Haberle, Simon/0000-0001-5802-6535; Tibby, John/0000-0002-5897-2932;</t>
  </si>
  <si>
    <t>10.1111/j.1365-2745.2006.01140.x</t>
  </si>
  <si>
    <t>070GY</t>
  </si>
  <si>
    <t>WOS:000239510400011</t>
  </si>
  <si>
    <t>Midgley, GF; Hughes, GO; Thuiller, W; Rebelo, AG</t>
  </si>
  <si>
    <t>Midgley, G. F.; Hughes, G. O.; Thuiller, W.; Rebelo, A. G.</t>
  </si>
  <si>
    <t>Migration rate limitations on climate change-induced range shifts in Cape Proteaceae</t>
  </si>
  <si>
    <t>bioclimatic models; conservation; dispersal; extinction; fynbos; GAM; global change</t>
  </si>
  <si>
    <t>SPECIES DISTRIBUTIONS; PLANT MIGRATION; SEED DISPERSAL; CHANGE IMPACTS; MODELS; FRAGMENTATION; UNCERTAINTY; DIVERSITY; WIND; RISK</t>
  </si>
  <si>
    <t>Modelling of climate change-induced species range shifts has generally addressed migration limitations inadequately, often assuming 'null' migration or instantaneous 'full' migration extremes. We describe methods for incorporating simple migration rate assumptions into multispecies modelling, using the Proteaceae of the Cape Floristic Region. Even with optimistic migration assumptions, range loss projections more closely approximate null migration than full migration assumptions. Full migration results were positively skewed by few species with large range increases, an overestimate eliminated by dispersal-limited migration rate assumptions. Wind- and ant/rodent-dispersed species responded differently to climate change. Initially larger ranges of wind-dispersed species were more strongly reduced by climate change, despite far greater assumed dispersal distances - we suggest that these well-dispersed species populate more marginal areas of potential range, causing lower resilience to climatic changes at range margins. Overall, range loss rate slowed with advancing climate change, possibly because species ranges contracted into core areas most resilient to climate change. Thus, a consideration of simple dynamics of range change (rather than single step, present-future comparisons of range) provide new insights relevant for conservation strategies, in particular, and for guiding monitoring efforts to detect and gauge the impacts of climate change on natural populations.</t>
  </si>
  <si>
    <t>S African Natl Biodivers Inst, Climate Change Res Grp, ZA-7735 Cape Town, South Africa; Conservat Int, Ctr Appl Biodivers Sci, Washington, DC 20036 USA; Univ Cape Town, Dept Bot, ZA-7700 Rondebosch, South Africa; Univ Grenoble 1, CNRS, Lab Ecol Alpine, F-38041 Grenoble 9, France; S African Natl Biodivers Inst, Protea Atlas Project, ZA-7735 Cape Town, South Africa</t>
  </si>
  <si>
    <t>South African National Biodiversity Institute; Conservation International; University of Cape Town; Communaute Universite Grenoble Alpes; Universite Grenoble Alpes (UGA); Centre National de la Recherche Scientifique (CNRS); Universite Savoie Mont Blanc; South African National Biodiversity Institute</t>
  </si>
  <si>
    <t>Midgley, GF (corresponding author), S African Natl Biodivers Inst, Climate Change Res Grp, P Bag X7, ZA-7735 Cape Town, South Africa.</t>
  </si>
  <si>
    <t>midgley@sanbi.org</t>
  </si>
  <si>
    <t>Midgley, Guy/H-3585-2014; Thuiller, Wilfried/G-3283-2010</t>
  </si>
  <si>
    <t>Midgley, Guy/0000-0001-8264-0869;</t>
  </si>
  <si>
    <t>10.1111/j.1366-9516.2006.00273.x</t>
  </si>
  <si>
    <t>074FN</t>
  </si>
  <si>
    <t>WOS:000239798200010</t>
  </si>
  <si>
    <t>Ohlemüller, R; Gritti, ES; Sykes, MT; Thomas, CD</t>
  </si>
  <si>
    <t>Ohlemuller, Ralf; Gritti, Emmanuel S.; Sykes, Martin T.; Thomas, Chris D.</t>
  </si>
  <si>
    <t>Quantifying components of risk for European woody species under climate change</t>
  </si>
  <si>
    <t>dispersal; distance; distribution; distribution modelling; extinction risk; forests; migration; range shifts</t>
  </si>
  <si>
    <t>EXTINCTION RISK; HIGHER-PLANTS; RANGE; DISTRIBUTIONS; RESPONSES; DISPERSAL; DIVERSITY; ACCURACY; DYNAMICS; IMPACTS</t>
  </si>
  <si>
    <t>Estimates of species extinction risk under climate change are generally based on differences in present and future climatically suitable areas. However, the locations of potentially suitable future environments (affecting establishment success), and the degree of climatic suitability in already occupied and new locations (affecting population viability) may be equally important determinants of risk. A species considered to be at low risk because its future distribution is predicted to be large, may actually be at high risk if these areas are out of reach, given the species' dispersal and migration rates or if all future suitable locations are only marginally suitable and the species is unlikely to build viable populations in competition with other species. Using bioclimatic models of 17 representative European woody species, we expand on current ways of risk assessment and suggest additional measures based on (a) the distance between presently occupied areas and areas predicted to be climatically suitable in the future and (b) the degree of change in climatic suitability in presently occupied and unoccupied locations. Species of boreal and temperate deciduous forests are predicted to face higher risk from loss of climatically suitable area than species from warmer and drier parts of Europe by 2095 using both the moderate B1 and the severe A1FI emission scenario. However, the average distance from currently occupied locations to areas predicted suitable in the future is generally shorter for boreal species than for southern species. Areas currently occupied will become more suitable for boreal and temperate species than for Mediterranean species whereas new suitable areas outside a species' current range are expected to show greater increases in suitability for Mediterranean species than for boreal and temperate species. Such additional risk measures can be easily derived and should give a more comprehensive picture of the risk species are likely to face under climate change.</t>
  </si>
  <si>
    <t>Univ York, Dept Biol, York YO10 5YW, N Yorkshire, England; Lund Univ, Geobiosphere Sci Ctr, Dept Phys Geog &amp; Ecosyst Anal, S-22362 Lund, Sweden</t>
  </si>
  <si>
    <t>University of York - UK; Lund University</t>
  </si>
  <si>
    <t>Ohlemüller, R (corresponding author), Univ York, Dept Biol, POB 373, York YO10 5YW, N Yorkshire, England.</t>
  </si>
  <si>
    <t>ro6@york.ac.uk</t>
  </si>
  <si>
    <t>; Thomas, Chris/A-1460-2014; Thomas, Chris/A-1894-2012</t>
  </si>
  <si>
    <t>Gritti, Emmanuel S/0000-0002-0276-953X; Gritti, Emmanuel/0000-0001-7119-1287; Ohlemuller, Ralf/0000-0001-9102-6481; Thomas, Chris/0000-0003-2822-1334</t>
  </si>
  <si>
    <t>10.1111/j.1365-2486.2006.01231.x</t>
  </si>
  <si>
    <t>077CM</t>
  </si>
  <si>
    <t>WOS:000240005300018</t>
  </si>
  <si>
    <t>Schandl, H; Eisenmenger, N</t>
  </si>
  <si>
    <t>Schandl, Heinz; Eisenmenger, Nina</t>
  </si>
  <si>
    <t>Regional patterns in global resource extraction</t>
  </si>
  <si>
    <t>JOURNAL OF INDUSTRIAL ECOLOGY</t>
  </si>
  <si>
    <t>consumption; industrial ecology; materials flow analysis (MFA); natural resources; resource extraction; sustainable resource use</t>
  </si>
  <si>
    <t>This article presents an account of global resource extraction for the year 1999 by material groups, world regions, and development status. The account is based on materials flow analysis methodology and provides benchmark information for political strategies toward sustainable resource management. It shows that currently around 50 thousand megatons of resources are extracted yearly on a global scale, which results in a yearly global average resource use of around 8 tonnes per capita. Assuming further growth in world regions not yet close to the levels of resource use in the industrial cores-such as India or China-numbers could easily double once these parts of the world come to fully incorporate the industrial mode of production and consumption. This article contributes to information on resource use indicators, complementing and enriching information from economic accounting in order to facilitate political measures toward a sustainable use of resources.</t>
  </si>
  <si>
    <t>CSIRO, Resources Futures Programme, Canberra, ACT 2601, Australia; Univ Klagenfurt, Inst Social Ecol, Vienna, Austria</t>
  </si>
  <si>
    <t>Commonwealth Scientific &amp; Industrial Research Organisation (CSIRO); University of Klagenfurt</t>
  </si>
  <si>
    <t>Schandl, H (corresponding author), CSIRO, Resources Futures Programme, GPO Box 284, Canberra, ACT 2601, Australia.</t>
  </si>
  <si>
    <t>; Schandl, Heinz/C-5055-2008; Eisenmenger, Nina/AAB-7805-2020</t>
  </si>
  <si>
    <t>Eisenmenger, Nina/0000-0002-8833-3883; Schandl, Heinz/0000-0001-6399-4231;</t>
  </si>
  <si>
    <t>1088-1980</t>
  </si>
  <si>
    <t>1530-9290</t>
  </si>
  <si>
    <t>J IND ECOL</t>
  </si>
  <si>
    <t>J. Ind. Ecol.</t>
  </si>
  <si>
    <t>10.1162/jiec.2006.10.4.133</t>
  </si>
  <si>
    <t>110YC</t>
  </si>
  <si>
    <t>WOS:000242416200011</t>
  </si>
  <si>
    <t>Svenning, JC; Skov, F</t>
  </si>
  <si>
    <t>Svenning, Jens-Christian; Skov, Flemming</t>
  </si>
  <si>
    <t>Potential impact of climate change on the northern nemoral forest herb flora of Europe</t>
  </si>
  <si>
    <t>bioclimatic envelope modelling; dispersal limitation; drought; geographic variability; global warming; range shifts; spatial scale</t>
  </si>
  <si>
    <t>SPECIES DISTRIBUTIONS; QUATERNARY REFUGIA; GLACIAL REFUGIA; TREE; RICHNESS; PLANTS; DIVERSITY; HISTORY; MODELS; RANGE</t>
  </si>
  <si>
    <t>This study examines the potential impact on 21st century climate change on north-nemoral forest herb ranges at three spatial scales (Europe as whole, Northern/Southern Europe, separately, and the small north-nemoral region Denmark) and for two contrasting geographic regions (Northern and Southern Europe), and evaluates which species traits (climatic niche parameters, range location) would be most important for the range responses. The impact of climate change on the ranges of 36 north-nemoral forest herb species was estimated using a fuzzy bioclimatic envelope model that link atlas data to climate to predict bioclimatic suitability. Two global warming scenarios were investigated. Bioclimatic suitability was predicted to decline for all species in Europe as whole and in Southern Europe, while a minority would experience stable or increased suitability in Denmark and Northern Europe. No species were predicted to go extinct at a European scale under any scenario, although up to 14% of the species could be lost at the smallest scale. However, due to its strong impact on Southern Europe, warming would threaten the long-term survival of the nemoral flora. In particular in Northern Europe suitability increases would occur in unoccupied areas. Hence, dispersal limitation could be a particularly important constraint on species responses to climate change in this region. The best predictors of modelled large-scale sensitivity to global warming often included water balance niche descriptors and the latitudinal range centroid.</t>
  </si>
  <si>
    <t>Svenning, JC (corresponding author), Univ Aarhus, Dept Biol Sci, Bygn 540,Univ Pk, DK-8000 Aarhus C, Denmark.</t>
  </si>
  <si>
    <t>jens-christian.svenning@biology.au.dk</t>
  </si>
  <si>
    <t>Skov, Flemming/I-2665-2013; Svenning, Jens-Christian/C-8977-2012</t>
  </si>
  <si>
    <t>Skov, Flemming/0000-0002-9490-8663; Svenning, Jens-Christian/0000-0002-3415-0862</t>
  </si>
  <si>
    <t>10.1007/s10531-005-1345-8</t>
  </si>
  <si>
    <t>102DM</t>
  </si>
  <si>
    <t>WOS:000241791200014</t>
  </si>
  <si>
    <t>Mitchell, JFB; Lowe, J; Wood, RA; Vellinga, M</t>
  </si>
  <si>
    <t>Mitchell, John F. B.; Lowe, Jason; Wood, Richard A.; Vellinga, Michael</t>
  </si>
  <si>
    <t>Extreme events due to human-induced climate change</t>
  </si>
  <si>
    <t>PHILOSOPHICAL TRANSACTIONS OF THE ROYAL SOCIETY A-MATHEMATICAL PHYSICAL AND ENGINEERING SCIENCES</t>
  </si>
  <si>
    <t>Discussion Meeting on Extreme Natural Hazards</t>
  </si>
  <si>
    <t>OCT 26-27, 2005</t>
  </si>
  <si>
    <t>Royal Soc, London, ENGLAND</t>
  </si>
  <si>
    <t>Royal Soc</t>
  </si>
  <si>
    <t>climate change; extreme events; sea-level rise; storms; flooding; greenhouse gases</t>
  </si>
  <si>
    <t>ATLANTIC THERMOHALINE CIRCULATION; GREENLAND ICE-SHEET; HURRICANE INTENSITY; MODEL; TEMPERATURE; PREDICTIONS; CYCLONES; IMPACT; CO2; UNCERTAINTIES</t>
  </si>
  <si>
    <t>A recent assessment by the intergovernmental panel on climate change concluded that the Earth's climate would be 2-6 degrees C warmer than in the pre-industrial era by the end of the twenty-first century, due to human-induced increases in greenhouse gases. In the absence of other changes, this would lead to the warmest period on Earth for at least the last 1000 years, and probably the last 100 000 years. The large-scale warming is expected to be accompanied by increased frequency and/or intensity of extreme events, such as heatwaves, heavy rainfall, storms and coastal flooding. There are also several possibilities that this large change could initiate nonlinear climate responses which lead to even more extreme and rapid (on the time-scale of decades) climate change, including the collapse of the ocean 'conveyor belt' circulation, the collapse of major ice sheets or the release of large amounts of methane in high latitudes leading to further global warming. Although these catastrophic events are much more speculative than the direct warming due to increased greenhouse gases, their potential impacts are great and therefore should be included in any risk assessment of the impacts of anthropogenic climate change.</t>
  </si>
  <si>
    <t>Meteorol Off, Exeter EX1 3PB, Devon, England</t>
  </si>
  <si>
    <t>Met Office - UK</t>
  </si>
  <si>
    <t>Mitchell, JFB (corresponding author), Meteorol Off, FitzRoy Rd, Exeter EX1 3PB, Devon, England.</t>
  </si>
  <si>
    <t>john.f.mitchell@metoffice.com</t>
  </si>
  <si>
    <t>Lowe, Jason/GQI-4036-2022; Wood, Richard/HKW-7781-2023</t>
  </si>
  <si>
    <t>Wood, Richard/0000-0002-3960-9513;</t>
  </si>
  <si>
    <t>1364-503X</t>
  </si>
  <si>
    <t>1471-2962</t>
  </si>
  <si>
    <t>PHILOS T R SOC A</t>
  </si>
  <si>
    <t>Philos. Trans. R. Soc. A-Math. Phys. Eng. Sci.</t>
  </si>
  <si>
    <t>10.1098/rsta.2006.1816</t>
  </si>
  <si>
    <t>075YM</t>
  </si>
  <si>
    <t>WOS:000239923700016</t>
  </si>
  <si>
    <t>Camargo, JA; Alonso, A</t>
  </si>
  <si>
    <t>Camargo, Julio A.; Alonso, Alvaro</t>
  </si>
  <si>
    <t>Ecological and toxicological effects of inorganic nitrogen pollution in aquatic ecosystems: A global assessment</t>
  </si>
  <si>
    <t>ENVIRONMENT INTERNATIONAL</t>
  </si>
  <si>
    <t>6th Iberian/3rd Iberoamerican Congress on Environmental Contamination and Toxicology</t>
  </si>
  <si>
    <t>SEP 25-28, 2005</t>
  </si>
  <si>
    <t>Cadiz, SPAIN</t>
  </si>
  <si>
    <t>inorganic nitrogen pollution; aquatic ecosystems; ecological and toxicological effects; human risk; global assessment</t>
  </si>
  <si>
    <t>HARMFUL ALGAL BLOOMS; DOMOIC ACID PRODUCTION; NITZSCHIA-SERIATA BACILLARIOPHYCEAE; MUNICIPAL DRINKING-WATER; SHORT-TERM TOXICITY; BLUE-GREEN-ALGA; FRESH-WATER; PSEUDO-NITZSCHIA; ATMOSPHERIC DEPOSITION; ENVIRONMENTAL-FACTORS</t>
  </si>
  <si>
    <t>We provide a global assessment, with detailed multi-scale data, of the ecological and toxicological effects generated by inorganic nitrogen pollution in aquatic ecosystems. Our synthesis of the published scientific literature shows three major environmental problems: (1) it can increase the concentration of hydrogen ions in freshwater ecosystems without much acid-neutralizing capacity, resulting in acidification of those systems; (2) it can stimulate or enhance the development, maintenance and proliferation of primary producers, resulting in eutrophication of aquatic ecosystems; (3) it can reach toxic levels that impair the ability of aquatic animals to survive, grow and reproduce. Inorganic nitrogen pollution of ground and surface waters can also induce adverse effects on human health and economy. Because reductions in SO2 emissions have reduced the atmospheric deposition of H2SO4 across large portions of North America and Europe, while emissions of NOx have gone unchecked, HNO3 is now playing an increasing role in the acidification of freshwater ecosystems. This acidification process has caused several adverse effects on primary and secondary producers, with significant biotic impoverishments, particularly concerning invertebrates and fishes, in many atmospherically acidified lakes and streams. The cultural eutrophication of freshwater, estuarine, and coastal marine ecosystems can cause ecological and toxicological effects that are either directly or indirectly related to the proliferation of primary producers. Extensive kills of both invertebrates and fishes are probably the most dramatic manifestation of hypoxia (or anoxia) in eutrophic and hypereutrophic aquatic ecosystems with low water turnover rates. The decline in dissolved oxygen concentrations can also promote the formation of reduced compounds, such as hydrogen sulphide, resulting in higher adverse (toxic) effects on aquatic animals. Additionally, the occurrence of toxic algae can significantly contribute to the extensive kills of aquatic animals. Cyanobacteria, dinoflagellates and diatoms appear to be major responsible that may be stimulated by inorganic nitrogen pollution. Among the different inorganic nitrogenous compounds (NH4+, NH3, NO2-, HNO2, NO3-) that aquatic animals can take up directly from the ambient water, unionized ammonia is the most toxic, while ammonium and nitrate ions are the least toxic. In general, seawater animals seem to be more tolerant to the toxicity of inorganic nitrogenous compounds than freshwater animals, probably because of the ameliorating effect of water salinity (sodium, chloride, calcium and other ions) on the tolerance of aquatic animals. Ingested nitrites and nitrates from polluted drinking waters can induce methemoglobinemia in humans, particularly in young infants, by blocking the oxygen-carrying capacity of hemoglobin. Ingested nitrites and nitrates also have a potential role in developing cancers of the digestive tract through their contribution to the formation of nitrosamines. In addition, some scientific evidences suggest that ingested nitrites and nitrates might result in mutagenicity, teratogenicity and birth defects, contribute to the risks of non-Hodgkin's lymphoma and bladder and ovarian cancers, play a role in the etiology of insulin-dependent diabetes mellitus and in the development of thyroid hypertrophy, or cause spontaneous abortions and respiratory tract infections. Indirect health hazards can occur as a consequence of algal toxins, causing nausea, vomiting, diarrhoea, pneumonia, gastroenteritis, hepatoenteritis, muscular cramps, and several poisoning syndromes (paralytic shellfish poisoning, neurotoxic shellfish poisoning, amnesic shellfish poisoning). Other indirect health hazards can also come from the potential relationship between inorganic nitrogen pollution and human infectious diseases (malaria, cholera). Human sickness and death, extensive kills of aquatic animals, and other negative effects, can have elevated costs on human economy, with the recreation and tourism industry suffering the most important economic impacts, at least locally. It is concluded that levels of total nitrogen lower than 0.5-1.0 mg TN/L could prevent aquatic ecosystems (excluding those ecosystems with naturally high N levels) from developing acidification and eutrophication, at least by inorganic nitrogen pollution. Those relatively low TN levels could also protect aquatic animals against the toxicity of inorganic nitrogenous compounds since, in the absence of eutrophication, surface waters usually present relatively high concentrations of dissolved oxygen, most inorganic reactive nitrogen being in the form of nitrate. Additionally, human health and economy would be safer from the adverse effects of inorganic nitrogen pollution. (c) 2006 Elsevier Ltd. All rights reserved.</t>
  </si>
  <si>
    <t>Univ Alcala de Henares, Dept Ecol, E-28871 Alcala De Henares, Madrid, Spain; INIA, Dept Med Ambiente, Lab Ecotoxicol, E-28040 Madrid, Spain</t>
  </si>
  <si>
    <t>Universidad de Alcala</t>
  </si>
  <si>
    <t>Camargo, JA (corresponding author), Univ Alcala de Henares, Dept Ecol, Edif Ciencias, E-28871 Alcala De Henares, Madrid, Spain.</t>
  </si>
  <si>
    <t>julio.camargo@uah.es</t>
  </si>
  <si>
    <t>Camargo, Júlio/KPB-5008-2024; Alonso, Álvaro/B-4286-2018</t>
  </si>
  <si>
    <t>Alonso, Álvaro/0000-0002-7797-8045; CAMARGO, Julio/0000-0003-3610-2693</t>
  </si>
  <si>
    <t>0160-4120</t>
  </si>
  <si>
    <t>1873-6750</t>
  </si>
  <si>
    <t>ENVIRON INT</t>
  </si>
  <si>
    <t>Environ. Int.</t>
  </si>
  <si>
    <t>10.1016/j.envint.2006.05.002</t>
  </si>
  <si>
    <t>064NF</t>
  </si>
  <si>
    <t>WOS:000239095700015</t>
  </si>
  <si>
    <t>Laurance, WF; Croes, BM; Tchignoumba, L; Lahm, SA; Alonso, A; Lee, ME; Campbell, P; Ondzeano, C</t>
  </si>
  <si>
    <t>Laurance, William F.; Croes, Barbara M.; Tchignoumba, Landry; Lahm, Sally A.; Alonso, Alfonso; Lee, Michelle E.; Campbell, Patrick; Ondzeano, Claude</t>
  </si>
  <si>
    <t>Impacts of roads and hunting on central African rainforest mammals</t>
  </si>
  <si>
    <t>Gabon; infrastructure; oil development; rainforest; tropical forests; wildlife conservation</t>
  </si>
  <si>
    <t>CONSERVATION; POPULATIONS; BUSHMEAT; GABON; EXTINCTION; HARVEST; BIRDS</t>
  </si>
  <si>
    <t>Road expansion and associated increases in hunting pressure are a rapidly growing threat to African tropical wildlife. In the rainforests of southern Gabon, we compared abundances of larger (&gt; 1 kg) mammal species at varying distances from forest roads and between hunted and unhunted treatments (comparing a 130-km(2) oil concession that was almost entirely protected from hunting with nearby areas outside the concession that had moderate hunting pressure). At each of 12 study sites that were evenly divided between hunted and unhunted areas, we established standardized 1-km transects at five distances (50, 300, 600, 900, and 1200 m) from an unpaved road, and then repeatedly surveyed mammals during the 2004 dry and wet seasons. Hunting had the greatest impact on duikers (Cephalophus spp.), forest buffalo (Syncerus caffer nanus), and red river bogs (Potamochoerus porcus), which declined in abundance outside the oil concession, and lesser effects on lowland gorillas (Gorilla gorilla gorilla) and carnivores. Roads depressed abundances of duikers, sitatungas (Tragelaphus spekei gratus), and forest elephants (Loxondonta africana cyclotis), with avoidance of roads being stronger outside than inside the concession. Five monkey species showed little response to roads or hunting, whereas some rodents and pangolins increased in abundance outside the concession, possibly in response to greater forest disturbance. Our findings suggest that even moderate hunting pressure can markedly alter the structure of mammal communities in central Africa. Roads had the greatest impacts on large and small ungulates, with the magnitude of road avoidance increasing with local bunting pressure.</t>
  </si>
  <si>
    <t>Smithsonian Trop Res Inst, Balboa, Panama; Smithsonian Inst, Monitoring &amp; Assessment Biodivers Program, Washington, DC 20560 USA; Inst Rech &amp; Ecol Trop, Makokou, Gabon</t>
  </si>
  <si>
    <t>Smithsonian Institution; Smithsonian Tropical Research Institute; Smithsonian Institution</t>
  </si>
  <si>
    <t>Laurance, WF (corresponding author), Smithsonian Trop Res Inst, Apartado 2072, Balboa, Panama.</t>
  </si>
  <si>
    <t>laurancew@si.edu</t>
  </si>
  <si>
    <t>; Laurance, William/B-2709-2012</t>
  </si>
  <si>
    <t>Alonso, Alfonso/0000-0001-6860-8432;</t>
  </si>
  <si>
    <t>10.1111/j.1523-1739.2006.00420.x</t>
  </si>
  <si>
    <t>070SX</t>
  </si>
  <si>
    <t>WOS:000239545500036</t>
  </si>
  <si>
    <t>Lawler, JJ; White, D; Neilson, RP; Blaustein, AR</t>
  </si>
  <si>
    <t>Lawler, Joshua J.; White, Denis; Neilson, Ronald P.; Blaustein, Andrew R.</t>
  </si>
  <si>
    <t>Predicting climate-induced range shifts: model differences and model reliability</t>
  </si>
  <si>
    <t>climate change; climate-envelope models; extinction; geographic range; model averaging; model prediction; random forest predictors</t>
  </si>
  <si>
    <t>SPECIES DISTRIBUTIONS; VEGETATION DISTRIBUTION; CLASSIFICATION; TREE; ENVELOPE; IMPACTS; FORESTS</t>
  </si>
  <si>
    <t>Predicted changes in the global climate are likely to cause large shifts in the geographic ranges of many plant and animal species. To date, predictions of future range shifts have relied on a variety of modeling approaches with different levels of model accuracy. Using a common data set, we investigated the potential implications of alternative modeling approaches for conclusions about future range shifts and extinctions. Our common data set entailed the current ranges of 100 randomly selected mammal species found in the western hemisphere. Using these range maps, we compared six methods for modeling predicted future ranges. Predicted future distributions differed markedly across the alternative modeling approaches, which in turn resulted in estimates of extinction rates that ranged between 0% and 7%, depending on which model was used. Random forest predictors, a model-averaging approach, consistently outperformed the other techniques (correctly predicting &gt; 99% of current absences and 86% of current presences). We conclude that the types of models used in a study can have dramatic effects on predicted range shifts and extinction rates; and that model-averaging approaches appear to have the greatest potential for predicting range shifts in the face of climate change.</t>
  </si>
  <si>
    <t>US EPA, Corvallis, OR 97333 USA; Oregon State Univ, Dept Zool, Corvallis, OR 97331 USA; US Forest Serv, Corvallis, OR 97331 USA</t>
  </si>
  <si>
    <t>United States Environmental Protection Agency; Oregon State University; United States Department of Agriculture (USDA); United States Forest Service</t>
  </si>
  <si>
    <t>Lawler, JJ (corresponding author), US EPA, 200 SW 35th St, Corvallis, OR 97333 USA.</t>
  </si>
  <si>
    <t>lawler.joshua@epa.gov</t>
  </si>
  <si>
    <t>Neilson, Ronald/A-8588-2009</t>
  </si>
  <si>
    <t>10.1111/j.1365-2486.2006.01191.x</t>
  </si>
  <si>
    <t>063FZ</t>
  </si>
  <si>
    <t>WOS:000239004700018</t>
  </si>
  <si>
    <t>Kern, CC; Palik, BJ; Strong, TF</t>
  </si>
  <si>
    <t>Kern, Christel C.; Palik, Brian J.; Strong, Terry F.</t>
  </si>
  <si>
    <t>Ground-layer plant community responses to even-age and uneven-age silvicultural treatments in Wisconsin northern hardwood forests</t>
  </si>
  <si>
    <t>herbaceous plant diversity; richness; evenness; uneven-age management; even-age management; northern hardwoods; Winter logging</t>
  </si>
  <si>
    <t>WESTERN UPPER MICHIGAN; DOMINATED ECOSYSTEM; HERBACEOUS-LAYER; POWER ANALYSIS; VEGETATION; DIVERSITY; SOIL; MANAGEMENT; DYNAMICS; USA</t>
  </si>
  <si>
    <t>We evaluated ground-layer plant diversity and community composition in northern hardwood forests among uncut controls and stands managed with even-age or uneven-age silvicultural systems. Even-age treatments included diameter-limit cuttings (20-cm diameter at 30-cm stem height) in 1952 and shelterwood removals in 1964. Uneven-age treatments included three intensities of selection harvest (light, 20.6 m(2)/ha residual basal area after harvest; medium, 17.2 m(2)/ha residual basal area; and heavy, 13.8 m(2)/ha residual basal area) that were applied in 1952, 1962, 1972, and 1982. All treatments were winter logged over snow pack. In 1991, plant diversity and community composition were examined. Species richness for spring ephemerals ranged from 1 to 6 species/150-m(2), spring ephemeral diversity (Shannon's Index of Diversity) averaged 0.57 +/- 0.04 and evenness averaged 0.45 +/- 0.03. Summer flowering species richness ranged from 1 to 18 species/1-m(2), with an average diversity of 0.71 +/- 0.07 and evenness of 0.42 +/- 0.03. We found no significant differences among treatments for any of these variables, although power to detect a difference (at p = 0.05) was low in all cases (0.15-0.55) due to high variance and low replication. Community composition was not significantly different among the treatments, for either spring (p = 0.09) or summer (p = 0.79) flora. Few exotic species were found in any treatment. Lack of exotic invasions and minimal differences in plant diversity or composition among treatments may be due, in part, to the negligible amount of soil disturbance that resulted from winter logging. While other (unmeasured) ecosystem components may differ among these silvicultural treatments, our results suggest that ground-layer plant communities in northern hardwood ecosystems are either resistant to change or have recovered within the 40 years since disturbance in the even-age treatments and within 10 years since disturbance in the uneven-age treatments. (c) 2006 Elsevier B.V. All rights reserved.</t>
  </si>
  <si>
    <t>USDA, Forest Serv, N Cent Res Stn, Grand Rapids, MN 55744 USA</t>
  </si>
  <si>
    <t>Kern, CC (corresponding author), USDA, Forest Serv, N Cent Res Stn, 1831 Hwy 169 E, Grand Rapids, MN 55744 USA.</t>
  </si>
  <si>
    <t>cckern@fs.fed.us</t>
  </si>
  <si>
    <t>; Kern, Christel/B-4847-2012</t>
  </si>
  <si>
    <t>Palik, Brian/0000-0003-0300-9644; Kern, Christel/0000-0003-4923-6180;</t>
  </si>
  <si>
    <t>JUL 15</t>
  </si>
  <si>
    <t>10.1016/j.foreco.2006.03.034</t>
  </si>
  <si>
    <t>061HX</t>
  </si>
  <si>
    <t>WOS:000238863300014</t>
  </si>
  <si>
    <t>Peres, CA; Nascimento, HS</t>
  </si>
  <si>
    <t>Peres, Carlos A.; Nascimento, Hilton S.</t>
  </si>
  <si>
    <t>Impact of game hunting by the Kayapo of south-eastern Amazonia: implications for wildlife conservation in tropical forest indigenous reserves</t>
  </si>
  <si>
    <t>Amazonia; bushmeat; exploitation; forest resources; game management; hunting; indigenous reserves; source-sink dynamics</t>
  </si>
  <si>
    <t>CHOICE; VERTEBRATES; PERILS</t>
  </si>
  <si>
    <t>Indigenous forest reserves represent approximately one fifth of Brazilian Amazonia and pose enormous challenges for sustainable natural resource management by native Amazonians. In collaboration with the Kayapo Indians of A'Ukre of southeastern Amazonia, we obtained a game harvest profile of over 1360 forest vertebrates consumed at this village over a 20-month period, including 743 mammals, 361 forest tortoises and 256 birds from a minimum of 42 game species. This amounted to a total of 13,775 kg of game animals harvested over the entire study (mean = 26.2 kg d(-1)supercript stop). We also obtained some 450 km of line transect census data of midsized to large-bodied vertebrates within the core hunting catchment of this village and in an unhunted but otherwise comparable site upriver of A'Ukre. Population density estimates of 16 of the 18 species censused were significantly depressed by hunting by central place foragers within the village catchment, and a number of harvest-sensitive prey species showed clear evidence of local depletion. For the time being, however, we can conclude that hunting was sustainable at the landscape scale largely because source-sink dynamics in the context of low village catchment density is made possible by large surrounding tracts of primary forest that remain unharvested or underharvested.</t>
  </si>
  <si>
    <t>Univ E Anglia, Sch Environm Sci, Ctr Ecol Conservat &amp; Evolut, Norwich NR4 7TJ, Norfolk, England; FUNAI, Frente Protecao Etnoambiental Vale Javari, BR-69640 Tabatinga, Amazonas, Brazil</t>
  </si>
  <si>
    <t>Peres, CA (corresponding author), Univ E Anglia, Sch Environm Sci, Ctr Ecol Conservat &amp; Evolut, Norwich NR4 7TJ, Norfolk, England.</t>
  </si>
  <si>
    <t>C.Peres@uea.ac.uk</t>
  </si>
  <si>
    <t>Peres, Carlos/B-1276-2013; Peres, Carlos/B-1276-2013</t>
  </si>
  <si>
    <t>Peres, Carlos/0000-0002-1588-8765; Peres, Carlos/0000-0002-1588-8765</t>
  </si>
  <si>
    <t>10.1007/s10531-005-5406-9</t>
  </si>
  <si>
    <t>093LD</t>
  </si>
  <si>
    <t>WOS:000241168900016</t>
  </si>
  <si>
    <t>Wang, KH; McSorley, R; Bohlen, P; Gathumbi, SM</t>
  </si>
  <si>
    <t>Wang, K. -H.; McSorley, R.; Bohlen, P.; Gathumbi, S. M.</t>
  </si>
  <si>
    <t>Cattle grazing increases microbial biomass and alters soil nematode communities in subtropical pastures</t>
  </si>
  <si>
    <t>SOIL BIOLOGY &amp; BIOCHEMISTRY</t>
  </si>
  <si>
    <t>microbial C; microbial N; mineralization; nematode community structure; soil food web; small-scale sampling</t>
  </si>
  <si>
    <t>ENGLAND TABLELANDS NSW; NITROGEN MINERALIZATION; CHLOROFORM FUMIGATION; EXTRACTION METHOD; FOOD-WEB; MANAGEMENT; DIVERSITY; AGROECOSYSTEMS; POPULATIONS; GRASSLANDS</t>
  </si>
  <si>
    <t>This study focused on examining the impacts of cattle grazing on belowground communities and soil processes in humid grasslands. Multiple components in the soil communities were examined in heavily grazed and ungrazed areas of unimproved and improved bahiagrass (Paspalum notatum Flugge) pastures in south-central Florida. By using small (1-m x 1-m) sampling plots, we were able to detect critical differences in nematode communities, microbial biomass, and mineralized C and N, resulting from the patchy grazing pattern of cattle. Soil samples were collected on three occasions between June 2002 and June 2003. Microbial C and N were greater (P &lt;= 0.01) in grazed than in ungrazed plots on all sampling dates. Effects of grazing varied among nematode genera. Most genera of colonizer bacterivores were decreased (P &lt;= 0.10) by grazing, but more persistent bacterivores such as Euteratocephalus and Prismatolaimus were increased, as were omnivores and predators. Higher numbers of persisters indicated that grazing resulted in a more structured nematode community. Some herbivores, particularly Criconematidae, were decreased by grazing. Abundance of omnivores, predators, and especially fungivores were strongly associated with C mineralization potential. Strong correlation of microbial C and N with nematode canonical variables composed of five trophic groups illustrates important links between nematode community structure and soil microbial resources. Including the analysis of nematode trophic groups with soil microbial responses reveals detection of grazing impact deeper into the hierarchy of the decomposition process in soil, and illustrates the complexity of responses to grazing in the soil foodweb. Although highly sensitive to grazing impacts, small-scale sampling could not be used to generalize the overall impact of cattle grazing in large-scale pastures, which might be determined by the intensity and grazing patterns of various stocking densities at the whole pasture level. (c) 2006 Elsevier Ltd. All rights reserved.</t>
  </si>
  <si>
    <t>Univ Florida, Dept Entomol &amp; Nematol, Gainesville, FL 32611 USA; Archbold Biol Stn, MacArthur Agroecol Res Ctr, Lake Placid, FL 33852 USA</t>
  </si>
  <si>
    <t>Wang, KH (corresponding author), Univ Florida, Dept Entomol &amp; Nematol, POB 110620, Gainesville, FL 32611 USA.</t>
  </si>
  <si>
    <t>koonhui@ufl.edu</t>
  </si>
  <si>
    <t>Bohlen, Patrick/HNT-0140-2023</t>
  </si>
  <si>
    <t>Bohlen, Patrick/0000-0002-3080-6297</t>
  </si>
  <si>
    <t>0038-0717</t>
  </si>
  <si>
    <t>SOIL BIOL BIOCHEM</t>
  </si>
  <si>
    <t>Soil Biol. Biochem.</t>
  </si>
  <si>
    <t>10.1016/j.soilbio.2005.12.019</t>
  </si>
  <si>
    <t>076GX</t>
  </si>
  <si>
    <t>WOS:000239946100045</t>
  </si>
  <si>
    <t>Lwanga, JS</t>
  </si>
  <si>
    <t>Lwanga, Jeremiah S.</t>
  </si>
  <si>
    <t>The influence of forest variation and possible effects of poaching on duiker abundance at Ngogo, Kibale National Park, Uganda</t>
  </si>
  <si>
    <t>bushmeat; duikers; old growth; rainforest; secondary</t>
  </si>
  <si>
    <t>ITURI FOREST; WILD-MEAT; CONSERVATION; BUSHMEAT; POPULATIONS; DENSITIES; IMPACTS; RESERVE</t>
  </si>
  <si>
    <t>Duikers were censused at the Ngogo study area, Kibale National Park, Uganda, between July 2002 and August 2004. Censuses were conducted along three transects, of which, two (colonizing forests 1 and 2) were located in colonizing forests naturally replacing anthropogenic grasslands and one in old growth forest. Colonizing forest 1 was more prone to poaching than both colonizing forest 2 and the old growth forest that were closest to the research camp. Duikers that were actually sighted were identified to species, red or blue. However, on some occasions, duikers were detected by alarm calls and/or movements as they fled; these were simply recorded as duikers. Duiker abundance, regardless of species or mode of detection, was higher in colonizing forest 2 than colonizing forest 1 and the old growth forest. However, when the analysis was restricted only to duikers that were sighted, and hence identified to species, red duiker abundance was highest in colonizing forest 2 followed by the old growth forest and was lowest in colonizing forest 1; all these differences were significant. Blue duiker abundance was lowest in the old growth forest despite its proximity to the research camp; however, this was only significantly lower than in colonizing forest 2. Apart from colonizing forest 1, red duikers were significantly more abundant than blue duikers in the other two forest sections. This study suggests that forests colonizing anthropogenic grasslands may support more duikers than old growth forests; poaching in colonizing forest 1 has a severe impact on the duiker population and, red duikers are affected more severely by poaching than blue duikers.</t>
  </si>
  <si>
    <t>Makerere Univ, Biol Field Stn, Fort Portal, Uganda</t>
  </si>
  <si>
    <t>Makerere University</t>
  </si>
  <si>
    <t>Lwanga, JS (corresponding author), Yale Univ, Dept Anthropol, New Haven, CT 06520 USA.</t>
  </si>
  <si>
    <t>lwanga@yale.edu</t>
  </si>
  <si>
    <t>10.1111/j.1365-2028.2006.00629.x</t>
  </si>
  <si>
    <t>044SA</t>
  </si>
  <si>
    <t>WOS:000237691500011</t>
  </si>
  <si>
    <t>Marshall, AJ; Nardiyono; Engström, LM; Pamungkas, B; Palapa, J; Meijaard, E; Stanley, SA</t>
  </si>
  <si>
    <t>Marshall, Andrew J.; Nardiyono; Engstrom, Linda M.; Pamungkas, Bhayu; Palapa, Jhon; Meijaard, Erik; Stanley, Scott A.</t>
  </si>
  <si>
    <t>The blowgun is mightier than the chainsaw in determining population density of Bornean orangutans (Pongo pygmaeus morio) in the forests of East Kalimantan</t>
  </si>
  <si>
    <t>orangutans; Pongo pygmaeus morio; population density; hunting; logging</t>
  </si>
  <si>
    <t>WEST KALIMANTAN; BEHAVIORAL ECOLOGY; AERIAL SURVEYS; SABAH; CONSERVATION; INDONESIA; PRIMATES; LOWLAND</t>
  </si>
  <si>
    <t>Due to its practical relevance to conservation, considerable efforts have been devoted to understanding the effects of logging on orangutan (Pongo spp.) population densities. Despite these efforts, consistent patterns have yet to emerge. We conducted orangutan nest surveys and measured forest quality and disturbance level at 108 independent locations in 22 distinct sites in the forests of the Berau and East Kutai regencies of East Kalimantan, Indonesia. Survey locations varied substantially in orangutan density, forest structure, distance to villages, and logging intensity. We incorporated site-specific nest tree composition into our estimates of nest decay rates to reduce errors associated with inter-site differences in nest tree selection. Orangutan nest densities were uncorrelated with altitude, fig density, or any other ecological measure. Multivariate analyses demonstrated that densities were not significantly affected by logging intensity (at the relatively light levels we report here) or the distance to the nearest village, but were positively correlated with the distance from the nearest village known to hunt orangutans. These results indicate that provided hunting is absent, lightly to moderately degraded forests retain high conservation value for orangutans. Widespread incorporation of degraded areas into management plans for orangutan populations would substantially increase the size of populations that could be protected, and thereby improve their changes for long-term survival. (c) 2005 Elsevier Ltd. All rights reserved.</t>
  </si>
  <si>
    <t>Harvard Univ, Cambridge, MA 02138 USA; Nature Conservancy, E Kalimantan Program, Samarinda, E Kalimantan, Indonesia</t>
  </si>
  <si>
    <t>Harvard University; The Nature Conservancy Indonesia</t>
  </si>
  <si>
    <t>Marshall, AJ (corresponding author), Harvard Univ, 22 Divin Ave, Cambridge, MA 02138 USA.</t>
  </si>
  <si>
    <t>amarshall@oeb.harvard.edu</t>
  </si>
  <si>
    <t>Meijaard, Erik/A-2687-2016</t>
  </si>
  <si>
    <t>Meijaard, Erik/0000-0001-8685-3685</t>
  </si>
  <si>
    <t>10.1016/j.biocon.2005.11.025</t>
  </si>
  <si>
    <t>047KT</t>
  </si>
  <si>
    <t>WOS:000237878900014</t>
  </si>
  <si>
    <t>Preston, BL</t>
  </si>
  <si>
    <t>Preston, Benjamin L.</t>
  </si>
  <si>
    <t>Risk-based reanalysis of the effects of climate change on US cold-water habitat</t>
  </si>
  <si>
    <t>EXTRAPOLATION METHODS; THERMAL HABITAT; ATMOSPHERIC CO2; GLOBAL CLIMATE; UNCERTAINTY; IMPACT; SCENARIOS; STABILIZATION; PREDICTIONS; PROJECTIONS</t>
  </si>
  <si>
    <t>A probabilistic risk assessment was conducted for the effects of future climate change on U.S. cold-water habitat. Damage functions for the loss of current cold-water fish habitat in the United States and the Rocky Mountain region were integrated with probability distributions for U.S. June/July/August (JJA) temperature change using Monte Carlo techniques. Damage functions indicated temperature thresholds for incipient losses (&gt;= 5%) of cold-water habitat in the United States and the Rocky Mountains of 0.6 and 0.4 degrees C, respectively. Median impacts associated with different temperature distributions suggested habitat loss in 2025, 2050, and 2 100 of approximately 10, 20, and 30%, respectively, for the United States and 20, 35, and 50%, respectively, in the Rocky Mountains. However, 2100 losses in excess of 60% and 90% were possible for the United States and the Rocky Mountains, respectively, albeit at low probabilities. The implementation of constraints on greenhouse gas emissions conforming to the WRE750/550/350 stabilization scenarios had little effect on reducing habitat loss out to 2050, but median effects in 2100 were reduced by up to 20, 30, and 60%, respectively. Increased focus on probabilistic risk assessment may be a profitable mechanism for enhancing understanding and communication of climate change impacts and, subsequently, risk management.</t>
  </si>
  <si>
    <t>Preston, BL (corresponding author), CSIRO, Marine &amp; Atmospher Res, Private Bag 1,107-121 Stn St, Aspendale, Vic 3195, Australia.</t>
  </si>
  <si>
    <t>benjamin.preston@csiro.au</t>
  </si>
  <si>
    <t>Preston, Benjamin/B-9001-2012</t>
  </si>
  <si>
    <t>Preston, Benjamin/0000-0002-7966-2386</t>
  </si>
  <si>
    <t>10.1007/s10584-005-9014-1</t>
  </si>
  <si>
    <t>064AC</t>
  </si>
  <si>
    <t>WOS:000239060600006</t>
  </si>
  <si>
    <t>Braimoh, AK</t>
  </si>
  <si>
    <t>Random and systematic land-cover transitions in northern Ghana</t>
  </si>
  <si>
    <t>land-cover change; systematic processes; random processes; persistence; Ghana</t>
  </si>
  <si>
    <t>TROPICAL REGIONS; CAMEROON</t>
  </si>
  <si>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</si>
  <si>
    <t>Univ Bonn, Ctr Dev Res, D-53113 Bonn, Germany</t>
  </si>
  <si>
    <t>University of Bonn</t>
  </si>
  <si>
    <t>Braimoh, AK (corresponding author), Univ Bonn, Ctr Dev Res, Walter Flex Str 3, D-53113 Bonn, Germany.</t>
  </si>
  <si>
    <t>braimoh@ias.unu.edu</t>
  </si>
  <si>
    <t>Braimoh, Ademola/AAE-4330-2020</t>
  </si>
  <si>
    <t>Braimoh, Ademola/0000-0001-6606-1293</t>
  </si>
  <si>
    <t>10.1016/j.agee.2005.10.019</t>
  </si>
  <si>
    <t>018LF</t>
  </si>
  <si>
    <t>WOS:000235765100023</t>
  </si>
  <si>
    <t>Malcolm, JR; Liu, CR; Neilson, RP; Hansen, L; Hannah, L</t>
  </si>
  <si>
    <t>Global warming and extinctions of endemic species from biodiversity hotspots</t>
  </si>
  <si>
    <t>biomes; climate change; general circulation models; global vegetation models; migration; species extinctions</t>
  </si>
  <si>
    <t>CLIMATE-CHANGE; AREA RELATIONSHIPS; MODEL; MIGRATION; IMPACTS; TURNOVER; FORESTS; RANGE; RATES</t>
  </si>
  <si>
    <t>Global warming is a key threat to biodiversity, but few researchers have assessed the magnitude of this threat at the global scale. We used major vegetation types (biomes) as proxies for natural habitats and, based on projected future biome distributions under doubled-CO2 climates, calculated changes in habitat areas and associated extinctions of endemic plant and vertebrate species in biodiversity hotspots. Because of numerous uncertainties in this approach, we undertook a sensitivity analysis of multiple factors that included (1) two global vegetation models, (2) different numbers of biome classes in our biome classification schemes, (3) different assumptions about whether species distributions were biome specific or not, and (4) different migration capabilities. Extinctions were calculated using both species-area and endemic-area relationships. In addition, average required migration rates were calculated for each hotspot assuming a doubled-CO2 climate in 100 years. Projected percent extinctions ranged from &lt; 1 to 43% of the endemic biota (average 11.6%), with biome specificity having the greatest influence on the estimates, followed by the global vegetation model and then by migration and biome classification assumptions. Bootstrap comparisons indicated that effects on hotpots as a group were not significantly different from effects on random same-biome collections of grid cells with respect to biome change or migration rates; in some scenarios, however, hotspots exhibited relatively high biome change and low migration rates. Especially vulnerable hotspots were the Cape Floristic Region, Caribbean, Indo-Burma, Mediterranean Basin, Southwest Australia, and Tropical Andes, where plant extinctions per hotspot sometimes exceeded 2000 species. Under the assumption that projected habitat changes were attained in 100 years, estimated global-warming-induced rates of species extinctions in tropical hotspots in some cases exceeded those due to deforestation, supporting suggestions that global warming is one of the most serious threats to the planet's biodiversity.</t>
  </si>
  <si>
    <t>Univ Toronto, Fac Forestry, Toronto, ON M5S 3B3, Canada; Univ New England, Dept Ecosyst Management, Armidale, NSW 2351, Australia; USDA, Forest Serv, Forestry Sci Lab, Corvallis, OR 97331 USA; Climate Change Program, Washington, DC 20037 USA; Conservat Int, Ctr Appl Biodivers Sci, Washington, DC 20036 USA</t>
  </si>
  <si>
    <t>University of Toronto; University of New England; United States Department of Agriculture (USDA); United States Forest Service; Conservation International</t>
  </si>
  <si>
    <t>Malcolm, JR (corresponding author), Univ Toronto, Fac Forestry, Toronto, ON M5S 3B3, Canada.</t>
  </si>
  <si>
    <t>jay.malcolm@utoronto.ca</t>
  </si>
  <si>
    <t>Liu, Canran/AAI-1872-2020; Neilson, Ronald/A-8588-2009</t>
  </si>
  <si>
    <t>Hansen, Lara/0009-0001-9982-0695;</t>
  </si>
  <si>
    <t>10.1111/j.1523-1739.2006.00364.x</t>
  </si>
  <si>
    <t>022OB</t>
  </si>
  <si>
    <t>WOS:000236064200031</t>
  </si>
  <si>
    <t>Nielsen, MR</t>
  </si>
  <si>
    <t>Importance, cause and effect of bushmeat hunting in the Udzungwa Mountains, Tanzania: Implications for community based wildlife management</t>
  </si>
  <si>
    <t>bushmeat hunting; CBWM; Udzungwa Mountains; Tanzania</t>
  </si>
  <si>
    <t>INTEGRATED CONSERVATION; PROTECTED AREAS; FORESTS; DENSITIES; PROGRAMS</t>
  </si>
  <si>
    <t>Community Based Wildlife Management (CBWM) has been suggested as a conservation strategy in response to bushmeat hunting in the Udzungwa Mountains within the Eastern Afromontane biodiversity hotspot. The feasibility of CBWM based on meat cropping was therefore evaluated in New Dabaga/Ulangambi Forest Reserve (NDUFR). Comparison of relative wildlife densities with West Kilombero Scarp Forest Reserve, which is subject to only low hunting pressure, indicate that most relevant populations are severely depleted (Cephalophus monticola, C. harueyi and C. spadix, Potamochoerus larvatus) and hence that sustainable harvesting currently is not possible in NDUFR. Records of catch from hunters in the villages surrounding NDUFR indicate that bushmeat is of relatively low importance in terms of use and contribution to protein intake. Proximity to NDUFR and secondarily population size in the different villages is positively correlated with hunting intensity and depletion of wildlife. Comparisons between hunters and non-hunters in terms of wealth measures show that hunting is linked to poverty and low protein intake. An estimation of maximum sustainable harvest in NDUFR reveals that CBWM only has limited capacity to reduce these causes of hunting, maintain the communities' interest and offset the opportunity costs of conservation. Results of this study suggest that conservation efforts in NDUFR should focus on protecting wildlife against exploitation instead of encouraging use and dependence through CBWM. Supporting efforts should attempt to facilitate a complete shift to domestic sources of meat, by increasing the number of domestic animals in the poorest part of the population. (c) 2005 Elsevier Ltd. All rights reserved.</t>
  </si>
  <si>
    <t>Univ Copenhagen, Zool Museum, DK-2100 Copenhagen, Denmark</t>
  </si>
  <si>
    <t>University of Copenhagen</t>
  </si>
  <si>
    <t>Nielsen, MR (corresponding author), Univ Copenhagen, Zool Museum, Univ Pk 15, DK-2100 Copenhagen, Denmark.</t>
  </si>
  <si>
    <t>nielsnmr@gmail.com</t>
  </si>
  <si>
    <t>Nielsen, Martin Reinhardt/E-1173-2015; Nielsen, Martin/E-1173-2015</t>
  </si>
  <si>
    <t>Nielsen, Martin Reinhardt/0000-0002-8941-6031;</t>
  </si>
  <si>
    <t>10.1016/j.biocon.2005.10.017</t>
  </si>
  <si>
    <t>023BS</t>
  </si>
  <si>
    <t>WOS:000236100800009</t>
  </si>
  <si>
    <t>Huntley, B; Collingham, YC; Green, RE; Hilton, GM; Rahbek, C; Willis, SG</t>
  </si>
  <si>
    <t>Huntley, Brian; Collingham, Yvonne C.; Green, Rhys E.; Hilton, Geoffrey M.; Rahbek, Carsten; Willis, Stephen G.</t>
  </si>
  <si>
    <t>Potential impacts of climatic change upon geographical distributions of birds</t>
  </si>
  <si>
    <t>IBIS</t>
  </si>
  <si>
    <t>Annual Spring Conference of the British-Ornithologists-Union</t>
  </si>
  <si>
    <t>APR 01-03, 2005</t>
  </si>
  <si>
    <t>Univ Leicester, Leicester, ENGLAND</t>
  </si>
  <si>
    <t>British Ornithol Union</t>
  </si>
  <si>
    <t>Univ Leicester</t>
  </si>
  <si>
    <t>SPACE-TIME CLIMATE; 20TH-CENTURY TEMPERATURE; LATE PLEISTOCENE; HEINRICH EVENTS; PLATEAU UPLIFT; POLLEN RECORD; NORTH-AMERICA; ICE CORE; QUATERNARY; VARIABILITY</t>
  </si>
  <si>
    <t>Potential climatic changes of the near future have important characteristics that differentiate them from the largest magnitude and most rapid of climatic changes of the Quaternary. These potential climatic changes are thus a cause for considerable concern in terms of their possible impacts upon biodiversity. Birds, in common with other terrestrial organisms, are expected to exhibit one of two general responses to climatic change: they may adapt to the changed conditions without shifting location, or they may show a spatial response, adjusting their geographical distribution in response to the changing climate. The Quaternary geological record provides examples of organisms that responded to the climatic fluctuations of that period in each of these ways, but also indicates that the two are not alternative responses but components of the same overall predominantly spatial response. Species unable to achieve a sufficient response by either or both of these mechanisms will be at risk of extinction; the Quaternary record documents examples of such extinctions. Relationships between the geographical distributions of birds and present climate have been modelled for species breeding in both Europe and Africa. The resulting models have very high goodness-of-fit and provide a basis for assessing the potential impacts of anthropogenic climatic changes upon avian species richness in the two continents. Simulations made for a range of general circulation model projections of late 21st century climate lead to the conclusion that the impacts upon birds are likely to be substantial. The boundaries of many species' potential geographical distributions are likely to be shifted &gt;= 1000 km. There is likely to be a general decline in avian species richness, with the mean extent of species' potential geographical distributions likely to decrease. Species with restricted distributions and specialized species of particular biomes are likely to suffer the greatest impacts. Migrant species are likely to suffer especially large impacts as climatic change alters both their breeding and wintering areas, as well as critical stopover sites, and also potentially increases the distances they must migrate seasonally. Without implementation of new conservation measures, these impacts will be severe and are likely to be exacerbated by land-use change and associated habitat fragmentation. Unless strenuous efforts are made to address the root causes of anthropogenic climatic change, much current effort to conserve biodiversity will be in vain.</t>
  </si>
  <si>
    <t>Univ Durham, Sch Biol &amp; Biomed Sci, Inst Ecosyst Sci, Durham DH1 3HP, England; Univ Cambridge, Dept Zool, Cambridge, England; Royal Soc Protect Birds, Sandy SG19 2DL, Beds, England; Univ Copenhagen, Inst Biol, Copenhagen, Denmark</t>
  </si>
  <si>
    <t>Durham University; University of Cambridge; Royal Society for Protection of Birds; University of Copenhagen</t>
  </si>
  <si>
    <t>Huntley, B (corresponding author), Univ Durham, Sch Biol &amp; Biomed Sci, Inst Ecosyst Sci, Durham DH1 3HP, England.</t>
  </si>
  <si>
    <t>brian.huntley@durham.ac.uk</t>
  </si>
  <si>
    <t>Rahbek, Carsten/L-1129-2013; Hilton, Geoff/H-3086-2017; Willis, Stephen/F-8503-2015</t>
  </si>
  <si>
    <t>Rahbek, Carsten/0000-0003-4585-0300; Hilton, Geoff/0000-0001-9062-3030; Willis, Stephen/0000-0002-8656-5808</t>
  </si>
  <si>
    <t>0019-1019</t>
  </si>
  <si>
    <t>1474-919X</t>
  </si>
  <si>
    <t>Ibis</t>
  </si>
  <si>
    <t>10.1111/j.1474-919X.2006.00523.x</t>
  </si>
  <si>
    <t>125WT</t>
  </si>
  <si>
    <t>WOS:000243474900003</t>
  </si>
  <si>
    <t>Thuiller, W; Broennimann, O; Hughes, G; Alkemade, JRM; Midgley, GF; Corsi, F</t>
  </si>
  <si>
    <t>Vulnerability of African mammals to anthropogenic climate change under conservative land transformation assumptions</t>
  </si>
  <si>
    <t>Africa; climate change; extinction risk; IPCC storylines; land transformation; mammals; national parks; species distribution models</t>
  </si>
  <si>
    <t>BIOCLIMATE ENVELOPE MODELS; EUROPEAN HIGHER-PLANTS; SPECIES DISTRIBUTIONS; COMMUNITY DYNAMICS; MIGRATION RATES; DIVERSITY; RESPONSES; IMPACTS; HABITAT; SHIFTS</t>
  </si>
  <si>
    <t>Recent observations show that human-induced climate change (CC) and land transformation (LT) are threatening wildlife globally. Thus, there is a need to assess the sensitivity of wildlife on large spatial scales and evaluate whether national parks (NPs), a key conservation tools used to protect species, will meet their mandate under future CC and LT conditions. Here, we assess the sensitivity of 277 mammals at African scale to CC at 10' resolution, using static LT assumptions in a 'first-cut' estimate, in the absence of credible future LT trends. We examine the relationship between species' current distribution and macroclimatic variables using generalized additive models, and include LT indirectly as a filter. Future projections are derived using two CC scenarios (for 2050 and 2080) to estimate the spatial patterns of loss and gain in species richness that might ultimately result. We then apply the IUCN Red List criteria A3(c) of potential range loss to evaluate species sensitivity. We finally estimate the sensitivity of 141 NPs in terms of both species richness and turnover. Assuming no spread of species, 10-15% of the species are projected to fall within the critically endangered or extinct categories by 2050 and between 25% and 40% by 2080. Assuming unlimited species spread, less extreme results show proportions dropping to approximately 10-20% by 2080. Spatial patterns of richness loss and gain show contrasting latitudinal patterns with a westward range shift of species around the species-rich equatorial zone in central Africa, and an eastward shift in southern Africa, mainly because of latitudinal aridity gradients across these ecological transition zones. Xeric shrubland NPs may face significant richness losses not compensated by species influxes. Other NPs might expect substantial losses and influxes of species. On balance, the NPs might ultimately realize a substantial shift in the mammalian species composition of a magnitude unprecedented in recent geological time. To conclude, the effects of global CC and LT on wildlife communities may be most noticeable not as a loss of species from their current ranges, but instead as a fundamental change in community composition.</t>
  </si>
  <si>
    <t>Univ Grenoble 1, CNRS, UMR 5553, Lab Ecol Alpine, F-38041 Grenoble 9, France; S African Natl Biodivers Inst, Global Change Res Grp, ZA-7735 Cape Town, South Africa; Univ Lausanne, Lab Biol Conservat, CH-1015 Lausanne, Switzerland; Netherlands Environm Assessment Agcy, MNP RIVM, NL-3720 AH Bilthoven, Netherlands; Int Inst Geoinformat Sci &amp; Earth Observat, NL-7500 AA Enschede, Netherlands</t>
  </si>
  <si>
    <t>Centre National de la Recherche Scientifique (CNRS); CNRS - Institute of Ecology &amp; Environment (INEE); Communaute Universite Grenoble Alpes; Universite Grenoble Alpes (UGA); Universite Savoie Mont Blanc; South African National Biodiversity Institute; University of Lausanne; Netherlands National Institute for Public Health &amp; the Environment</t>
  </si>
  <si>
    <t>Thuiller, W (corresponding author), Univ Grenoble 1, CNRS, UMR 5553, Lab Ecol Alpine, BP 53, F-38041 Grenoble 9, France.</t>
  </si>
  <si>
    <t>Thuiller@sanbi.org</t>
  </si>
  <si>
    <t>Alkemade, Rob/U-3663-2017; Alkemade, R./U-3663-2017; Midgley, Guy/H-3585-2014; Thuiller, Wilfried/G-3283-2010; Broennimann, Olivier/D-3495-2011</t>
  </si>
  <si>
    <t>Alkemade, Rob/0000-0001-8761-1768; Brönnimann, Olivier/0000-0001-5394-4564; Broennimann, Olivier/0000-0001-9913-3695; Midgley, Guy/0000-0001-8264-0869;</t>
  </si>
  <si>
    <t>10.1111/j.1365-2486.2006.01115.x</t>
  </si>
  <si>
    <t>021YY</t>
  </si>
  <si>
    <t>WOS:000236023000002</t>
  </si>
  <si>
    <t>Bakkenes, M; Eickhout, B; Alkemade, R</t>
  </si>
  <si>
    <t>Impacts of different climate stabilisation scenarios on plant species in Europe</t>
  </si>
  <si>
    <t>biodiversity; climate change; stabilisation profiles; integrated assessment; scenario analysis</t>
  </si>
  <si>
    <t>VULNERABILITY; RESPONSES</t>
  </si>
  <si>
    <t>With the use of goals from the Convention on Biological Diversity we evaluated two climate stabilisation profiles on their merits for conservation of biodiversity.. comparing them with a baseline profile. Focusing on plant ecosystems at the pan-European level, we concluded that although a maximum global-mean temperature increase of 2 degrees C is likely to be met in a 550 ppmv CO2-equivalent stabilisation profile, large areas of ecosystems in Europe will be affected. Most of the impacts manifest themselves in northern countries with a high net increase of plant species, and in Mediterranean countries, with a decrease in the number of plant species and stable area. Other impacts are less robust, given the regional variation in climate results for different climate models. (c) 2005 Elsevier Ltd. All rights reserved.</t>
  </si>
  <si>
    <t>Netherlands Environm Assessment Agcy, RIVM, MNP, NL-3720 AH Bilthoven, Netherlands</t>
  </si>
  <si>
    <t>Netherlands National Institute for Public Health &amp; the Environment</t>
  </si>
  <si>
    <t>Bakkenes, M (corresponding author), Netherlands Environm Assessment Agcy, RIVM, MNP, POB 303, NL-3720 AH Bilthoven, Netherlands.</t>
  </si>
  <si>
    <t>Michel.Bakkenes@nmp.nl; Bas.Eickhout@mnp.nl</t>
  </si>
  <si>
    <t>Alkemade, Rob/U-3663-2017; Alkemade, R./U-3663-2017</t>
  </si>
  <si>
    <t>Alkemade, Rob/0000-0001-8761-1768;</t>
  </si>
  <si>
    <t>10.1016/j.gloenvcha.2005.11.001</t>
  </si>
  <si>
    <t>013QP</t>
  </si>
  <si>
    <t>WOS:000235424500004</t>
  </si>
  <si>
    <t>Dahdouh-Guebas, F; Collin, S; Lo Seen, D; Rönnbäck, P; Depommier, D; Ravishankar, T; Koedam, N</t>
  </si>
  <si>
    <t>Dahdouh-Guebas, F.; Collin, S.; Lo Seen, D.; Ronnback, P.; Depommier, D.; Ravishankar, T.; Koedam, N.</t>
  </si>
  <si>
    <t>Analysing ethnobotanical and fishery-related importance of mangroves of the East-Godavari Delta (Andhra Pradesh, India) for conservation and management purposes</t>
  </si>
  <si>
    <t>JOURNAL OF ETHNOBIOLOGY AND ETHNOMEDICINE</t>
  </si>
  <si>
    <t>COASTAL; FOREST; SUBSISTENCE; DEPENDENCE; KNOWLEDGE; ECOSYSTEM; PRODUCTS; KENYA</t>
  </si>
  <si>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</si>
  <si>
    <t>[Dahdouh-Guebas, F.; Collin, S.] Vrije Univ Brussel, Mangrove Management Grp, Biocomplex Res Team, B-1050 Brussels, Belgium; [Koedam, N.] Vrije Univ Brussel, Lab Gen Bot &amp; Nat Management, Mangrove Management Grp, B-1050 Brussels, Belgium; [Lo Seen, D.; Depommier, D.] Inst Francais Pondichery, Pondicherry 605001, India; [Ronnback, P.] Univ Stockholm, Dept Syst Ecol, S-10691 Stockholm, Sweden; [Ravishankar, T.] MS Swaminathan Res Fdn, Reg Off, Kakinada 533004, Andhra Pradesh, India</t>
  </si>
  <si>
    <t>Vrije Universiteit Brussel; Vrije Universiteit Brussel; Stockholm University</t>
  </si>
  <si>
    <t>Dahdouh-Guebas, F (corresponding author), Vrije Univ Brussel, Mangrove Management Grp, Biocomplex Res Team, Pl Laan 2, B-1050 Brussels, Belgium.</t>
  </si>
  <si>
    <t>fdahdouh@vub.ac.be; fdahdouh@vub.ac.be; danny.loseen@ifpindia.org; pat@system.ecology.su.se; danny.loseen@ifpindia.org; raviethnobotanist@rediffmail.com; nikoedam@vub.ac.be</t>
  </si>
  <si>
    <t>Dahdouh-Guebas, Farid/B-9154-2008; Seen, Danny/C-2679-2008; Lo Seen, Danny/C-2679-2008</t>
  </si>
  <si>
    <t>Lo Seen, Danny/0000-0002-7773-2109; DAHDOUH-GUEBAS, Farid/0000-0002-5906-8996</t>
  </si>
  <si>
    <t>European Commission [ERB IC18-CT98-0295]; Flemish Inter-University Council (VLIR); Flanders Marine Institute (VLIZ Encouragement Award Marine Sciences); International Society of Ethnobiology</t>
  </si>
  <si>
    <t>European Commission(European Union (EU)European Commission Joint Research Centre); Flemish Inter-University Council (VLIR); Flanders Marine Institute (VLIZ Encouragement Award Marine Sciences); International Society of Ethnobiology</t>
  </si>
  <si>
    <t>From the French Institute of Pondicherry we thank D. Grandcolas for her useful socio-geographic input, G. Okrukaimani and Chandra Shekar for the translations, P. Grard and J. Prosperi for the botanical photographs, and S. Oliveau for the calculations of the demographic data from the database of the South Indian Fertility Project. We are particularly indebted to Nirmalla, Sirisha and their mother for making the field stay in Kakinada so pleasant. The first author is a Post-doctoral Researcher from the Fund for Scientific Research (FWO-Vlaanderen). The research was also funded by the European Commission (Contract ERB IC18-CT98-0295), and the Flemish Inter-University Council (VLIR), and it was awarded prizes by the Flanders Marine Institute (VLIZ Encouragement Award Marine Sciences) and by the International Society of Ethnobiology (9th International Congress on Ethnobiology on Social Change and Displacement, in collaboration with 45th Annual Meeting of the Society for Economic Botany, and the 8th International Congress of the International Society of Ethnopharmacology, 13-18 June, Canterbury, U.K.). This research is within the objectives of the International Geosphere-Biosphere Programme (IGBP), Past Global Changes (PAGES) Focus 5 : Past Ecosystem Processes and Human-Environment Interactions.</t>
  </si>
  <si>
    <t>BMC</t>
  </si>
  <si>
    <t>CAMPUS, 4 CRINAN ST, LONDON N1 9XW, ENGLAND</t>
  </si>
  <si>
    <t>1746-4269</t>
  </si>
  <si>
    <t>J ETHNOBIOL ETHNOMED</t>
  </si>
  <si>
    <t>J. Ethnobiol. Ethnomed.</t>
  </si>
  <si>
    <t>10.1186/1746-4269-2-24</t>
  </si>
  <si>
    <t>Biodiversity Conservation; Plant Sciences; Pharmacology &amp; Pharmacy</t>
  </si>
  <si>
    <t>Biodiversity &amp; Conservation; Plant Sciences; Pharmacology &amp; Pharmacy</t>
  </si>
  <si>
    <t>V34MW</t>
  </si>
  <si>
    <t>WOS:000209091500024</t>
  </si>
  <si>
    <t>del Barrio, G; Harrison, PA; Berry, PM; Butt, N; Sanjuan, ME; Pearson, RG; Dawson, T</t>
  </si>
  <si>
    <t>Integrating multiple modelling approaches to predict the potential impacts of climate change on species' distributions in contrasting regions: comparison and implications for policy</t>
  </si>
  <si>
    <t>ENVIRONMENTAL SCIENCE &amp; POLICY</t>
  </si>
  <si>
    <t>species' distributions; climate change; land use; connectivity; fragmentation; scale</t>
  </si>
  <si>
    <t>AGRICULTURAL LAND-USE; HABITAT FRAGMENTATION; CONSERVATION; BIODIVERSITY; SCALE; ASSESSMENTS; VEGETATION; DISPERSAL; MOUNTAINS; ENVELOPE</t>
  </si>
  <si>
    <t>Many studies have predicted the potential impacts of climate change on species' distributions at large spatial scales, yet the role of more local-scale effects remains poorly explored. Addressing more localised impacts requires that new integrated modelling approaches are developed to address fine-scale processes including species' dispersal and local connectivity. Here we integrate four models (a continental scale bioclimatic envelope model, a regional scale bioclimate and land use suitability model, a dispersal model, and a connectivity model) in a scale-dependent hierarchical framework. The approach has been used to analyse the fine scale impacts of climate change on species' distributions within two contrasting case study regions located in East Anglia (UK) and Almeria (Spain). Eight and six species respectively were used to test our approach under three climate change scenarios. Despite the uncertainties inherent in the modelling approach, our analyses suggest two general conclusions: (i) climate change involves the development of transient conditions and fragmentation within the core of species distributions; (ii) climate change would favour the opening of gaps within the current vegetation zones, rather than a simple zonal shift of them. Dynamic and integrated conservation policies are required, that take account of the current and potential future spatial arrangement of species and their habitats, to assist species to respond to future environmental change. (c) 2005 Elsevier Ltd. All rights reserved.</t>
  </si>
  <si>
    <t>CSIC, Estac Expt Zonas Aridas, Almeria 04001, Spain; Univ Oxford, Ctr Environm, Environm Change Inst, Oxford OX1 3QY, England; Amer Museum Nat Hist, Dept Herpetol, New York, NY 10024 USA; Amer Museum Nat Hist, Ctr Biodivers &amp; Conservat, New York, NY 10024 USA; Univ Edinburgh, Ctr Study Environm Change &amp; Sustainabil, Edinburgh EH9 3JN, Midlothian, Scotland</t>
  </si>
  <si>
    <t>Consejo Superior de Investigaciones Cientificas (CSIC); CSIC - Estacion Experimental de Zonas Aridas (EEZA); University of Oxford; American Museum of Natural History (AMNH); American Museum of Natural History (AMNH); University of Edinburgh</t>
  </si>
  <si>
    <t>del Barrio, G (corresponding author), CSIC, Estac Expt Zonas Aridas, Gen Segura 1, Almeria 04001, Spain.</t>
  </si>
  <si>
    <t>gabriel@eeza.csic.es</t>
  </si>
  <si>
    <t>Pearson, Richard/GQH-2760-2022; Harrison, Paula/K-1519-2016; Dawson, Terence/E-4724-2011; del Barrio, Gabriel/D-3865-2013; Butt, Nathalie/B-3558-2014</t>
  </si>
  <si>
    <t>Sanjuán, María E/0000-0002-2430-6093; Berry, Pam/0000-0002-1201-072X; Harrison, Paula/0000-0002-9873-3338; Dawson, Terence/0000-0002-4314-1378; del Barrio, Gabriel/0000-0001-6146-9433; Butt, Nathalie/0000-0003-1517-6191</t>
  </si>
  <si>
    <t>1462-9011</t>
  </si>
  <si>
    <t>1873-6416</t>
  </si>
  <si>
    <t>ENVIRON SCI POLICY</t>
  </si>
  <si>
    <t>Environ. Sci. Policy</t>
  </si>
  <si>
    <t>10.1016/j.envsci.2005.11.005</t>
  </si>
  <si>
    <t>028TG</t>
  </si>
  <si>
    <t>WOS:000236511100004</t>
  </si>
  <si>
    <t>Harrison, PA; Berry, PM; Butt, N; New, M</t>
  </si>
  <si>
    <t>Modelling climate change impacts on species' distributions at the European scale: implications for conservation policy</t>
  </si>
  <si>
    <t>species; climate space; simulation; conservation; policy</t>
  </si>
  <si>
    <t>POTENTIAL IMPACTS; ENVELOPE; RANGES; SHIFTS</t>
  </si>
  <si>
    <t>The availability of suitable climate space across Europe for the distributions of 47 species chosen to encompass a range of taxa (including plants, insects, birds and mammals) and to reflect dominant and threatened species from 10 habitats was modelled for the current climate and three climate change scenarios using the SPECIES neural network model. The present European distribution was satisfactorily simulated for 45 species, which showed good statistics of fit between observed species' distributions and derived models. The predicted responses to climate change demonstrate that the distribution of many species in Europe may be affected by climate change, but that the effects are likely to differ between species. The general pattern is of a south-west to north-east shift in suitable climate space, with gains balancing losses for many species. Based on the total change in potential climate space in Europe, the species most sensitive to climate change were Rubus chamaemorus (Cloudberry; negatively affected) and Genista acanthoclada (Hairy greenweed; positively affected). This disparity in species' response has important implications for EU biodiversity policy as the significance of different countries changes in terms of their future contribution to the conservation of habitats and species. (c) 2005 Elsevier Ltd. All rights reserved.</t>
  </si>
  <si>
    <t>Univ Oxford, Ctr Environm, Environm Change Inst, Oxford OX1 3QY, England; Univ Oxford, Ctr Environm, Sch Geog &amp; Environm, Oxford OX1 3QY, England</t>
  </si>
  <si>
    <t>University of Oxford; University of Oxford</t>
  </si>
  <si>
    <t>Harrison, PA (corresponding author), Univ Oxford, Ctr Environm, Environm Change Inst, S Parks Rd,Dyson Perrins Bldg, Oxford OX1 3QY, England.</t>
  </si>
  <si>
    <t>paula.harrison@ouce.ox.ac.uk</t>
  </si>
  <si>
    <t>New, Mark/A-7684-2008; Harrison, Paula/K-1519-2016; Butt, Nathalie/B-3558-2014</t>
  </si>
  <si>
    <t>New, Mark/0000-0001-6082-8879; Harrison, Paula/0000-0002-9873-3338; Berry, Pam/0000-0002-1201-072X; Butt, Nathalie/0000-0003-1517-6191</t>
  </si>
  <si>
    <t>10.1016/j.envsci.2005.11.003</t>
  </si>
  <si>
    <t>WOS:000236511100003</t>
  </si>
  <si>
    <t>Thuiller, W; Lavorel, S; Sykes, MT; Araújo, MB</t>
  </si>
  <si>
    <t>Using niche-based modelling to assess the impact of climate change on tree functional diversity in Europe</t>
  </si>
  <si>
    <t>climate change; functional diversity; niche-based models; species richness</t>
  </si>
  <si>
    <t>SPECIES DISTRIBUTIONS; EXTINCTION RISK; PLANT TRAITS; ECOSYSTEM; VEGETATION; RANGE; CONSEQUENCES; BIODIVERSITY; RESPONSES; DYNAMICS</t>
  </si>
  <si>
    <t>Rapid anthropogenic climate change is already affecting species distributions and ecosystem functioning worldwide. We applied niche-based models to analyse the impact of climate change on tree species and functional diversity in Europe. Present-day climate was used to predict the distributions of 122 tree species from different functional types (FT). We then explored projections of future distributions under one climate scenario for 2080, considering two alternative dispersal assumptions: no dispersal and unlimited dispersal. The species-rich broadleaved deciduous group appeared to play a key role in the future of different European regions. Temperate areas were projected to lose both species richness and functional diversity due to the loss of broadleaved deciduous trees. These were projected to migrate to boreal forests, thereby increasing their species richness and functional diversity. Atlantic areas provided an intermediate case, with a predicted reduction in the numbers of species and occasional predicted gains in functional diversity. This resulted from a loss in species within the broadleaved deciduous FT, but overall maintenance of the group. Our results illustrate the fact that both species-specific predictions and functional patterns should be examined separately in order to assess the impacts of climate change on biodiversity and gain insights into future ecosystem functioning.</t>
  </si>
  <si>
    <t>Univ Grenoble 1, CNRS, Lab Ecol Alpine, F-38041 Grenoble, France; CNRS, Ctr Ecol Fonct &amp; Evolut, F-34293 Montpellier, France; S African Natl Biodivers Inst, Kirstenbosch Res Ctr, Climate Change Res Grp, ZA-7735 Cape Town, South Africa; Univ Evora, Macroecol &amp; Conservat Unit, P-7000730 Evora, Portugal; Lund Univ, Dept Phys Geog &amp; Ecosyst Anal, Geobiosphere Sci Ctr, S-22362 Lund, Sweden; Univ Oxford, Sch Geog &amp; Environm, Biodivers Res Grp, Oxford OX1 3TB, England; CSIC, Natl Museum Nat Sci, Dept Biodivers &amp; Evolutionary Biol, E-28006 Madrid, Spain</t>
  </si>
  <si>
    <t>Communaute Universite Grenoble Alpes; Universite Grenoble Alpes (UGA); Centre National de la Recherche Scientifique (CNRS); Universite Savoie Mont Blanc; Universite PSL; Ecole Pratique des Hautes Etudes (EPHE); Institut Agro; Montpellier SupAgro; CIRAD; Centre National de la Recherche Scientifique (CNRS); Institut de Recherche pour le Developpement (IRD); Universite Paul-Valery; Universite de Montpellier; South African National Biodiversity Institute; University of Evora; Lund University; University of Oxford; Consejo Superior de Investigaciones Cientificas (CSIC)</t>
  </si>
  <si>
    <t>Thuiller, W (corresponding author), Univ Grenoble 1, CNRS, Lab Ecol Alpine, BP 53X, F-38041 Grenoble, France.</t>
  </si>
  <si>
    <t>thuiller@sanbi.org</t>
  </si>
  <si>
    <t>Thuiller, Wilfried/G-3283-2010; Araújo, Miguel/B-6117-2008; Bastos Araújo, Miguel/B-6117-2008; Lavorel, Sandra/AGM-2903-2022</t>
  </si>
  <si>
    <t>Bastos Araújo, Miguel/0000-0002-5107-7265;</t>
  </si>
  <si>
    <t>10.1111/j.1366-9516.2006.00216.x</t>
  </si>
  <si>
    <t>994JB</t>
  </si>
  <si>
    <t>WOS:000234026600006</t>
  </si>
  <si>
    <t>Altrichter, M</t>
  </si>
  <si>
    <t>The sustainability of subsistence hunting of peccaries in the Argentine Chaco</t>
  </si>
  <si>
    <t>Argentina; Chaco; peccaries; sustainability; Tayassuidae</t>
  </si>
  <si>
    <t>COLLARED PECCARIES; TAYASSU-PECARI; WILDLIFE MANAGEMENT; CATAGONUS-WAGNERI; RANGING BEHAVIOR; ATLANTIC FOREST; POPULATION; TAJACU; FRAGMENTATION; PATTERNS</t>
  </si>
  <si>
    <t>Subsistence hunting practiced by poor rural and indigenous people in Latin America differentially affects the three species of peccaries (Artiodactyla: Tayassuidae). Sustainability of subsistence hunting of peccaries in the Argentine semi-arid Chaco, where the three species coexist, was unknown. My objectives were to determine the importance of peccaries for the local people, describe the current pattern of hunting and its impact on the three species of peccary and identify the factors that affect hunting sustainability. I found that many rural (70%) and village people (40%) consumed peccaries. White-lipped and chacoan peccaries were more susceptible to overharvesting than collared peccary. Current rates of hunting of white-lipped and chacoan peccaries are likely not sustainable because: (a) density of both species was between two to three times higher inside a protected area than outside; (b) populations have declined near larger villages and in older settlements; (c) herds sizes were small in comparison with other regions; (d) large number of juveniles less than one year old were harvested; (e) hunting did not discriminate based on sex or reproductive status and (f) The unified harvest model indicated unsustainable harvest because more than 40% of the reproductive production was taken and populations densities were less than 60% carrying capacities. In contrast, harvest of collared peccary seems sustainable at the current rates of hunting by rural peasants. Other threats such as forest exploitation, however, are accelerating, and are likely to reduce sustainability. (c) 2005 Elsevier Ltd. All rights reserved.</t>
  </si>
  <si>
    <t>Univ Arizona, Sch Renewable Nat Resources, Tucson, AZ 85721 USA</t>
  </si>
  <si>
    <t>University of Arizona</t>
  </si>
  <si>
    <t>Altrichter, M (corresponding author), Univ Arizona, Dept Wildlife &amp; Fisheries Sci, 5103 N Hillcrest Dr, Tucson, AZ 85704 USA.</t>
  </si>
  <si>
    <t>marianaalt@msn.com</t>
  </si>
  <si>
    <t>10.1016/j.biocon.2005.06.024</t>
  </si>
  <si>
    <t>980DJ</t>
  </si>
  <si>
    <t>WOS:000232993900006</t>
  </si>
  <si>
    <t>Etcheverry, P; Ouellet, JP; Crête, M</t>
  </si>
  <si>
    <t>Response of small mammals to clear-cutting and precommercial thinning in mixed forests of southeastern Quebec</t>
  </si>
  <si>
    <t>CANADIAN JOURNAL OF FOREST RESEARCH-REVUE CANADIENNE DE RECHERCHE FORESTIERE</t>
  </si>
  <si>
    <t>LODGEPOLE PINE FOREST; VARIABLE RETENTION HARVESTS; POPULATION-DYNAMICS; STAND STRUCTURE; SNOWSHOE HARES; SMALL RODENTS; CLETHRIONOMYS-GAPPERI; FURBEARER HARVEST; NORTHERN MAINE; BOREAL FOREST</t>
  </si>
  <si>
    <t>The impacts of forest management on habitat characteristics, species richness, and population dynamics of small mammals remain ambiguous. We studied the response of small-mammal populations, including snowshoe hares, to clear-cutting with protection of advanced regeneration and soils (CPRS) and precommercial thinning (PCT). We compared stands recently treated by CPRS or PCT with established stands dominated by deciduous or coniferous trees in two large blocks of mixed forests. We measured habitat components and abundance of small mammals in the four stand types. Trees (DBH &gt;= 9 cm) became very rare in CPRS stands and remained at low density in PCT stands, which stimulated the growth of herbs and seedlings, resulting in increased lateral cover. Tree harvest also generated coarse woody debris in CPRS stands, which did not persist in PCT stands. Small mammals responded to these disturbances in a species-specific manner but, overall, relative abundance and species richness of small mammals were lower in PCT stands than in CPRS and closed stands. Our results suggest that forest managers should exclude some stands from PCT following CPRS or natural perturbations, to maintain ecosystem diversity at the landscape level.</t>
  </si>
  <si>
    <t>Univ Quebec, Ctr Etudes Nord, Dept Biol Chim &amp; Sci Sante, Rimouski, PQ G5L 3A1, Canada; Minist Ressources Nat &amp; Faune, Quebec City, PQ G1R 5V7, Canada</t>
  </si>
  <si>
    <t>University of Quebec</t>
  </si>
  <si>
    <t>Etcheverry, P (corresponding author), Univ Laval, Fac Sci &amp; Genie, Dept Biol, Pavillon Alexandre Vachon,BP 33, Ste Foy, PQ G1K 7P4, Canada.</t>
  </si>
  <si>
    <t>pierre.etcheverry@bio.ulaval.ca</t>
  </si>
  <si>
    <t>NATL RESEARCH COUNCIL CANADA</t>
  </si>
  <si>
    <t>OTTAWA</t>
  </si>
  <si>
    <t>RESEARCH JOURNALS, MONTREAL RD, OTTAWA, ONTARIO K1A 0R6, CANADA</t>
  </si>
  <si>
    <t>0045-5067</t>
  </si>
  <si>
    <t>CAN J FOREST RES</t>
  </si>
  <si>
    <t>Can. J. For. Res.-Rev. Can. Rech. For.</t>
  </si>
  <si>
    <t>10.1139/X05-208</t>
  </si>
  <si>
    <t>010XK</t>
  </si>
  <si>
    <t>WOS:000235231000006</t>
  </si>
  <si>
    <t>Hijmans, RJ; Cameron, SE; Parra, JL; Jones, PG; Jarvis, A</t>
  </si>
  <si>
    <t>Very high resolution interpolated climate surfaces for global land areas</t>
  </si>
  <si>
    <t>INTERNATIONAL JOURNAL OF CLIMATOLOGY</t>
  </si>
  <si>
    <t>ANUSPLIN; climate; error; GIS; interpolation; temperature; precipitation; uncertainty</t>
  </si>
  <si>
    <t>VARIABLES</t>
  </si>
  <si>
    <t>We developed interpolated climate surfaces for global land areas (excluding Antarctica) at a spatial resolution of 30 arc s (often referred to as 1-km spatial resolution). The climate elements considered were monthly precipitation and mean, minimum, and maximum temperature. Input data were gathered from a variety of sources and, where possible, were restricted to records from the 1950-2000 period. We used the thin-plate smoothing spline algorithm implemented in the ANUSPLIN package for interpolation, using latitude, longitude, and elevation as independent variables. We quantified uncertainty arising from the input data and the interpolation by mapping weather station density, elevation bias in the weather stations, and elevation variation within grid cells and through data partitioning and cross validation. Elevation bias tended to be negative (stations lower than expected) at high latitudes but positive in the tropics. Uncertainty is highest in mountainous and in poorly sampled areas. Data partitioning showed high uncertainty of the surfaces on isolated islands, e.g. in the Pacific. Aggregating the elevation and climate data to 10 arc min resolution showed an enormous variation within grid cells, illustrating the value of high-resolution surfaces. A comparison with an existing data set at 10 arc min resolution showed overall agreement, but with significant variation in some regions. A comparison with two high-resolution data sets for the United States also identified areas with large local differences, particularly in mountainous areas. Compared to previous global climatologies, ours has the following advantages: the data are at a higher spatial resolution (400 times greater or more); more weather station records were used; improved elevation data were used; and more information about spatial patterns of uncertainty in the data is available. Owing to the overall low density of available climate stations, our surfaces do not capture of all variation that may occur at a resolution of 1 km, particularly of precipitation in mountainous areas. In future work, such variation might be captured through knowledge-based methods and inclusion of additional co-variates, particularly layers obtained through remote sensing. Copyright (c) 2005 Royal Meteorological Society.</t>
  </si>
  <si>
    <t>Univ Calif Berkeley, Museum Vertebrate Zool, Berkeley, CA 94720 USA; Univ Calif Davis, Dept Environm Sci &amp; Policy, Davis, CA 95616 USA; Univ Queensland, Rainforest Cooperat Res Ctr, St Lucia, Qld 4067, Australia; Ctr Int Agr Trop, Cali, Colombia; Int Plant Genet Resources Inst, Cali, Colombia</t>
  </si>
  <si>
    <t>University of California System; University of California Berkeley; University of California System; University of California Davis; University of Queensland; Alliance; International Center for Tropical Agriculture - CIAT</t>
  </si>
  <si>
    <t>Hijmans, RJ (corresponding author), Univ Calif Berkeley, Museum Vertebrate Zool, 3101 Valley Life Sci Bldg, Berkeley, CA 94720 USA.</t>
  </si>
  <si>
    <t>rhijmans@berkeley.edu</t>
  </si>
  <si>
    <t>Hijmans, Robert/N-3299-2016; Jarvis, Andy/K-5516-2013; Parra, Juan/AFL-2308-2022</t>
  </si>
  <si>
    <t>Jarvis, Andy/0000-0001-6543-0798;</t>
  </si>
  <si>
    <t>0899-8418</t>
  </si>
  <si>
    <t>1097-0088</t>
  </si>
  <si>
    <t>INT J CLIMATOL</t>
  </si>
  <si>
    <t>Int. J. Climatol.</t>
  </si>
  <si>
    <t>10.1002/joc.1276</t>
  </si>
  <si>
    <t>001FT</t>
  </si>
  <si>
    <t>WOS:000234519700002</t>
  </si>
  <si>
    <t>Nagaike, T; Kamitani, T; Nakashizuka, T</t>
  </si>
  <si>
    <t>Effects of different forest management systems on plant species diversity in a Fagus crenata forested landscape of central Japan</t>
  </si>
  <si>
    <t>CANADIAN JOURNAL OF FOREST RESEARCH</t>
  </si>
  <si>
    <t>LARIX-KAEMPFERI PLANTATIONS; OLD-GROWTH; HERBACEOUS COMMUNITIES; VEGETATION; PATTERNS; DYNAMICS; DISTURBANCE; SUCCESSION; RICHNESS; REGION</t>
  </si>
  <si>
    <t>To clarify how different forest management systems affect the diversity of understory vascular plant species at the plot level and the forest-type level, we examined a forested landscape originally occupied by primary Japanese beech, Fagus crenata Blume, in central Japan. The landscape is currently composed of four types of forest: primary F. crenata forest, shelterwood logged F. crenata forest, abandoned coppice forest, and coniferous plantation. Species richness per plot (alpha diversity) and in each forest type (gamma diversity) and species turnover among plots in each forest type (beta diversity) reached their highest values in plantation forests. While the difference in species composition between primary and shelterwood logged forests was not significant, the other pairs of forest types showed significant differences. Ordination analysis revealed that variation in species composition within the plantations seemed to be related to the dominance of naturally regenerated tree species, which reflected the intensity of tending. Although the species composition of less intensively tended plantations was similar to that of abandoned coppice forests that had been repeatedly cut in the past, their species composition differed from that of the primary forests. This suggests that most of the plantation and coppice forests, which were clear-cut at least once, do not revert to primary forest conditions after management is abandoned.</t>
  </si>
  <si>
    <t>Yamanashi Forest Res Inst, Masuho, Yamanashi 4000502, Japan; Univ Tokyo, Grad Sch Agr &amp; Life Sci, Tokyo 1138657, Japan; Niigata Univ, Fac Agr, Niigata 9502181, Japan; Res Inst Human &amp; Nat, Kyoto 6020878, Japan</t>
  </si>
  <si>
    <t>University of Tokyo; Niigata University; Research Institute for Humanity &amp; Nature (RIHN)</t>
  </si>
  <si>
    <t>Nagaike, T (corresponding author), Yamanashi Forest Res Inst, Masuho, Yamanashi 4000502, Japan.</t>
  </si>
  <si>
    <t>nagaike-zty@pref.yamanashi.lg.jp</t>
  </si>
  <si>
    <t>; Nakashizuka, Tohru/AAO-1081-2020</t>
  </si>
  <si>
    <t>Nakashizuka, Tohru/0000-0003-1419-9527;</t>
  </si>
  <si>
    <t>CANADIAN SCIENCE PUBLISHING</t>
  </si>
  <si>
    <t>123 Slater Street, Suite 610, OTTAWA, ON K1P 5H2, CANADA</t>
  </si>
  <si>
    <t>1208-6037</t>
  </si>
  <si>
    <t>Can. J. For. Res.</t>
  </si>
  <si>
    <t>10.1139/X05-200</t>
  </si>
  <si>
    <t>WOS:000235231000008</t>
  </si>
  <si>
    <t>Kueppers, LM; Snyder, MA; Sloan, LC; Zavaleta, ES; Fulfrost, B</t>
  </si>
  <si>
    <t>Modeled regional climate change and California endemic oak ranges</t>
  </si>
  <si>
    <t>Quercus douglasii; species range displacement; Quercus lobata; regional climate model; conservation</t>
  </si>
  <si>
    <t>QUERCUS-DOUGLASII SEEDLINGS; WESTERN UNITED-STATES; BLUE OAK; CHANGE SCENARIOS; SURFACE CLIMATE; SPATIAL SCALE; SOIL-WATER; IMPACTS; DISTRIBUTIONS; POPULATIONS</t>
  </si>
  <si>
    <t>In the coming century, anthropogenic climate change will threaten the persistence of restricted endemic species, complicating conservation planning. Although most efforts to quantify potential shifts in species' ranges use global climate model (GCM) output, regional climate model (RCM) output may be better suited to predicting shifts by restricted species, particularly in regions with complex topography or other regionally important climate-forcing factors. Using a RCM-based future climate scenario, we found that potential ranges of two California endemic oaks, Quercus douglasii and Quercus lobata, shrink considerably (to 59% and 54% of modern potential range sizes, respectively) and shift northward. This result is markedly different from that obtained by using a comparable GCM-based scenario, under which these species retain 81% and 73% of their modern potential range sizes, respectively. The difference between RCM- and GCM-based scenarios is due to greater warming and larger precipitation decreases during the growing season predicted by the RCM in these species' potential ranges. Based on the modeled regional climate change, &lt; 50% of protected land area currently containing these species is expected to contain them under a future midrange business-as-usual path of greenhouse gas emissions.</t>
  </si>
  <si>
    <t>Univ Calif Santa Cruz, Dept Earth Sci, Santa Cruz, CA 95064 USA; Univ Calif Santa Cruz, Dept Environm Studies, Santa Cruz, CA 95064 USA</t>
  </si>
  <si>
    <t>Kueppers, LM (corresponding author), Univ Calif Santa Cruz, Dept Earth Sci, 1156 High St, Santa Cruz, CA 95064 USA.</t>
  </si>
  <si>
    <t>kueppers@es.ucsc.edu</t>
  </si>
  <si>
    <t>Snyder, Mark/KIH-9046-2024; Kueppers, Lara/M-8323-2013</t>
  </si>
  <si>
    <t>Kueppers, Lara/0000-0002-8134-3579; Snyder, Mark/0000-0001-8242-7697</t>
  </si>
  <si>
    <t>NOV 8</t>
  </si>
  <si>
    <t>10.1073/pnas.0501427102</t>
  </si>
  <si>
    <t>984DW</t>
  </si>
  <si>
    <t>WOS:000233283700029</t>
  </si>
  <si>
    <t>Blom, A; van Zalinge, R; Heitkönig, IMA; Prins, HHT</t>
  </si>
  <si>
    <t>Factors influencing the distribution of large mammals within a protected central African forest</t>
  </si>
  <si>
    <t>Central African Republic; Dzanga-Sangha; hunting; mammals; monitoring; protected areas</t>
  </si>
  <si>
    <t>GORILLA-GORILLA-GORILLA; WILDLIFE POPULATIONS; NORTHEASTERN GABON; ELEPHANT NUMBERS; NATIONAL-PARK; LOPE RESERVE; RAIN-FOREST; DUNG COUNTS; DENSITY; CENSUS</t>
  </si>
  <si>
    <t>This paper presents the analyses of data obtained from eight permanent 20 km transects to determine the relative effect of local human populations and ecological factors on the distribution of large mammals within the Dzanga sector of the Dzanga-Ndoki National Park and the adjacent area of the Dzanga-Sangha Dense Forest Special Reserve in south-west Central African Republic. Principal component analysis indicated that human activities significantly influence the distribution of large mammals, even within this protected area. Distance from the village and the main road as well as the distance from secondary roads appeared to have the greatest influence. Elephants in particular were significantly less common in areas related to human use. Our study showed that poachers use roads, both primary and secondary, to penetrate into the National Park. Thus increasing anti-poaching efforts along these roads could be an effective protection measure.</t>
  </si>
  <si>
    <t>Univ Wageningen &amp; Res Ctr, Resource Ecol Grp, NL-6708 PD Wageningen, Netherlands; World Wildlife Fund, Dzanga Sangha Project, Bangui, Cent Afr Republ</t>
  </si>
  <si>
    <t>Blom, A (corresponding author), World Wildlife Fund, 1250 24th St NW, Washington, DC 20037 USA.</t>
  </si>
  <si>
    <t>allard.blom@wwfus.org</t>
  </si>
  <si>
    <t>Heitkonig, Ignas/0000-0001-7771-3111; Prins, Herbert/0000-0003-1131-5107</t>
  </si>
  <si>
    <t>40 WEST 20TH ST, NEW YORK, NY 10011-4211 USA</t>
  </si>
  <si>
    <t>10.1017/S0030605305001080</t>
  </si>
  <si>
    <t>996DB</t>
  </si>
  <si>
    <t>WOS:000234153500009</t>
  </si>
  <si>
    <t>Shoo, LP; Williams, SE; Hero, JM</t>
  </si>
  <si>
    <t>Climate warming and the rainforest birds of the Australian Wet Tropics: Using abundance data as a sensitive predictor of change in total population size</t>
  </si>
  <si>
    <t>climate change; abundance; altitudinal gradient; range shift; population size; rainforest birds</t>
  </si>
  <si>
    <t>COMPARATIVE PHYLOGEOGRAPHY; AMAZONIAN FORESTS; NORTH QUEENSLAND; EXTINCTION RISK; RANGE MARGINS; ANDEAN BIRDS; RESPONSES; BUTTERFLIES; COMPETITION; IMPACTS</t>
  </si>
  <si>
    <t>Global average surface temperatures have increased rapidly over the last 100 years and there is accumulating evidence that climate change is already causing shifts in species' distributions. We use extensive abundance data and expected range shifts across altitudinal gradients to predict changes in total population size of rainforest birds of Australian tropical rainforests in response to climate warming. According to our most conservative model scenario, 74% of rainforest birds of north-eastern Australia are predicted to become threatened (including 26 critically endangered species) as a result of projected mid-range warming expected within the next 100 years. Extinction risk varies according to where along the altitudinal gradient a species is currently most abundant. Upland birds are most affected and are likely to be immediately threatened by even small increases in temperature. In contrast, there is a capacity for the population size of lowland species to increase, at least in the short term. We conclude that abundance data collected across climatic gradients will be fundamental to gaining an understanding of population size change associated with climate warming. (c) 2005 Elsevier Ltd. All rights reserved.</t>
  </si>
  <si>
    <t>Griffith Univ, Sch Environm &amp; Appl Sci, Bundall, Qld 9726, Australia; James Cook Univ N Queensland, Sch Trop Biol, Townsville, Qld 4811, Australia</t>
  </si>
  <si>
    <t>Griffith University; James Cook University</t>
  </si>
  <si>
    <t>Shoo, LP (corresponding author), Griffith Univ, Sch Environm &amp; Appl Sci, PMB 50 Gold Coast Mail Ctr, Bundall, Qld 9726, Australia.</t>
  </si>
  <si>
    <t>l.shoo@griffith.edu.au</t>
  </si>
  <si>
    <t>Willia, Stephen/A-7250-2008; Shoo, Luke/A-2715-2009; Hero, Jean-Marc/A-4257-2010; Williams, Stephen/A-7250-2008</t>
  </si>
  <si>
    <t>Willia, Stephen/0000-0002-2510-7408;</t>
  </si>
  <si>
    <t>10.1016/j.biocon.2005.04.003</t>
  </si>
  <si>
    <t>943MK</t>
  </si>
  <si>
    <t>WOS:000230357900006</t>
  </si>
  <si>
    <t>Bomhard, B; Richardson, DM; Donaldson, JS; Hughes, GO; Midgley, GF; Raimondo, DC; Rebelo, AG; Rouget, M; Thuiller, W</t>
  </si>
  <si>
    <t>Potential impacts of future land use and climate change on the Red List status of the Proteaceae in the Cape Floristic Region, South Africa</t>
  </si>
  <si>
    <t>biodiversity conservation; Cape Floristic Region; climate change; extinction risk; IUCN Red List; land use change; niche-based models; Proteaceae; threatened species</t>
  </si>
  <si>
    <t>BIOCLIMATE ENVELOPE MODELS; INVASIVE ALIEN PLANTS; EXTINCTION RISK; QUANTIFYING THREATS; PROTECTED AREAS; RANGE SHIFTS; BIODIVERSITY; CONSERVATION; PATTERNS; CONFIGURATION</t>
  </si>
  <si>
    <t>Using spatial predictions of future threats to biodiversity, we assessed for the first time the relative potential impacts of future land use and climate change on the threat status of plant species. We thus estimated how many taxa could be affected by future threats that are usually not included in current IUCN Red List assessments. Here, we computed the Red List status including future threats of 227 Proteaceae taxa endemic to the Cape Floristic Region, South Africa, and compared this with their Red List status excluding future threats. We developed eight different land use and climate change scenarios for the year 2020, providing a range of best- to worst-case scenarios. Four scenarios include only the effects of future land use change, while the other four also include the impacts of projected anthropogenic climate change (HadCM2 IS92a GGa), using niche-based models. Up to a third of the 227 Proteaceae taxa are uplisted (become more threatened) by up to three threat categories if future threats as predicted for 2020 are included, and the proportion of threatened Proteaceae taxa rises on average by 9% (range 2-16%), depending on the scenario. With increasing severity of the scenarios, the proportion of Critically Endangered taxa increases from about 1% to 7% and almost 2% of the 227 Proteaceae taxa become Extinct because of climate change. Overall, climate change has the most severe effects on the Proteaceae, but land use change also severely affects some taxa. Most of the threatened taxa occur in low-lying coastal areas, but the proportion of threatened taxa changes considerably in inland mountain areas if future threats are included. Our approach gives important insights into how, where and when future threats could affect species persistence and can in a sense be seen as a test of the value of planned interventions for conservation.</t>
  </si>
  <si>
    <t>S African Natl Biodivers Inst, Kirstenbosch Res Ctr, ZA-7735 Claremont, South Africa; Univ Cape Town, Percy Fitzpatrick Inst African Ornithol, ZA-7701 Rondebosch, South Africa; Univ Stellenbosch, Ctr Invas Biol, ZA-7602 Matieland, South Africa; Univ Cape Town, Leslie Hill Inst Plant Conservat, ZA-7701 Rondebosch, South Africa; Ctr Appl Biodivers Sci, Conservat Int, Washington, DC 20036 USA</t>
  </si>
  <si>
    <t>South African National Biodiversity Institute; University of Cape Town; Stellenbosch University; University of Cape Town; Conservation International</t>
  </si>
  <si>
    <t>Bomhard, B (corresponding author), Brucher Haeuschen 79, D-42109 Wuppertal, Germany.</t>
  </si>
  <si>
    <t>BastianBomhard@yahoo.com</t>
  </si>
  <si>
    <t>Donaldson, John/F-6833-2011; Midgley, Guy/H-3585-2014; Rouget, Mathieu/B-7249-2008; Thuiller, Wilfried/G-3283-2010; Richardson, David/A-1495-2008; Richardson, David/A-1495-2008</t>
  </si>
  <si>
    <t>Donaldson, John/0000-0002-7930-1695; Midgley, Guy/0000-0001-8264-0869; Bertzky, Bastian/0000-0001-7025-4733; Raimondo, Domitilla/0000-0003-3998-752X; Rouget, Mathieu/0000-0002-6172-3152; Richardson, David/0000-0001-9574-8297; Richardson, David/0000-0001-9574-8297</t>
  </si>
  <si>
    <t>10.1111/j.1365-2486.2005.00997.x</t>
  </si>
  <si>
    <t>957TR</t>
  </si>
  <si>
    <t>WOS:000231396700005</t>
  </si>
  <si>
    <t>Beaumont, LJ; Hughes, L; Poulsen, M</t>
  </si>
  <si>
    <t>Predicting species distributions: use of climatic parameters in BIOCLIM and its impact on predictions of species' current and future distributions</t>
  </si>
  <si>
    <t>BIOCLIM; bioclimatic envelope; butterflies; climate change; predictive modeling; range shifts</t>
  </si>
  <si>
    <t>GEOGRAPHIC DISTRIBUTIONS; DISTRIBUTION MODELS; POTENTIAL IMPACTS; ENVELOPE MODELS; SOUTH-AMERICA; GLOBAL CHANGE; AUSTRALIA; BIRDS; VULNERABILITY; CONSERVATION</t>
  </si>
  <si>
    <t>Bioclimatic models are widely used tools for assessing potential responses of species to climate change. One commonly used model is BIOCLIM, which summarises up to 35 climatic parameters throughout a species' known range, and assesses the climatic suitability of habitat under current and future climate scenarios. A criticism of BIOCLIM is that the use of all 35 parameters may lead to over-fitting of the model, which in turn may result in misrepresentations of species' potential ranges and to the loss of biological reality. In this study, we investigated how different methods of combining climatic parameters in BIOCLIM influenced predictions of the current distributions of 25 Australian butterflies species. Distributions were modeled using three previously used methods of selecting climatic parameters: (i) the full set of 35 parameters, (ii) a customised selection of the most relevant parameters for individual species based on analysing histograms produced by BIOCLIM, which show the values for each parameter at all of the focal species known locations, and (iii) a subset of 8 parameters that may generally influence the distributions of butter-flies. We also modeled distributions based on random selections of parameters. Further, we assessed the extent to which parameter choice influenced predictions of the magnitude and direction of range changes under two climate change scenarios for 2020. We found that the size of predicted distributions was negatively correlated with the number of parameters incorporated in the model, with progressive addition of parameters resulting in progressively narrower potential distributions. There was also redundancy amongst some parameters; distributions produced using all 35 parameters were on average half the size of distributions produced using only 6 parameters. The selection of parameters via histogram analysis was influenced, to an extent, by the number of location records for the focal species. Further, species inhabiting different biogeographical zones may have different sets of climatic parameters limiting their distributions; hence, the appropriateness of applying the same subset of parameters to all species may be reduced under these situations. Under future climates, most species were predicted to suffer range reductions regardless of the scenario used and the method of parameter selection. Although the size of predicted distributions varied considerably depending on the method of selecting parameters, there were no significant differences in the proportional change in range size between the three methods: under the worst-case scenario, species' distributions decrease by an average of 12.6, 11.4, and 15.7%, using all parameters, the 'customised set', and the 'general set' of parameters, respectively. However, depending on which method of selecting parameters was used, the direction of change was reversed for two species under the worst-case climate change scenario, and for six species under the best-case scenario (out of a total of 25 species). These results suggest that when averaged over multiple species, the proportional loss or gain of climatically suitable habitat is relatively insensitive to the number of parameters used to predict distributions with BIOCLIM. However, when measuring the response of specific species or the actual size of distributions, the number of parameters is likely to be critical. (c) 2005 Elsevier B.V. All rights reserved.</t>
  </si>
  <si>
    <t>Macquarie Univ, Sch Biol Sci, N Ryde, NSW 2109, Australia; Macquarie Univ, Dept Human Geog, N Ryde, NSW 2109, Australia</t>
  </si>
  <si>
    <t>Macquarie University; Macquarie University</t>
  </si>
  <si>
    <t>Beaumont, LJ (corresponding author), Macquarie Univ, Sch Biol Sci, N Ryde, NSW 2109, Australia.</t>
  </si>
  <si>
    <t>lbeaumon@ma.bio.mq.edu.au</t>
  </si>
  <si>
    <t>Beaumont, Linda/D-5499-2012</t>
  </si>
  <si>
    <t>Hughes, Lesley/0000-0003-0313-9780; Beaumont, Linda/0000-0001-6307-1680</t>
  </si>
  <si>
    <t>AUG 10</t>
  </si>
  <si>
    <t>10.1016/j.ecolmodel.2005.01.030</t>
  </si>
  <si>
    <t>947IJ</t>
  </si>
  <si>
    <t>WOS:000230636400008</t>
  </si>
  <si>
    <t>Clarke, FM; Pio, DV; Racey, PA</t>
  </si>
  <si>
    <t>A comparison of logging systems and bat diversity in the Neotropics</t>
  </si>
  <si>
    <t>biodiversity; Chiroptera; community ecology; forest disturbance; moist tropical forest; Trinidad</t>
  </si>
  <si>
    <t>FORESTS; BIODIVERSITY; CHIROPTERA; PHYLLOSTOMIDAE; COMMUNITIES; DISTURBANCE; INDICATORS; TRINIDAD</t>
  </si>
  <si>
    <t>Evaluating logging systems to determine which are most compatible with the maintenance of biodiversity is of prime importance if tropical forests are to be managed in a sustainable way. Bats are model taxa for this purpose. Two different logging systems are used in the natural forest of the Victoria-Mayaro Forest Reserve in Trinidad: open range and periodic block. Open range is a continuous harvesting system and, in common with most methods used to log tropical forests worldwide, has few harvest controls other than girth limits for selected species. Periodic block is a polycyclic system, with felling based on ecological criteria assumed to be compatible with the maintenance of biodiversity. To compare the effects of periodic block and open-range systems on biodiversity, we determined bat species richness and abundance in each system and in primary forest. We caught bats in mist nets set at ground level and in the canopy and in harp traps. In total 1959 individuals representing 38 species were captured Species richness was similar among primary forest and logged forest habitats, although bat diversity was lower in logged forest. The distributions of bat species abundance did not differ significantly between logged forest and primary forest. We found, however, that both logging systems lead to a decrease in gleaning animalivores and an increase in frugivores. The increase in frugivores was likely the result of an increase in the abundance of bat-dispersed pioneer fruiting plants in logged forest. Bats of periodic-block-managed forest were more similar to those of primary forest than those of forest logged using the open-range system, indicating that the periodic-block system is more compatible with the maintenance of bat diversity. Our results support the suggestion that the measured use of tropical forests can largely be compatible with biodiversity conservation.</t>
  </si>
  <si>
    <t>Univ Aberdeen, Sch Biol Sci, Aberdeen AB24 2TZ, Scotland</t>
  </si>
  <si>
    <t>University of Aberdeen</t>
  </si>
  <si>
    <t>Clarke, FM (corresponding author), Univ Aberdeen, Sch Biol Sci, Aberdeen AB24 2TZ, Scotland.</t>
  </si>
  <si>
    <t>f.clarke@abdn.ac.uk</t>
  </si>
  <si>
    <t>Racey, Paul/I-4541-2019</t>
  </si>
  <si>
    <t>10.1111/j.1523-1739.2005.00170.x</t>
  </si>
  <si>
    <t>953XL</t>
  </si>
  <si>
    <t>WOS:000231118600025</t>
  </si>
  <si>
    <t>Haeussler, S; Kabzems, R</t>
  </si>
  <si>
    <t>Aspen plant community response to organic matter removal and soil compaction</t>
  </si>
  <si>
    <t>SITE PREPARATION; VEGETATION RESPONSE; WHITE SPRUCE; FOREST; DISTURBANCE; UNDERSTORY; GROWTH; PRODUCTIVITY; DIVERSITY; SEVERITY</t>
  </si>
  <si>
    <t>Organic matter removal and reduced soil aeration porosity during logging are important factors influencing the sustained productivity of managed forest ecosystems. We studied the 4-year effect of these factors on diversity and composition of a trembling aspen (Populus tremuloides Michx.) plant community in northeastern British Columbia, Canada, in a completely randomized experiment with three levels of organic matter removal (tree stems; stems and slash; stems, slash, and forest floor) and three levels of soil compaction (none; intermediate (2-cm impression); heavy (5-cm impression)). Tree stem removal caused the greatest change in species diversity (30% of variance; ANOVA p &lt;= 0.01), increasing the dominance of aspen and Calamagrostis canadensis (Michx.) Beauv. over other species. Slash removal had little effect. Forest floor removal caused the greatest compositional change (37% of variance; MANOVA p = 0.001), favoring ruderal over bud-banking species. Presence or absence of forest floor better explained these changes than any soil physical or chemical parameter. Although dominance of aspen over Calamagrostis was positively correlated with soil aeration porosity (R-2 = 0.50, n = 27, p &lt; 0.001), there were few differences between intermediate and heavy compaction. In this ecosystem, disturbances that reduce forest floor thickness without compacting soils will likely optimize plant species diversity and enhance aspen regrowth.</t>
  </si>
  <si>
    <t>Skeena Forsestry Consultants, Smithers, BC V0J 2N4, Canada; British Columbia Minist Forests, Dawson Creek, BC V1G 4A4, Canada</t>
  </si>
  <si>
    <t>Haeussler, S (corresponding author), Skeena Forsestry Consultants, 2041 Monckton Rd, Smithers, BC V0J 2N4, Canada.</t>
  </si>
  <si>
    <t>skeena@bulkley.net</t>
  </si>
  <si>
    <t>10.1139/X05-133</t>
  </si>
  <si>
    <t>978EM</t>
  </si>
  <si>
    <t>WOS:000232856400022</t>
  </si>
  <si>
    <t>Heath, MR</t>
  </si>
  <si>
    <t>Changes in the structure and function of the North Sea fish foodweb, 1973-2000, and the impacts of fishing and climate</t>
  </si>
  <si>
    <t>benthos; demersal fish; fish diet; fisheries; food consumption; pelagic fish; plankton; production; stock assessment</t>
  </si>
  <si>
    <t>TEMPERATURE; BIOMASS; DYNAMICS; ATLANTIC; COD; PHYTOPLANKTON; VARIABILITY; RECRUITMENT; CONSUMPTION; COMMUNITY</t>
  </si>
  <si>
    <t>North Sea environmental and biological data were analysed to examine 30-year changes in production and consumption in the fish foodweb. The analysis revealed that the demand for secondary production placed on the ecosystem by fish declined from approximately 20 g C m(-2) y(-1) in the 1970s to 16 g C m(-2) y(-1) in the 1990s. Over the same period, the proportion of demand provided by zooplankton production increased from around 70% to 75%. The overall decrease was mainly due to a reduction in piscivorous demersal fish. Average secondary production by omnivorous zooplankton was estimated to be 35 g C m(-2) y(-1), and annual fluctuations were positively correlated with the gross production of planktivorous fish. The results suggest a bottom-up control of the pelagic foodweb. Individual planktivore species have been impacted by fishing, but the populations of other functionally similar species have expanded to fill the vacant niches, thus maintaining :he planktivore role in the system. In contrast, the results indicate that benthos production was more top-down controlled. Overall, demersal fish species have been depleted by fishing, with no obvious species expansions to fill the vacant niche, releasing the benthos from predation pressure, and leading to an increase in benthic production and fisheries for invertebrates. Crown Copyright (c) 2005 Published by Elsevier Ltd on behalf of lnternational Council for the Exploration of the Sea. All rights reserved.</t>
  </si>
  <si>
    <t>Marine Lab, Aberdeen AB11 9DB, Scotland</t>
  </si>
  <si>
    <t>Heath, MR (corresponding author), Marine Lab, POB 101,Victoria Rd, Aberdeen AB11 9DB, Scotland.</t>
  </si>
  <si>
    <t>heathmr@marlab.ac.uk</t>
  </si>
  <si>
    <t>Heath, Michael/D-5765-2013</t>
  </si>
  <si>
    <t>Heath, Michael/0000-0001-6602-3107</t>
  </si>
  <si>
    <t>10.1016/j.icesjms.2005.01.023</t>
  </si>
  <si>
    <t>952JD</t>
  </si>
  <si>
    <t>WOS:000230998900003</t>
  </si>
  <si>
    <t>Chu, C; Mandrak, NE; Minns, CK</t>
  </si>
  <si>
    <t>Potential impacts of climate change on the distributions of several common and rare freshwater fishes in Canada</t>
  </si>
  <si>
    <t>climate change; distribution; freshwater fishes; Micropterus dolomieu; Notropis anogenus; Salvelinus alpinus; Salvelinus fontinalis; Sander vitreus; species at risk</t>
  </si>
  <si>
    <t>GREAT-LAKES; ONTARIO; HABITAT; MODELS; ASSEMBLAGES; ICE</t>
  </si>
  <si>
    <t>Climate change will ultimately affect the supply and quality of freshwater lakes and rivers throughout the world. This study examines the potential impacts of climate change on freshwater fish distributions in Canada. Climate normals data (means from 1961 to 1990) from Environment Canada were used to map current climate found throughout the tertiary watersheds of Canada. Logistic regressions based on these climate data were used to develop predictive presence-absence equations for (a) common commercially and recreationally important species and (b) an Arctic freshwater species and a freshwater fish species of conservation significance listed by the Committee on the Status of Endangered Wildlife (COSEWIC). The Canadian Centre for Climate Modelling and Analysis Global Coupled Model 2(IS92a) provided forecasts of Canada's climate in 2020 and 2050. The data from this scenario and the logistic regressions provided a ready framework for predicting the potential distributions of the fishes. Physical and ecological barriers would have to be overcome for the distribution of these species to actually change in response to climate change. Generally, coldwater species may be extirpated from much of their present range while cool and warm-water species may expand northward. Species that are limited to the most southern regions of the country may expand northwards. A conceptual framework for assessing potential climate change impacts on fishes and the variety of management strategies required to deal with these impacts are discussed. Our forecasts demonstrate the need for climate change assessments in species at risk as well as for common species.</t>
  </si>
  <si>
    <t>Fisheries &amp; Oceans Canada, Lab Fisheries &amp; Aquat Sci, Bayfield Inst, Burlington, ON L7R 4A6, Canada</t>
  </si>
  <si>
    <t>Fisheries &amp; Oceans Canada</t>
  </si>
  <si>
    <t>Chu, C (corresponding author), Fisheries &amp; Oceans Canada, Lab Fisheries &amp; Aquat Sci, Bayfield Inst, 867 Lakeshore Rd,POB 5050, Burlington, ON L7R 4A6, Canada.</t>
  </si>
  <si>
    <t>chuc_may05@yahoo.ca</t>
  </si>
  <si>
    <t>; Chu, C/C-9091-2009; Minns, Charles/GYU-2209-2022</t>
  </si>
  <si>
    <t>Chu, Cindy/0000-0002-1914-3218;</t>
  </si>
  <si>
    <t>10.1111/j.1366-9516.2005.00153.x</t>
  </si>
  <si>
    <t>949KI</t>
  </si>
  <si>
    <t>WOS:000230784400004</t>
  </si>
  <si>
    <t>Thuiller, W; Lavorel, S; Araújo, MB; Sykes, MT; Prentice, IC</t>
  </si>
  <si>
    <t>Climate change threats to plant diversity in Europe</t>
  </si>
  <si>
    <t>Intergovernmental Panel on Climate Change storylines; species extinction; species turnover; niche-based model</t>
  </si>
  <si>
    <t>SPECIES DISTRIBUTIONS; ECOLOGICAL NICHES; MODEL; PROJECTIONS; VEGETATION; SHIFTS</t>
  </si>
  <si>
    <t>Climate change has already triggered species distribution shifts in many parts of the world. Increasing impacts are expected for the future, yet few studies have aimed for a general understanding of the regional basis for species vulnerability. We projected late 21st century distributions for 1,350 European plants species under seven climate change scenarios. Application of the International Union for Conservation of Nature and Natural Resources Red List criteria to our projections shows that many European plant species could become severely threatened. More than half of the species we studied could be vulnerable or threatened by 2080. Expected species loss and turnover per pixel proved to be highly variable across scenarios (27-42% and 45-63% respectively, averaged over Europe) and across regions (2.5-86% and 17-86%, averaged over scenarios). Modeled species loss and turnover were found to depend strongly on the degree of change in just two climate variables describing temperature and moisture conditions. Despite the coarse scale of the analysis, species from mountains could be seen to be disproportionably sensitive to climate change (approximate to 60% species loss). The boreal region was projected to lose few species, although gaining many others from immigration. The greatest changes are expected in the transition between the Mediterranean and Euro-Siberian regions. We found that risks of extinction for European plants may be large, even in moderate scenarios of climate change and despite inter-model variability.</t>
  </si>
  <si>
    <t>CNRS, UMR 5175, Ctr Ecol Fonct &amp; Evolut, F-34293 Montpellier, France; Natl Bot Res Inst, Kirstenbosch Res Ctr, Climate Change Res Grp, ZA-7735 Cape Town, South Africa; Univ Evora, Macroecol &amp; Conservat Unit, P-7000730 Evora, Portugal; CNRS, UMR 5553, Lab Ecol Alpine, F-38041 Grenoble, France; Univ Oxford, Sch Geog &amp; Environm, Biodivers Res Grp, Oxford OX1 3TB, England; Lund Univ, Dept Phys Geog &amp; Ecosyst Anal, Geobiosphere Sci Ctr, S-22362 Lund, Sweden; Univ Bristol, Dept Earth Sci, QUEST, Bristol BS8 1RJ, Avon, England</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</si>
  <si>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University of Evora; Communaute Universite Grenoble Alpes; Universite Grenoble Alpes (UGA); Centre National de la Recherche Scientifique (CNRS); Universite Savoie Mont Blanc; CNRS - Institute of Ecology &amp; Environment (INEE); University of Oxford; Lund University; University of Bristol</t>
  </si>
  <si>
    <t>Thuiller, W (corresponding author), CNRS, UMR 5175, Ctr Ecol Fonct &amp; Evolut, 1919 Route Mende, F-34293 Montpellier, France.</t>
  </si>
  <si>
    <t>Thuiller, Wilfried/G-3283-2010; Lavorel, Sandra/AGM-2903-2022; Bastos Araújo, Miguel/B-6117-2008; Araújo, Miguel/B-6117-2008</t>
  </si>
  <si>
    <t>10.1073/pnas.0409902102</t>
  </si>
  <si>
    <t>933RL</t>
  </si>
  <si>
    <t>WOS:000229650500032</t>
  </si>
  <si>
    <t>Parra-Olea, G; Martínez-Meyer, E; de León, GFP</t>
  </si>
  <si>
    <t>Forecasting climate change effects on salamander distribution in the highlands of central Mexico</t>
  </si>
  <si>
    <t>amphibian decline; climate change; ecological niche modeling; Mexico; Plethodonrid salamanders; Pseudoeurycea cephalica; Pseudoeurycea leprosa</t>
  </si>
  <si>
    <t>SPECIES GEOGRAPHIC DISTRIBUTIONS; POTENTIAL DISTRIBUTION; POPULATION; MODELS; SHIFTS; PLETHODONTIDAE; PREDICTIONS; PROJECTIONS; RADIATION; DECLINES</t>
  </si>
  <si>
    <t>A generalized decline of amphibian populations is occurring worldwide. The causes for such a decline are not completely understood; however, climate change has been identified as a possible cause for amphibian extinction, among others. Ecological niche modeling has proven to be a useful tool to predict potential distribution of species in the context of climatic changes. In this paper, we used the Genetic Algorithm for Rule-set Prediction (GARP) to model the potential distributions of two species of plethodontid salamanders: Pseudoeurycea cephalica and P leprosa. We projected their potential distributions under climatic scenarios expected in 50 yr based on a conservative scenario of global climate change and assuming a moderate dispersal ability for both species. Our analyses suggest that climate change effects may pose an additional long-term risk to both species of plethodontid salamanders, with a more dramatic scenario in the case of P leprosa. By the year 2050, this species may lose almost 75 percent of its distributional area, and this projection is even worse when deforestation (in the way it is occurring at present) is considered within the predicted model. Our results concur with those obtained for species with limited dispersal capability because they do not track changing climates, but rather face a loss of distributional area. The survival of these species is not secure, even though their potential distributional area falls within a considerable number of natural protected areas.</t>
  </si>
  <si>
    <t>Univ Nacl Autonoma Mexico, Inst Biol, Dept Zool, Mexico City 04510, DF, Mexico</t>
  </si>
  <si>
    <t>Universidad Nacional Autonoma de Mexico</t>
  </si>
  <si>
    <t>Parra-Olea, G (corresponding author), Univ Nacl Autonoma Mexico, Inst Biol, Dept Zool, AP 70-153, Mexico City 04510, DF, Mexico.</t>
  </si>
  <si>
    <t>gparra@ibiologia.unam.mx</t>
  </si>
  <si>
    <t>Pérez-Ponce de León, Gerardo/U-3869-2017; Martínez-Meyer, Enrique/AAZ-7352-2020; de León, Gerardo/U-3869-2017</t>
  </si>
  <si>
    <t>Pérez-Ponce de León, Gerardo/0000-0001-6472-5113; Martínez-Meyer, Enrique/0000-0003-1184-9264;</t>
  </si>
  <si>
    <t>10.1111/j.1744-7429.2005.00027.x</t>
  </si>
  <si>
    <t>929ON</t>
  </si>
  <si>
    <t>WOS:000229355500007</t>
  </si>
  <si>
    <t>Thieltges, DW</t>
  </si>
  <si>
    <t>Benefit from an invader:: American slipper limpet Crepidula fornicata reduces star fish predation on basibiont European mussels</t>
  </si>
  <si>
    <t>HYDROBIOLOGIA</t>
  </si>
  <si>
    <t>Mytilus edulis; Asterias rubens; impact; predation; epigrowth; introduced species</t>
  </si>
  <si>
    <t>FEEDING-PREFERENCE EXPERIMENTS; CARCINUS-MAENAS; EVOLUTIONARY CONSEQUENCES; MYTILUS-EDULIS; WADDEN SEA; BAY; L.; BIODIVERSITY; EPIBIOSIS; MORTALITY</t>
  </si>
  <si>
    <t>Introduced species have recently become a major concern in ecological research and aquatic conservation. This is due to an increasing appearance of introduced species at a global scale and a multitude of negative impacts on native biota. However, impacts of introduced species are not necessarily only negative. The epizootic American slipper limpet Crepidula fornicata, native at North American Atlantic shores, was introduced to Europe in the 1870s and is now widespread along the Atlantic coast of Europe. Negative effects like trophic and spatial competition have been reported. In its major basibiont in the Wadden Sea, the blue mussel Mytilus edulis, attached limpets reduce survival and growth. However, a laboratory experiment also showed sea star (Asterias rubens) predation on mussels with limpet epigrowth to be three times lower than in unfouled mussels. Hence, although negatively affected by C. fornicata in one way, this epigrowth is beneficial for fouled mussels in another. This indicates that the actual impact of an introduced species is a complex interplay of positive and negative effects which may only be revealed experimentally.</t>
  </si>
  <si>
    <t>Alfred Wegener Inst Polar &amp; Marine Res, Wadden Sea Stn Sylt, D-25992 List Auf Sylt, Germany</t>
  </si>
  <si>
    <t>Thieltges, DW (corresponding author), Alfred Wegener Inst Polar &amp; Marine Res, Wadden Sea Stn Sylt, Hafenstr 43, D-25992 List Auf Sylt, Germany.</t>
  </si>
  <si>
    <t>dthieltges@awi-bremerhaven.de</t>
  </si>
  <si>
    <t>Thieltges, David/E-5719-2015</t>
  </si>
  <si>
    <t>0018-8158</t>
  </si>
  <si>
    <t>Hydrobiologia</t>
  </si>
  <si>
    <t>10.1007/s10750-004-4671-z</t>
  </si>
  <si>
    <t>Marine &amp; Freshwater Biology</t>
  </si>
  <si>
    <t>964KD</t>
  </si>
  <si>
    <t>WOS:000231879100021</t>
  </si>
  <si>
    <t>Thiollay, JM</t>
  </si>
  <si>
    <t>Effects of hunting on guianan forest game birds</t>
  </si>
  <si>
    <t>French Guiana; game birds; hunting; tropical forest</t>
  </si>
  <si>
    <t>COMMUNITY STRUCTURE; DIVERSITY; SUSTAINABILITY; DISTURBANCE; DENSITY</t>
  </si>
  <si>
    <t>To assess the effect of on-going and of previous or near by hunting pressure on game birds in a neotropical rain forest (French Guiana), I compared species abundances between six hunted and disturbed areas, seven non-hunted and pristine areas and eight intermediate areas, undisturbed and not currently hunted, but formerly hunted or close to current hunting areas. I recorded all birds detected within 100 m-wide strip transects, walked at random through every forest type all day long. The frequency of records per 10 h and flock sizes on each transect were averaged over all surveys in each study site (N = 3025 h). Censused groups included terrestrial (tinamous, woodquails, curassow and trumpeter) and arboreal species (guans, macaws, parrots, toucans), but not waterbirds. The abundance of all game birds was higher in non-hunted than in hunted areas, though not always significantly for secretive understorey species (tinamous, guans, wood-quail) or canopy frugivores (parrots, macaws, toucans). The Black Curassow and Gray-winged Trumpeter exhibited the highest and most consistent increases (7-10-fold) and more so between intermediate and non-hunted sites than between hunted and intermediate sites. The mean flock size also increased along the hunting gradient, especially in flocking species (macaws, parrots, trumpeter). Low reproductive rates and/or seasonal movements may explain that hunting pressure could still be felt after hunting has ceased or when it persists only away from a given area. Such a persistent effect would affect some populations in small protected areas.</t>
  </si>
  <si>
    <t>Museum Natl Hist Nat, CERSP, UMR 5173, F-75005 Paris, France</t>
  </si>
  <si>
    <t>Museum National d'Histoire Naturelle (MNHN)</t>
  </si>
  <si>
    <t>Thiollay, JM (corresponding author), Museum Natl Hist Nat, CERSP, UMR 5173, 61 Rue Buffon, F-75005 Paris, France.</t>
  </si>
  <si>
    <t>thiollay@mnhn.fr</t>
  </si>
  <si>
    <t>10.1007/s10531-004-8412-4</t>
  </si>
  <si>
    <t>917ZE</t>
  </si>
  <si>
    <t>WOS:000228507100007</t>
  </si>
  <si>
    <t>Daan, N; Gislason, H; Pope, JG; Rice, JC</t>
  </si>
  <si>
    <t>Changes in the North Sea fish community: evidence of indirect effects of fishing?</t>
  </si>
  <si>
    <t>community metrics; direct and indirect effects of fishing; Lmax spectra; size spectra</t>
  </si>
  <si>
    <t>COASTAL WATERS; SIZE; DIVERSITY; IMPACT; ASSEMBLAGES; PATTERNS; SPECTRA; ECOLOGY; AREA</t>
  </si>
  <si>
    <t>We investigate changes in the North Sea fish community with particular reference to possible indirect effects of fishing, mediated through the ecosystem. In the past, long-term changes in the slope of size spectra of research vessel catches have been related to changes in fishing effort, but such changes may simply reflect the cumulative, direct effects of fishing through selective removal of large individuals. If there is resilience in a fish community towards fishing, we may expect increases in specific components, for instance as a consequence of an associated reduction in predation and/or competition. We show on the basis of three long-term trawl surveys that abundance of small fish (all species) as well as abundance of demersal species with a low maximum length (Lmax) have steadily and significantly increased in absolute numbers over large parts of the North Sea during the last 30 years. Taking average fishing mortality of assessed commercial species as an index of exploitation rate of the fish community, it appears that fishing effort reached its maximum in the mid-1980s and has declined slightly since. If the observed changes in the community are caused by indirect effects of fishing, there must be a considerable delay in response time, because the observed changes generally proceed up to recent years, although both size and Lmax spectra suggest some levelling off, or even recovery in one of the surveys. Indeed, significant correlations between all community metrics and exploitation rate were obtained only if time lags greater than or equal to 6 years were introduced. (C) 2004 International Council for the Exploration of the Sea. Published by Elsevier Ltd. All rights reserved.</t>
  </si>
  <si>
    <t>Netherlands Inst Fishery Res, NL-1970 AB Ijmuiden, Netherlands; Danish Inst Fishery Res, DK-2920 Charlottenlund, Denmark; Old Rectory, Beccles NR34 0BT, Suffolk, England; DFO Sci Advisory Secretariat, Dept Fisheries &amp; Ocean, Ottawa, ON K1A 0E6, Canada</t>
  </si>
  <si>
    <t>Technical University of Denmark; Fisheries &amp; Oceans Canada</t>
  </si>
  <si>
    <t>Daan, N (corresponding author), Netherlands Inst Fishery Res, POB 68, NL-1970 AB Ijmuiden, Netherlands.</t>
  </si>
  <si>
    <t>niels@wur.nl</t>
  </si>
  <si>
    <t>Gislason, Henrik/C-1357-2008</t>
  </si>
  <si>
    <t>Gislason, Henrik/0000-0003-0242-3333</t>
  </si>
  <si>
    <t>10.1016/j.icesjms.2004.08.020</t>
  </si>
  <si>
    <t>904OD</t>
  </si>
  <si>
    <t>WOS:000227506700003</t>
  </si>
  <si>
    <t>de Thoisy, B; Renoux, F; Julliot, C</t>
  </si>
  <si>
    <t>Hunting in northern French Guiana and its impact on primate communities</t>
  </si>
  <si>
    <t>Bushmeat; French Guiana; habitats; hunting; necitropical primates; rainforest; sustainable harvest</t>
  </si>
  <si>
    <t>MONKEYS ALOUATTA-SENICULUS; SEED DISPERSAL; RAIN-FOREST; CONSERVATION; DIVERSITY; ABUNDANCE; FRAGMENTATION; POPULATION; PATTERNS; MAMMALS</t>
  </si>
  <si>
    <t>The Guianas contain one of the largest single remaining tracts of undisturbed tropical rainforest in the world, but this forest and its fauna are facing increased threats. In the north of French Guiana both anthropogenic pressures and conflicts between settlements related to the use of natural resources are growing. Based on surveys in 17 forest sites we show that hunting pressure was the main factor determining current primate species richness, masking the effects of logging or forest type. Three of the larger species, the red howler monkey Alotialta smicitilits, black spider monkey Ateles pain. and tufted capuchin Cebus apella, were less abundant in hunted areas. In the areas around four settlements the harvested biomass of primates was low compared to other game species, but the harvests were close to or beyond the maximal sustainable thresholds for the red howler monkey and tufted capuchin. In French Guiana primates are either fully protected by law (the spider monkey and white-faced saki Pithecia pithecia), or their hunting is restricted to subsistence use (howler monkey, tufted capuchin and wedge-capped capuchin Cebus olivaceus). Most hunted meat is, however, destined for sale. Current conservation policy in French Guiana is limited to legal protection for some species and areas, and laws are poorly enforced. Although large areas of forest and its wildlife are protected simply by their remoteness, there is an increasingly urgent need for the legal protection of all primate species, and the establishment of large protected areas and efficient forest management schemes to minimize the impacts of logging and hunting.</t>
  </si>
  <si>
    <t>Assoc Kwata, BP 672, F-97335 Cayenne, French Guiana; ENGREF, Kourou 97379, French Guiana; Silvolab, Cayenne 97323, French Guiana</t>
  </si>
  <si>
    <t>de Thoisy, B (corresponding author), Assoc Kwata, BP 672, F-97335 Cayenne, French Guiana.</t>
  </si>
  <si>
    <t>thoisy@kwata.org</t>
  </si>
  <si>
    <t>10.1017/S0030605305000384</t>
  </si>
  <si>
    <t>923YF</t>
  </si>
  <si>
    <t>WOS:000228944800017</t>
  </si>
  <si>
    <t>Diederich, S</t>
  </si>
  <si>
    <t>Differential recruitment of introduced Pacific oysters and native mussels at the North Sea coast: coexistence possible?</t>
  </si>
  <si>
    <t>JOURNAL OF SEA RESEARCH</t>
  </si>
  <si>
    <t>Crassostrea gigas; settlement; Mytilus edulis; introduced species; niche partitioning; North Sea</t>
  </si>
  <si>
    <t>MYTILUS-EDULIS-L; WADDEN SEA; INTERTIDAL COMMUNITY; SCHLESWIG-HOLSTEIN; LARVAL SETTLEMENT; BEDS; BEHAVIOR; ECOLOGY; ORGANIZATION; DESTRUCTION</t>
  </si>
  <si>
    <t>Pacific oysters (Crassostrea gigas Thunberg 1793) have been introduced into the Wadden Sea (North Sea), where they settle on native mussel beds (Mytilus edulis L.), which represent the only extensive insular hard substrata in this soft-sediment environment. As abundances of C. gigas rose, some mussel beds became increasingly overgrown with oysters, whereas others did not. Field experiments revealed that recruitment of C. gigas was higher in the lower intertidal than in the upper subtidal zone, that it was higher on conspecifics than on mussels, and that it was not affected by barnacle epigrowth except when settling on mussels. Mussel recruitment is known from inter- and subtidal zones. It occurred equally on oyster and mussel shells but showed a clear preference for barnacle epigrowth over clean shells. Assuming that settlement and recruitment are key processes for species abundances on the North Sea coast, it is predicted that the positive feedback in oyster settlement will lead to rapid reef formation of this invader at the expense of mussel beds. Mussels, however, may escape competitive exclusion by settling between or on the larger oysters especially when barnacles are abundant. Experimental patches with mussels were more often covered by fucoid algae (Fucus vesiculosus forma mytili Nienburg) than patches with oysters, and oyster recruitment was poor underneath such algal canopies. Thus, fucoids may provide the native mussels with a refuge from the invading oysters and the two bivalves may coexist, provided food is not limiting. (c) 2005 Elsevier B.V. All rights reserved.</t>
  </si>
  <si>
    <t>Diederich, S (corresponding author), Alfred Wegener Inst Polar &amp; Marine Res, Wadden Sea Stn Sylt, Hafenstr 43, D-25992 List Auf Sylt, Germany.</t>
  </si>
  <si>
    <t>sdiederich@awi-bremerhaven.de</t>
  </si>
  <si>
    <t>1385-1101</t>
  </si>
  <si>
    <t>1873-1414</t>
  </si>
  <si>
    <t>J SEA RES</t>
  </si>
  <si>
    <t>J. Sea Res.</t>
  </si>
  <si>
    <t>10.1016/j.seares.2005.01.002</t>
  </si>
  <si>
    <t>924FZ</t>
  </si>
  <si>
    <t>WOS:000228965700006</t>
  </si>
  <si>
    <t>Reise, K</t>
  </si>
  <si>
    <t>Coast of change: habitat loss and transformations in the Wadden Sea</t>
  </si>
  <si>
    <t>HELGOLAND MARINE RESEARCH</t>
  </si>
  <si>
    <t>coastal dynamics; estuary; habitat loss; sea level rise; tidal flats</t>
  </si>
  <si>
    <t>SOUTHERN NORTH-SEA; LONG-TERM DECLINE; ZOSTERA-MARINA; TIDAL FLAT; EPIBENTHIC FAUNA; WASTING DISEASE; MYTILUS-EDULIS; ECOSYSTEM; ISLAND; SYLT</t>
  </si>
  <si>
    <t>In the southern North Sea, coastal people commenced with habitat conversions 1,000 years ago. Partly interrupted in late medieval times by large-scale inundations of marshland, progressive embankments transformed the landward half of the amphibic transition zone between a limno-terrestric and a brackish-marine ecosystem into arable land and freshwater lakes. Sea walls rigidly separated the land from the sea. Dynamic transitional habitats have vanished. Areal loss has diminished the capacity of the Wadden Sea to dissipate wave and tidal energy. A coastal ecosystem once rich in marsh plants, seagrass and diatoms on mud flats became transformed into one with less autochthonous phototroph production, dominated by sandy tidal flats, and dependent primarily on allochthonous plankton supply. The large estuaries have been dredged to serve as shipping canals, and have lost most of their former retention and filter capacity. Riverine loads are now flushed right into the North Sea. Symptoms of a syndromatic coastal habitat degradation are diagnosed, leading to a decline in natural habitat diversity. The conventional on-line coastal protection may not achieve a sustainable coastal habitat configuration. At sedimentary coasts immobilised by dikes and petrified shores, a more flexible response to sea level rise is recommended.</t>
  </si>
  <si>
    <t>Reise, K (corresponding author), Alfred Wegener Inst Polar &amp; Marine Res, Wadden Sea Stn Sylt, D-25992 List Auf Sylt, Germany.</t>
  </si>
  <si>
    <t>kreise@awi-bremerhaven.de</t>
  </si>
  <si>
    <t>233 SPRING STREET, NEW YORK, NY 10013 USA</t>
  </si>
  <si>
    <t>1438-387X</t>
  </si>
  <si>
    <t>HELGOLAND MAR RES</t>
  </si>
  <si>
    <t>Helgoland Mar. Res.</t>
  </si>
  <si>
    <t>10.1007/s10152-004-0202-6</t>
  </si>
  <si>
    <t>915TP</t>
  </si>
  <si>
    <t>WOS:000228334500003</t>
  </si>
  <si>
    <t>Marshall, AR; Topp-Jorgensen, JE; Brink, H; Fanning, E</t>
  </si>
  <si>
    <t>Monkey abundance and social structure in two high-elevation forest reserves in the Udzungwa Mountains of Tanzania</t>
  </si>
  <si>
    <t>altitude; transect; logging; bushmeat; Eastern Arc</t>
  </si>
  <si>
    <t>KIBALE NATIONAL-PARK; RED COLOBUS MONKEY; PRIMATE POPULATIONS; GROUP-SIZE; CONSERVATION; ECOLOGY; SOCIOECOLOGY; ANGOLENSIS; BADIUS</t>
  </si>
  <si>
    <t>The effects of human activity on population and social structure are a pantropical concern for primate conservation. We compare census data and social group counts from two forests in the Udzungwa Mountains, Tanzania. The main aim is to relate differences within and between the forests to current theory on the effect of human disturbance on primate abundance and group size. The survey reveals the presence of the restricted-range red colobus, Procolobus gordonorum, in New Dabaga/Ulangambi Forest Reserve (NDUFR). The primate community of NDUFR is impoverished compared to that in Ndundulu forest. Red colobus and black-and-white colobus (Colobus angolensis palliatus) abundance and group size are lowest in NDUFR. Fission-fusion of red colobus social groups may be occurring in previously logged areas of both forests. Our observations are consistent with current theory on the effect of habitat degradation and hunting on primates, but the relative effects of the 2 factors could not be differentiated. We pooled the results with previous data to show that abundance of red colobus in the Udzungwa Mountains is lowest at high elevations. Low red colobus group sizes appear to be related to human activity rather than elevation. Black-and-white colobus and Sykes monkeys ( Cercopithecus mitis) show no relationship with elevation. Future studies will require more detailed information on vegetation, diet and ranging patterns to interpret fully intraspecific variation in population demography and social structure in the Udzungwa Mountains.</t>
  </si>
  <si>
    <t>Univ York, Ctr Ecol Law &amp; Policy, Dept Environm, York YO10 5DD, N Yorkshire, England; Soc Environm Explorat, London EC2A 3QP, England</t>
  </si>
  <si>
    <t>Marshall, AR (corresponding author), Univ York, Ctr Ecol Law &amp; Policy, Dept Environm, York YO10 5DD, N Yorkshire, England.</t>
  </si>
  <si>
    <t>andrewrmarshall@hotmail.com</t>
  </si>
  <si>
    <t>Topp-Jørgensen, Elmer/N-6198-2019</t>
  </si>
  <si>
    <t>Topp-Jørgensen, Elmer/0000-0002-5050-9273</t>
  </si>
  <si>
    <t>10.1007/s10764-005-0011-z</t>
  </si>
  <si>
    <t>902ND</t>
  </si>
  <si>
    <t>WOS:000227362900006</t>
  </si>
  <si>
    <t>Kaur, K; Jalota, RK; Midmore, DJ; Rolfe, J</t>
  </si>
  <si>
    <t>Pasture production in cleared and uncleared grazing systems of central Queensland, Australia</t>
  </si>
  <si>
    <t>RANGELAND JOURNAL</t>
  </si>
  <si>
    <t>woodland pastures; soils; time after clearing</t>
  </si>
  <si>
    <t>OPEN EUCALYPT WOODLANDS; HERBACEOUS UNDERSTOREY; NUTRIENT AVAILABILITY; HERBAGE RESPONSE; WOODY OVERSTORY; TREE; SAVANNA; VEGETATION; DYNAMICS; GRASSES</t>
  </si>
  <si>
    <t>Clearing land of trees and introducing exotic pastures to enhance pasture and cattle production and hence enterprise financial performance are widely practised in Queensland. The results from many previous studies on tree clearing have emphasised the gains in pasture production, but over periods of less than 10-15 years after clearing. The present study questioned the sustainability of pasture production in cleared systems over a longer time-frame (&gt; 10 years of clearing). For this, three different age groups of clearing i.e. 5 year, 11-13 year and 33 year were selected in each of 3 major types of tree communities i.e. Eucalyptus populnea, E. melanophloia and Acacia harpophylla in central Queensland. Paired comparisons of cleared and uncleared (intact) pasture systems were selected for each age group of clearing. The results suggest that the initial gains in pasture production upon clearing were compatible with published studies. However, for longer periods of time since clearing, the gains in pasture production were not sustained and were accompanied by risks of land degradation and loss of pasture plant diversity. For E. populnea and A. harpophylla, the maximum benefits from clearing were achieved at 13-15 years whereas for E. melanophloia, any benefits existed only over a short period of 5-6 years. The study emphasises that each tree community exhibits a specific response with regard to the duration of increased pasture production following clearing. To estimate the total benefits from tree clearing in pasture development, it is important to consider both monetary benefits and non-monetary losses from clearing for different types of tree communities.</t>
  </si>
  <si>
    <t>Univ Cent Queensland, Plant Sci Grp, Primary Ind Res Ctr, Rockhampton, Qld 4702, Australia; Univ Cent Queensland, Ctr Environm Management, Emerald, Qld 4720, Australia</t>
  </si>
  <si>
    <t>Central Queensland University; Central Queensland University</t>
  </si>
  <si>
    <t>Kaur, K (corresponding author), Univ Cent Queensland, Plant Sci Grp, Primary Ind Res Ctr, Rockhampton, Qld 4702, Australia.</t>
  </si>
  <si>
    <t>Kamaljit.sangha@jcu.edu.au</t>
  </si>
  <si>
    <t>Midmore, David/I-7657-2019; Rolfe, John/O-2945-2017; Sangha, Kamaljit Kaur/C-6091-2014; Kaur, Kamaljit/B-1033-2009</t>
  </si>
  <si>
    <t>Rolfe, John/0000-0001-7659-7040; Midmore, David/0000-0001-9946-5008; Sangha, Kamaljit Kaur/0000-0002-7675-9916;</t>
  </si>
  <si>
    <t>CLAYTON SOUTH</t>
  </si>
  <si>
    <t>Private Bag 10, CLAYTON SOUTH, VIC 3169, AUSTRALIA</t>
  </si>
  <si>
    <t>1036-9872</t>
  </si>
  <si>
    <t>1834-7541</t>
  </si>
  <si>
    <t>RANGELAND J</t>
  </si>
  <si>
    <t>Rangeland J.</t>
  </si>
  <si>
    <t>10.1071/RJ05012</t>
  </si>
  <si>
    <t>986DS</t>
  </si>
  <si>
    <t>WOS:000233430700007</t>
  </si>
  <si>
    <t>Lawrence, D</t>
  </si>
  <si>
    <t>Biomass accumulation after 10-200 years of shifting cultivation in bornean rain forest</t>
  </si>
  <si>
    <t>biomass accumulation; carbon sequestration; cultivation history; deforestation; life-history turnover; phosphorus; shafting cultivation; tropical secondary rain forest; West Kalimantan; Indonesian borneo</t>
  </si>
  <si>
    <t>LAND-USE; TROPICAL FORESTS; PHOSPHORUS LIMITATION; NUTRIENT LIMITATION; SECONDARY FORESTS; SOIL-PHOSPHORUS; DYNAMICS; CARBON; SUCCESSION; AGRICULTURE</t>
  </si>
  <si>
    <t>I examined the effect of repeated long-fallow shifting cultivation on biomass accumulation in a rain-forest landscape occupied for over 200 years in West Kalimantan, Indonesia, The diameters of stems &gt;5 cm dbh were measured in nine secondary forests using a stratified random design of nested plots (3000 m(2) per site). The stands were 9-12 years old and had experienced from I to 10 or more cycles of shifting cultivation. Accounting for differences in soil fertility, analysis of covariance (ANCOVA) demonstrated that aboveground live biomass increment (ABI, in megagrams per hectare per year) was significantly greater after four cycles than after six or more cycles. ABI was lowest after two cycles, highest after one or four cycles and intermediate after 6-10 cycles. Differences were driven by the density and biomass of trees &gt;10 cm dbh, which followed a similar pattern. Although the diameter increment and contribution to total biomass of trees &gt;10 cm dbh increased significantly with inherent soil fertility, variation in the rate of biomass accumulation depended primarily on the number of prior cultivation cycles. An ANCOVA with soil fertility as the main effect was not significant. One hypothesis to explain observed patterns of ABI associated with changes in tree density is a shift, over many cycles, in the dominance of seed-banking vs. resprouting species. Previous work has shown that total phosphorus did not decline after six or more cycles; however, a shift from available to occluded forms may be related to lower ABI in sites with the longest cultivation history. An 11% decline in ABI could substantially alter the carbon-sequestration value of secondary tropical forests as they enter their second century of persistent human disturbance.</t>
  </si>
  <si>
    <t>Univ Virginia, Dept Environm Sci, Charlottesville, VA 22904 USA; Duke Univ, Dept Bot, Durham, NC 27708 USA</t>
  </si>
  <si>
    <t>University of Virginia; Duke University</t>
  </si>
  <si>
    <t>Lawrence, D (corresponding author), Univ Virginia, Dept Environm Sci, POB 400123, Charlottesville, VA 22904 USA.</t>
  </si>
  <si>
    <t>lawrence@virginia.edu</t>
  </si>
  <si>
    <t>10.1890/03-0564</t>
  </si>
  <si>
    <t>894KX</t>
  </si>
  <si>
    <t>WOS:000226791700004</t>
  </si>
  <si>
    <t>Scheffler, PY</t>
  </si>
  <si>
    <t>Dung beetle (Coleoptera: Scarabaeidae) diversity and community structure across three disturbance regimes in eastern Amazonia</t>
  </si>
  <si>
    <t>JOURNAL OF TROPICAL ECOLOGY</t>
  </si>
  <si>
    <t>anthropogenic disturbance; biodiversity; Brazil; clear-cutting; dung beetles; pasture; pitfall traps; Scarabaeidae; selective logging</t>
  </si>
  <si>
    <t>TROPICAL RAIN-FOREST; MONKEYS ALOUATTA-PALLIATA; LOS-TUXTLAS; SEED DISPERSAL; FRAGMENTATION; INDICATORS; ABUNDANCE; DEFORESTATION; MANAGEMENT; QUALITY</t>
  </si>
  <si>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</si>
  <si>
    <t>Penn State Univ, University Pk, PA 16802 USA</t>
  </si>
  <si>
    <t>Pennsylvania Commonwealth System of Higher Education (PCSHE); Pennsylvania State University; Pennsylvania State University - University Park</t>
  </si>
  <si>
    <t>Scheffler, PY (corresponding author), POB 69, Volcano, HI 96785 USA.</t>
  </si>
  <si>
    <t>pyl1@psualum.com</t>
  </si>
  <si>
    <t>0266-4674</t>
  </si>
  <si>
    <t>1469-7831</t>
  </si>
  <si>
    <t>J TROP ECOL</t>
  </si>
  <si>
    <t>J. Trop. Ecol.</t>
  </si>
  <si>
    <t>10.1017/S0266467404001683</t>
  </si>
  <si>
    <t>898NL</t>
  </si>
  <si>
    <t>WOS:000227083400002</t>
  </si>
  <si>
    <t>Impact of an invader:: epizootic American slipper limpet Crepidula fornicata reduces survival and growth in European mussels</t>
  </si>
  <si>
    <t>Crepidula fornicata; Mytilus edulis; impact; introduced species; epibiosis; interference competition; mortality; growth</t>
  </si>
  <si>
    <t>EVOLUTIONARY CONSEQUENCES; BARNACLE EPIBIONTS; MYTILUS-EDULIS; L.; BIODIVERSITY; COMPETITION; ORGANISMS; INVASIONS; BIVALVES; LESSONS</t>
  </si>
  <si>
    <t>Worldwide introductions of species have raised concern about ecological and economic impacts. However, research on actual impacts of introduced species on native biota is rare. The American slipper limpet Crepidula fornicata (L.) was unintentionally introduced to Europe in the 1870s with oysters imported for farming purposes. Since C. fornicata is a filter-feeder, trophic competition and associated negative effects when epizootic on bivalves have been assumed. This study is the first to experimentally test in the field effects of the epizootic C. fornicata on survival and growth of its major basibiont in northern Europe, the blue mussel Mytilus edulis L. In 2 field experiments of 12 wk each, epigrowth by C. fornicata resulted in a 4- to 8-fold reduction in survival of mussels, equivalent to a mortality of 28 and 30%, respectively. Shell growth in surviving mussels with attached C. fornicata was 3 to 5 times lower compared to unfouled mussels, but similar to that with artificial limpets. As a causative agent, interference competition in the form of changes in small-scale hydrodynamics due to C. fornicata stacks is suggested. This may result in a high energy expenditure for byssus production of mussels. Trophic exploitation competition does not seem to be relevant. In general, interference and not exploitation competition is suggested to be the major impact of epizootic C. fornicata on its basibionts in Europe. However, the generality of this assumption has to be verified by investigating different C. fornicata-basibiont associations. This stresses the need for a species-by-species approach under diverse environmental settings in assessing impacts of introduced species. In the case of M edulis, this study shows that C. fornicata has the potential to act as an important mortality factor.</t>
  </si>
  <si>
    <t>10.3354/meps286013</t>
  </si>
  <si>
    <t>903QM</t>
  </si>
  <si>
    <t>WOS:000227440700002</t>
  </si>
  <si>
    <t>Decocq, G; Aubert, M; Dupont, F; Alard, D; Saguez, R; Wattez-Franger, A; De Foucault, B; Delelis-Dusollier, A; Bardat, J</t>
  </si>
  <si>
    <t>Plant diversity in a managed temperate deciduous forest: understorey response to two silvicultural systems</t>
  </si>
  <si>
    <t>biodiversity; disturbance regime; forest management; plant functional types; redundancy; resource availability; true forest species</t>
  </si>
  <si>
    <t>ECOSYSTEM FUNCTION; SPECIES DIVERSITY; VEGETATION; BIODIVERSITY; DISTURBANCE; COMMUNITIES; SUCCESSION; DOMINANCE; DYNAMICS; COVER</t>
  </si>
  <si>
    <t>1. Disturbances and resource availability are key factors affecting plant diversity in managed forests. As disturbance regimes vary among silvicultural systems and may simultaneously affect different types of resources, effects on biodiversity can be unpredictable. 2. We compared the effects of two silvicultural systems on understorey plant diversity, including species composition, structural attributes and functional organization. One hundred and thirty-five phytosociological releves were sampled from 27 forest stands managed under either a traditional coppice-with-standards (CWS, n = 12) or a 'close-to-nature' selective cutting system (SC, n = 15), over similar edaphic conditions. Important environmental factors affecting vegetation were deduced using Ellenberg indicator values. Structural diversity was described using traditional indices of alpha and beta diversity. Guilds were defined within the local pool of species using a set of 14 traits and their relationship with silviculture was assessed using correspondence analysis. 3. Post-logged CWS stands share some compositional and structural characteristics with selectively cut stands, including high species richness and a dominance of early successional species. However the species pool for all coppicing areas was higher than for selectively cut areas, suggesting that the high disturbance frequency occurring in the latter may progressively eliminate the most sensitive species. 4. Functional diversity strongly differs between the two systems. Although it is conserved through the silvicultural cycle in the coppice-with-standards system, some guilds were lacking in selectively cut stands. The most negatively impacted guilds were tree and shrub saplings, prostrated ruderals, shade-tolerant perennials and vernal geophytes. The latter two comprise 'true forest species' which may also be considered as 'coppicing-maintained species'. To reach the same values of guild richness (i.e. number of guilds) or redundancy (i.e. proportion of the maximal species richness within each guild), larger areas were required in SC compared with CWS systems. 5. In the SC system, the high proportion of light reaching the forest floor induced a spectacular spread of blackberries Rubus fruticosus agg., which decreased species richness. It also caused shifts in guild composition: graminoids and ferns grew strongly to the detriment of true forest species. 6. Synthesis and applications. Our results suggest long-term negative effects of selective cutting on both structural and functional plant diversity, compared with coppice-with-standards. Cutting intervals are shorter than recovery times, so that early successional species-dominated communities are maintained. Vernal geophytes and shade-tolerant perennials seem to be limited by the frequency of disturbance rather than by the severity of disturbance. We conclude that, from a biodiversity point of view, this 'close-to-nature' system does not cope with the objective of sustainable forest management. The rotations currently in use do not match natural disturbances very closely and are applied to a managed system rather than a natural forest. Retaining remnants of old coppice woods and extending rotations to at least 50 years are recommended where biodiversity conservation is a goal of forest management.</t>
  </si>
  <si>
    <t>Univ Picardie, Dept Bot, 1 Rue Louvels, F-80037 Amiens, France; Univ Rouen, UPRES EA 1293, Ecol Lab, F-76821 Mont St Aignan, France; Univ Lille 2, Dept Bot, F-59006 Lille, France; INRA, Ctr Toulouse, UMR 1201, DYNAFLOR, F-31326 Castanet Tolosan, France; Museum Natl Hist Nat, Serv Patrimoine Nat, Inst Ecol &amp; Gest Biodivers, F-75231 Paris 5, France</t>
  </si>
  <si>
    <t>Universite de Picardie Jules Verne (UPJV); Universite de Rouen Normandie; Universite de Lille; INRAE; Museum National d'Histoire Naturelle (MNHN)</t>
  </si>
  <si>
    <t>Decocq, G (corresponding author), Univ Picardie, Dept Bot, 1 Rue Louvels, F-80037 Amiens, France.</t>
  </si>
  <si>
    <t>guillaume.decocq@u-picardie.fr</t>
  </si>
  <si>
    <t>Aubert, Michaël/C-8724-2012; Alard, Didier/KHZ-7866-2024</t>
  </si>
  <si>
    <t>Aubert, Michaël/0000-0003-4846-1159; Alard, Didier/0000-0003-2703-908X;</t>
  </si>
  <si>
    <t>10.1111/j.0021-8901.2004.00960.x</t>
  </si>
  <si>
    <t>878FT</t>
  </si>
  <si>
    <t>WOS:000225632800006</t>
  </si>
  <si>
    <t>Simmons, RE; Barnard, P; Dean, WRJ; Midgley, GF; Thuiller, W; Hughes, G</t>
  </si>
  <si>
    <t>Climate change and birds: perspectives and prospects from southern Africa</t>
  </si>
  <si>
    <t>OSTRICH</t>
  </si>
  <si>
    <t>SPECIES DISTRIBUTIONS; EVOLUTION; PATTERNS; FUTURE; BIODIVERSITY; DIVERSITY; MIGRATION; ENDEMISM; IMPACTS; SUCCESS</t>
  </si>
  <si>
    <t>Global climate warming, now conclusively linked to anthropogenically-increased CO2 levels in the earth's atmosphere, has already had impacts on the earth's biodiversity and is predicted to threaten more than 1 million species with extinction by 2050. Climate change in southern Africa is expected to involve higher temperatures and lower rainfall, with less predictability and a greater frequency of severe storms, fires and El Nino events. The predicted changes to birds in Africa - the continent most at risk from climate. change - have hardly been explored, yet birds and many other vertebrates face uncertain futures. Here, in one of the first focused analyses of the correlates of climate change vulnerability in southern African birds, we offer a wideranging perspective on which species may be most at risk, and explore which traits may influence the adaptability of extinction risk of bird species. Our review suggests that small nomadic species with short generation times may be least at risk. While larger-bodied species may be physiologically buffered against environmental change, their longer generation times may make them less able to adapt evolutionarily to climate change. Migrant species, and those with specialised feeding niches such as pollinators, are also predicted to be at risk of population declines, based on low ability to adapt to new environments when introduced there as aliens. Species with small ranges (&lt;50 000km(2)) restricted to the two southern African biodiversity hotspots most at risk from climate change - the Cape Floral Kingdom and the Succulent Karoo - are ranked according to low, medium or high risk of extinction. Those restricted to mountain slopes, mountain tops or islands, and those occurring mainly at the southern or western extremes of these biomes, are ranked as highest risk. These include endemic sunbirds, warblers and rock-jumpers - none of which are currently recognised Red Data species. Using climate envelopes we modelled the possible range shifts by 2050 of three pairs of species found in habitats considered to be at risk: fynbos, mountain and and Karoo. All six species lost substantial portions of their range (x = 40%), with the montane Drakensberg Rock-jumper Chaetops aurantius losing most (69%). Significant reductions of available climate space in all species may interact with life history characteristics to threaten many southern African bird species unable to shift geographic range or adapt to novel resource conditions. We conclude with a list of research priorities and testable hypotheses which may advance our understanding of the complex influence that climate change is likely to have on African, particularly southern African, birds.</t>
  </si>
  <si>
    <t>Univ Cape Town, Percy FitzPatrick Inst, DST, Ctr Excellence Birds Keys Biodivers Conservat, ZA-7701 Cape Town, South Africa; So African Natl Biodivers Inst, Global Invas Speciec Programme, ZA-7735 Cape Town, South Africa; So African Natl Biodivers Inst, Climate Change Res Grp, Kirstenbosch Res Ctr, ZA-7735 Cape Town, South Africa; Conservat Int, Ctr Appl Biodivers Sci, Washington, DC USA</t>
  </si>
  <si>
    <t>University of Cape Town; South African National Biodiversity Institute; South African National Biodiversity Institute; Conservation International</t>
  </si>
  <si>
    <t>Simmons, RE (corresponding author), Univ Cape Town, Percy FitzPatrick Inst, DST, Ctr Excellence Birds Keys Biodivers Conservat, ZA-7701 Cape Town, South Africa.</t>
  </si>
  <si>
    <t>harrier@botzoo.ucl.ac.za</t>
  </si>
  <si>
    <t>Midgley, Guy/H-3585-2014; Thuiller, Wilfried/G-3283-2010; Simmons, Robert/AAE-3915-2020</t>
  </si>
  <si>
    <t>Midgley, Guy/0000-0001-8264-0869; Simmons, Robert/0000-0003-4964-8126;</t>
  </si>
  <si>
    <t>0030-6525</t>
  </si>
  <si>
    <t>1727-947X</t>
  </si>
  <si>
    <t>Ostrich</t>
  </si>
  <si>
    <t>10.2989/00306520409485458</t>
  </si>
  <si>
    <t>892VM</t>
  </si>
  <si>
    <t>WOS:000226678100020</t>
  </si>
  <si>
    <t>Cleuvers, M</t>
  </si>
  <si>
    <t>Mixture toxicity of the anti-inflammatory drugs diclofenac, ibuprofen, naproxen, and acetylsalicylic acid</t>
  </si>
  <si>
    <t>ECOTOXICOLOGY AND ENVIRONMENTAL SAFETY</t>
  </si>
  <si>
    <t>Daphnia; Desmodesmus; pharmaceuticals; mixture toxicity; concentration addition; QSAR; narcosis</t>
  </si>
  <si>
    <t>SURFACE WATERS; PHARMACEUTICAL RESIDUES; AQUATIC ENVIRONMENT; DRINKING-WATER; FATE; SEWAGE; COMBINATION; SUBSTANCES; INHIBITION; POLLUTANTS</t>
  </si>
  <si>
    <t>The ecotoxicity of the nonsteroidal anti-inflammatory drugs (NSAIDs) diclofenac, ibuprofen, naproxen, and acetylsalicylic acid (ASA) has been evaluated using acute Daphnia and algal tests. Toxicities were relatively low, with half-maximal effective concentration (EC50) values obtained using Daphnia in the range from 68 to 166 mg L-1 and from 72 to 626 mg L-1 in the algal test. Acute effects of these substances seem to be quite improbable. The quantitative structure-activity relationships (QSAR) approach showed that all substances act by nonpolar narcosis; thus, the higher the n-octanol/water partitioning coefficient (log K-ow) of the substances. the higher is their toxicity. Mixture toxicity of the compounds could be accurately predicted using the concept of concentration addition. Toxicity of the mixture was considerable, even at concentrations at which the single substances showed no or only very slight effects, with some deviations in the Daphnia test, which could be explained by incompatibility of the very steep dose-response curves and the probit analysis of the data. Because pharmaceuticals in the aquatic environment occur usually as Mixtures, an accurate prediction of the mixture toxicity is indispensable for environmental risk assessment. (C) 2003 Elsevier Inc. All rights reserved.</t>
  </si>
  <si>
    <t>Rhein Westfal TH Aachen, Dept Gen Biol, D-52056 Aachen, Germany</t>
  </si>
  <si>
    <t>RWTH Aachen University</t>
  </si>
  <si>
    <t>Cleuvers, M (corresponding author), Rhein Westfal TH Aachen, Dept Gen Biol, Kopernikusstr 16, D-52056 Aachen, Germany.</t>
  </si>
  <si>
    <t>cleuvers@bio2.rwth-aachen.de</t>
  </si>
  <si>
    <t>0147-6513</t>
  </si>
  <si>
    <t>ECOTOX ENVIRON SAFE</t>
  </si>
  <si>
    <t>Ecotox. Environ. Safe.</t>
  </si>
  <si>
    <t>10.1016/S0147-6513(03)00141-6</t>
  </si>
  <si>
    <t>Environmental Sciences; Toxicology</t>
  </si>
  <si>
    <t>Environmental Sciences &amp; Ecology; Toxicology</t>
  </si>
  <si>
    <t>860DG</t>
  </si>
  <si>
    <t>WOS:000224318700004</t>
  </si>
  <si>
    <t>Miles, L; Grainger, A; Phillips, O</t>
  </si>
  <si>
    <t>The impact of global climate change on tropical forest biodiversity in Amazonia</t>
  </si>
  <si>
    <t>Amazonia; biodiversity mapping; biodiversity scenarios; biodiversity trends; climate change modelling; conservation planning; spatial interpolation; tropical forest</t>
  </si>
  <si>
    <t>WOODY-PLANTS; TREE; POLLINATION; DISPERSAL; DIVERSITY; CONSERVATION; RESPONSES; TURNOVER; DYNAMICS; RATES</t>
  </si>
  <si>
    <t>Aim To model long-term trends in plant species distributions in response to predicted changes in global climate. Location Amazonia. Methods The impacts of expected global climate change on the potential and realized distributions of a representative sample of 69 individual Angiosperm species in Amazonia were simulated from 1990 to 2095. The climate trend followed the HADCM2GSa1 scenario, which assumes an annual 1% increase of atmospheric CO2 content with effects mitigated by sulphate forcing. Potential distributions of species in one-degree grid cells were modelled using a suitability index and rectilinear envelope based on bioclimate variables. Realized distributions were additionally limited by spatial contiguity with, and proximity to, known record sites. A size-structured population model was simulated for each cell in the realized distributions to allow for lags in response to climate change, but dispersal was not included. Results In the resulting simulations, 43% of all species became non-viable by 2095 because their potential distributions had changed drastically, but there was little change in the realized distributions of most species, owing to delays in population responses. Widely distributed species with high tolerance to environmental variation exhibited the least response to climate change, and species with narrow ranges and short generation times the greatest. Climate changed most in north-east Amazonia while the best remaining conditions for lowland moist forest species were in western Amazonia. Main conclusions To maintain the greatest resilience of Amazonian biodiversity to climate change as modelled by HADCM2GSa1, highest priority should be given to strengthening and extending protected areas in western Amazonia that encompass lowland and montane forests.</t>
  </si>
  <si>
    <t>Univ Leeds, Sch Geog, Leeds LS2 9JT, W Yorkshire, England</t>
  </si>
  <si>
    <t>University of Leeds</t>
  </si>
  <si>
    <t>Miles, L (corresponding author), Univ Leeds, Sch Geog, Leeds LS2 9JT, W Yorkshire, England.</t>
  </si>
  <si>
    <t>lera.miles@unep-wcmc.org</t>
  </si>
  <si>
    <t>Miles, Lera/C-7334-2009; Phillips, Oliver/A-1523-2011</t>
  </si>
  <si>
    <t>Miles, Lera/0000-0003-0377-5904; Phillips, Oliver/0000-0002-8993-6168</t>
  </si>
  <si>
    <t>10.1111/j.1466-822X.2004.00105.x</t>
  </si>
  <si>
    <t>864QM</t>
  </si>
  <si>
    <t>WOS:000224648000008</t>
  </si>
  <si>
    <t>Wood, EC; Tappan, GG; Hadj, A</t>
  </si>
  <si>
    <t>Understanding the drivers of agricultural land use change in south-central Senegal</t>
  </si>
  <si>
    <t>SUSTAINABLE INTENSIFICATION; CARBON; SAVANNAS; FLUXES</t>
  </si>
  <si>
    <t>Described is (1) the land use and land cover changes that have taken place in the Department of Velingara, an area of tropical dry woodland in south-central Senegal, (2) the biophysical and socio-economic drivers of those changes with an emphasis on transition to agricultural use, and (3) an assessment of the likelihood of intensification of agriculture in the Department. Results indicate that land devoted to agriculture, either in active cultivation or short-term fallow, is increasing. There is little evidence of agricultural intensification in most of Velingara, with extensification coming largely at the cost of reduction in both upland woodlands and riparian forest. (C) 2004 Elsevier Ltd. All rights reserved.</t>
  </si>
  <si>
    <t>USGS, SAIC, EROS Data Ctr, Sioux Falls, SD 57198 USA; Ctr Int Echanges Dev, Dakar, Senegal</t>
  </si>
  <si>
    <t>Science Applications International Corporation (SAIC); United States Department of the Interior; United States Geological Survey</t>
  </si>
  <si>
    <t>Wood, EC (corresponding author), USGS, SAIC, EROS Data Ctr, 47914 252nd St, Sioux Falls, SD 57198 USA.</t>
  </si>
  <si>
    <t>woodec@usgs.gov</t>
  </si>
  <si>
    <t>10.1016/j.jaridenv.2004.03.022</t>
  </si>
  <si>
    <t>854ND</t>
  </si>
  <si>
    <t>WOS:000223909700008</t>
  </si>
  <si>
    <t>Peck, LS; Webb, KE; Bailey, DM</t>
  </si>
  <si>
    <t>Extreme sensitivity of biological function to temperature in Antarctic marine species</t>
  </si>
  <si>
    <t>FUNCTIONAL ECOLOGY</t>
  </si>
  <si>
    <t>aerobic scope; Antarctic; bivalve; burrowing; climate change; ecological limit; extinction; mollusc; swimming; temperature</t>
  </si>
  <si>
    <t>THERMAL TOLERANCE; METABOLISM; PERFORMANCE; CAPACITIES; GROWTH</t>
  </si>
  <si>
    <t>1. Biological capacities to respond to changing environments dictate success or failure of populations and species over time. The major environmental feature in this context is often temperature, and organisms across the planet vary widely in their capacity to cope with temperature variation. With very few exceptions, Antarctic marine species are more sensitive to temperature variation than marine groups elsewhere, having survivable temperature envelopes between 5degreesC and 12degreesC above the minimum sea temperature of -2degreesC. 2. Our findings show that in biological functions important to long-term survival these animals are even more tightly constrained. The Antarctic bivalve mollusc Laternula elliptica and limpet Nacella concinna both survive a few days in experiments at 9-10degreesC, but suffer 50% failure in essential biological activities at 2-3degreesC and complete loss at 5degreesC. The Antarctic scallop Adamussium colbecki is even more sensitive, and loses the ability to swim as temperature approaches 2degreesC. 3. These failures of activity are caused by a loss of aerobic capacity, and the animals investigated are so sensitive that a 2degreesC rise in sea temperature could cause population or species removal from the Southern Ocean.</t>
  </si>
  <si>
    <t>British Antarctic Survey, NERC, Cambridge CB3 0ET, England; Univ Aberdeen, Oceanlab, Newburgh AB41 6AA, Aberdeen, Scotland</t>
  </si>
  <si>
    <t>UK Research &amp; Innovation (UKRI); Natural Environment Research Council (NERC); NERC British Antarctic Survey; University of Aberdeen</t>
  </si>
  <si>
    <t>Peck, LS (corresponding author), British Antarctic Survey, NERC, High Cross,Madingley Rd, Cambridge CB3 0ET, England.</t>
  </si>
  <si>
    <t>l.peck@bas.ac.uk</t>
  </si>
  <si>
    <t>Bailey, David/A-6240-2008; Webb, Karen/A-5977-2010</t>
  </si>
  <si>
    <t>Bailey, David/0000-0002-0824-8823;</t>
  </si>
  <si>
    <t>0269-8463</t>
  </si>
  <si>
    <t>1365-2435</t>
  </si>
  <si>
    <t>FUNCT ECOL</t>
  </si>
  <si>
    <t>Funct. Ecol.</t>
  </si>
  <si>
    <t>10.1111/j.0269-8463.2004.00903.x</t>
  </si>
  <si>
    <t>855UR</t>
  </si>
  <si>
    <t>WOS:000224000900001</t>
  </si>
  <si>
    <t>Schneider, SH</t>
  </si>
  <si>
    <t>Abrupt non-linear climate change, irreversibility and surprise</t>
  </si>
  <si>
    <t>surprise; abrupt climate change; thermobaline circulation; irreversibility; integrated assessment models</t>
  </si>
  <si>
    <t>THERMOHALINE CIRCULATION; INTEGRATED ASSESSMENT; VEGETATION SYSTEM; ATMOSPHERIC CO2; FRESH-WATER; DYNAMICS; INTENSITY; FREQUENCY; EVENTS; POLICY</t>
  </si>
  <si>
    <t>Any discussion of the benefits of greenhouse gas (GHG) mitigation measures should take into consideration the full range of possible climate change outcomes, including impacts that remain highly uncertain, like surprises and other climate irreversibilities. Real-world coupling between complex systems can cause them to exhibit new collective behaviours that are not clearly demonstrable by models that do not include such coupling. Through examples from ocean circulation and atmosphere-biosphere interactions, this paper demonstrates that external forcings such as increases in GHG concentrations can push complex systems from one equilibrium state to another, with non-linear abrupt change as a possible consequence. Furthermore, the harder and faster a system is perturbed, the higher the likelihood of such surprises-a conclusion that has significant bearing on the assessment of the potential benefits of the timing and stringency of GHG abatement measures. The paper concludes with a perspective on how to better incorporate uncertainty and surprise into integrated assessment models of climate change. (C) 2004 Elsevier Ltd. All rights reserved.</t>
  </si>
  <si>
    <t>Stanford Univ, Dept Biol Sci, Stanford, CA 94305 USA</t>
  </si>
  <si>
    <t>Stanford University</t>
  </si>
  <si>
    <t>Schneider, SH (corresponding author), Stanford Univ, Dept Biol Sci, Stanford, CA 94305 USA.</t>
  </si>
  <si>
    <t>shs@stanford.edu</t>
  </si>
  <si>
    <t>10.1016/j.gloenvcha.2004.04.008</t>
  </si>
  <si>
    <t>854EQ</t>
  </si>
  <si>
    <t>WOS:000223884300006</t>
  </si>
  <si>
    <t>Araújo, MB; Cabeza, M; Thuiller, W; Hannah, L; Williams, PH</t>
  </si>
  <si>
    <t>Would climate change drive species out of reserves? An assessment of existing reserve-selection methods</t>
  </si>
  <si>
    <t>bioclimatic modelling; climate change; complementarity; conservation planning; dispersal; distribution models; habitat suitability; persistence; probabilities of occurrence; reserve clustering; reserve selection</t>
  </si>
  <si>
    <t>PLANT MIGRATION; CONSERVATION; NETWORKS; PROBABILITY; PERSISTENCE; DISTRIBUTIONS; CONNECTIVITY; EXTINCTION; DYNAMICS; HOTSPOTS</t>
  </si>
  <si>
    <t>Concern for climate change has not yet been integrated in protocols for reserve selection. However if climate changes as projected, there is a possibility that current reserve-selection methods might provide solutions that are inadequate to ensure species' long-term persistence within reserves. We assessed, for the first time, the ability of existing reserve-selection methods to secure species in a climate-change context. Six methods using a different combination of criteria (representation, suitability and reserve clustering) are compared. The assessment is carried out using European distributions of 1200 plant species and considering two extreme scenarios of response to climate change: no dispersal and universal dispersal. With our data, 6-11% of species modelled would be potentially lost from selected reserves in a 50-year period. Measured uncertainties varied in 6% being 1-3% attributed to dispersal assumptions and 2-5% to the choice of reserve-selection method. Suitability approaches to reserve selection performed best, while reserve clustering performed poorly. We also found that 5% of species modelled would lose their entire climatic envelope in the studied area; 2% of the species modelled would have nonoverlapping distributions; 93% of the species modelled would maintain varying levels of overlapping distributions. We conclude there are opportunities to minimize species' extinctions within reserves but new approaches are needed to account for impacts of climate change on species; especially for those projected to have temporally nonoverlapping distributions.</t>
  </si>
  <si>
    <t>Univ Oxford, Sch Geog &amp; Environm, Oxford OX1 3SZ, England; Nat Hist Museum, Biogeog &amp; Conservat Lab, London SW7 5BD, England; Univ Evora, Macroecol &amp; Cnservat Unit, P-7000730 Evora, Portugal; Univ Helsinki, Dept Systemat &amp; Ecol, Helsinki, Finland; CNRS, Ctr Ecol Fonct &amp; Evolut, F-34293 Montpellier 5, France; Natl Bot Inst, Kirstenbosch Res Ctr, ZA-7735 Cape Town, South Africa; Conservat Int, Ctr Appl Biodivers Sci, Washington, DC USA</t>
  </si>
  <si>
    <t>University of Oxford; Natural History Museum London; University of Evora; University of Helsinki; Universite PSL; Ecole Pratique des Hautes Etudes (EPHE); Institut Agro; Montpellier SupAgro; CIRAD; Centre National de la Recherche Scientifique (CNRS); Institut de Recherche pour le Developpement (IRD); Universite Paul-Valery; Universite de Montpellier; Conservation International</t>
  </si>
  <si>
    <t>Araújo, MB (corresponding author), Univ Oxford, Sch Geog &amp; Environm, Mansfield Rd, Oxford OX1 3TB, England.</t>
  </si>
  <si>
    <t>mba@uevora.pt</t>
  </si>
  <si>
    <t>Araújo, Miguel/B-6117-2008; Cabeza, Mar/ABC-4297-2020; Bastos Araújo, Miguel/B-6117-2008; Thuiller, Wilfried/G-3283-2010</t>
  </si>
  <si>
    <t>Cabeza, Mar/0000-0002-7410-7631; Bastos Araújo, Miguel/0000-0002-5107-7265;</t>
  </si>
  <si>
    <t>10.1111/j.1365-2486.2004.00828.x</t>
  </si>
  <si>
    <t>853HD</t>
  </si>
  <si>
    <t>WOS:000223817000017</t>
  </si>
  <si>
    <t>Hylander, K; Nilsson, C; Gothner, T</t>
  </si>
  <si>
    <t>Effects of buffer-strip retention and clearcutting on land snails in boreal riparian forests</t>
  </si>
  <si>
    <t>buffer strip; clearcutling; green tree retention; land snails; riparian reserves; terrestrial gastropods</t>
  </si>
  <si>
    <t>CLEAR-CUT; SOIL; CONSERVATION; COMMUNITIES; DISTURBANCE; DIVERSITY; ABUNDANCE; STREAMS; FIRE</t>
  </si>
  <si>
    <t>We investigated the short-term effects of forest clearcutting on land snails (terrestrial gastropods) in 15 forest stands along small streams in Sweden. Two different silvicultural treatments were applied at each site: clearcutting across the stream channel and buffer strips 10 m wide on each side of the stream. Additionally, we studied 10 reference sites in unlogged riparian forests along similar-sized streams. All sites were studied before logging and then 2.5 years after logging. After clearcutting the number of individuals in a 0.5-m(2) sample from each site decreased on average from 107 to 87, and the mean number of species per sample decreased from 9.9 to 7.7. Most species were negatively affected, but there were also clear differences in sensitivity. There were correlations between species survival and ground moisture. At the wettest clearcut sites with an almost intact bryophyte cover, the land snails were unaffected by clearcutting. This result suggests that wet or moist forest floors can serve as refugia even at very small spatial scales (e.g., shallow hollows, crevices). If this is an important mechanism, the spatial distribution of small habitats could be important for the long-term survival of the snail fauna or other small, dispersal-limited organisms at clearcut sites. In the buffer strips, the number of individuals decreased but not the number of species, indicating that buffer-strip retention is a good practice for protecting land snails in riparian forests. The varying effectiveness of the buffer strip could partly be explained by the proportion of the remaining basal area, emphasizing that buffer strips could be even more effective if efforts are made to avoid heavy damage by windthrows.</t>
  </si>
  <si>
    <t>Umea Univ, Landscape Ecol Grp, Dept Ecol &amp; Environm Sci, SE-90187 Umea, Sweden; Mid Sweden Univ, Dept Nat &amp; Environm Sci, SE-85170 Sundsvall, Sweden</t>
  </si>
  <si>
    <t>Umea University; Mid-Sweden University</t>
  </si>
  <si>
    <t>Hylander, K (corresponding author), Umea Univ, Landscape Ecol Grp, Dept Ecol &amp; Environm Sci, Uminova Sci Pk, SE-90187 Umea, Sweden.</t>
  </si>
  <si>
    <t>kristoffer.hylander@eg.umu.se</t>
  </si>
  <si>
    <t>Nilsson, Christer/AAI-1354-2019</t>
  </si>
  <si>
    <t>10.1111/j.1523-1739.2004.00199.x</t>
  </si>
  <si>
    <t>842CD</t>
  </si>
  <si>
    <t>WOS:000222979400026</t>
  </si>
  <si>
    <t>Feely, RA; Sabine, CL; Lee, K; Berelson, W; Kleypas, J; Fabry, VJ; Millero, FJ</t>
  </si>
  <si>
    <t>Impact of anthropogenic CO2 on the CaCO3 system in the oceans</t>
  </si>
  <si>
    <t>CALCIUM-CARBONATE; INORGANIC CARBON; ATLANTIC-OCEAN; PACIFIC-OCEAN; CALCIFICATION; FLUXES; DISSOLUTION; DIOXIDE; PARTICLES; CHEMISTRY</t>
  </si>
  <si>
    <t>Rising atmospheric carbon dioxide (CO2) concentrations over the past two centuries have led to greater CO2 uptake by the oceans. This acidification process has changed the saturation state of the oceans with respect to calcium carbonate (CaCO3) particles. Here we estimate the in situ CaCO3 dissolution rates for the global oceans from total alkalinity and chlorofluorocarbon data, and we also discuss the future impacts of anthropogenic CO2 on CaCO3 shell forming species. CaCO3 dissolution rates, ranging from 0.003 to 1.2 micromoles per kilogram per year, are observed beginning near the aragonite saturation horizon. The total water column CaCO3 dissolution rate for the global oceans is approximately 0.5 +/- 0.2 petagrams of CaCO3-C per year, which is approximately 45 to 65% of the export production of CaCO3.</t>
  </si>
  <si>
    <t>NOAA, Pacific Marine Environm Lab, Seattle, WA 98115 USA; Pohang Univ Sci &amp; Technol, Sch Environm Sci &amp; Engn, Pohang 790784, South Korea; Univ So Calif, Dept Earth Sci, Los Angeles, CA 90089 USA; Natl Ctr Atmospher Res, Environm &amp; Soc Impacts Grp, Boulder, CO 80307 USA; Calif State Univ San Marcos, Dept Biol Sci, San Marcos, CA USA; Univ Miami, Rosenstiel Sch Marine &amp; Atmospher Sci, Miami, FL 33149 USA</t>
  </si>
  <si>
    <t>National Oceanic Atmospheric Admin (NOAA) - USA; Pohang University of Science &amp; Technology (POSTECH); University of Southern California; National Center Atmospheric Research (NCAR) - USA; California State University System; California State University San Marcos; University of Miami</t>
  </si>
  <si>
    <t>Feely, RA (corresponding author), NOAA, Pacific Marine Environm Lab, 7600 Sand Point Way Ne, Seattle, WA 98115 USA.</t>
  </si>
  <si>
    <t>richard.a.feely@noaa.gov</t>
  </si>
  <si>
    <t>Feely, Richard/ABI-5740-2020; Lee, Kitack/G-7184-2015</t>
  </si>
  <si>
    <t>Lee, Kitack/0000-0002-4226-2303;</t>
  </si>
  <si>
    <t>JUL 16</t>
  </si>
  <si>
    <t>10.1126/science.1097329</t>
  </si>
  <si>
    <t>837TE</t>
  </si>
  <si>
    <t>WOS:000222662400029</t>
  </si>
  <si>
    <t>Meyneeke, JO</t>
  </si>
  <si>
    <t>Effects of global climate change on geographic distributions of vertebrates in North Queensland</t>
  </si>
  <si>
    <t>global climate change; vertebrates; rainforest; modelling; bioclimatic analysis</t>
  </si>
  <si>
    <t>POTENTIAL DISTRIBUTIONS; EASTERN AUSTRALIA; MONTANE MAMMALS; RAIN-FOREST; EXTINCTIONS; PREDICTION; MODEL; RANGE; CONTRACTIONS; SCENARIO</t>
  </si>
  <si>
    <t>This paper assesses potential changes in the distributions of 12 endemic rainforest vertebrates of the Wet Tropics of Northeastern Australia in response to global warming predictions. It is based on projecting models of current geographic distribution to modelled future conditions taken from regional climate models. In comparing vertebrate species with different mobility, adaptation potential and distribution, consequences of global warming for elements of the regional biodiversity were investigated. The bioclimatic program. BIOCLIM, was used to determine the current climatic ranges and the potential changes in the distributions of the 12 species Linder four climate change scenarios for the year 2100. Results suggest that even species with currently wide climatic ranges may become vulnerable. Species distribution area decreased by more than 50% on average. Furthermore, the remaining predicted range decreased from an average of 90% under a conservative scenario, to about 40% under a less conservative scenario. These results show how sensitively some species could react to climate change and emphasise the need for rapid action on global warming for biodiversity conservation. (C) 2003 Published by Elsevier B.V.</t>
  </si>
  <si>
    <t>Frank Chantelau Univ Luneburg, Fac Environm Studies, Dept Ecol &amp; Environm Chem, D-21335 Luneburg, Germany; James Cook Univ, Sch Trop Biol, Townsville, Qld 4811, Australia</t>
  </si>
  <si>
    <t>Meyneeke, JO (corresponding author), Frank Chantelau Univ Luneburg, Fac Environm Studies, Dept Ecol &amp; Environm Chem, D-21335 Luneburg, Germany.</t>
  </si>
  <si>
    <t>J.-O.Meynecke@bba.de</t>
  </si>
  <si>
    <t>, Jan-Olaf/0000-0002-4639-4055</t>
  </si>
  <si>
    <t>10.1016/j.ecolmodel.2003.07.012</t>
  </si>
  <si>
    <t>818ZX</t>
  </si>
  <si>
    <t>WOS:000221284100002</t>
  </si>
  <si>
    <t>Peterson, AT; Martínez-Meyer, E; González-Salazar, C; Hall, PW</t>
  </si>
  <si>
    <t>Modeled climate change effects on distributions of Canadian butterfly species</t>
  </si>
  <si>
    <t>CANADIAN JOURNAL OF ZOOLOGY</t>
  </si>
  <si>
    <t>EUROPEAN HIGHER-PLANTS; GEOGRAPHIC DISTRIBUTIONS; BIOSPHERE MODEL; NICHE; CONSEQUENCES; RESPONSES; PATTERNS; RANGES</t>
  </si>
  <si>
    <t>Climate change effects on biodiversity are being documented now frequently in the form of changes in phenology and distributional shifts. However, the form that these effects will take over a longer timespan is unclear; for this understanding, a quantitative, validated, predictive approach is key. Here, we use ecological niche modeling and general circulation model outputs to estimate future potential geographic distributions of 111 Canadian butterfly species. We develop future estimates under two emission scenarios from each of two climate change modeling centers; future projections for biodiversity are not only scenario dependent (more severe emission scenarios produce more severe effects on species' distributions) but also model dependent (the Canadian Centre for Climate Modelling and Analysis results were more severe than the Hadley Centre results). One interesting feature is the appearance of disjunctions in species' distributions, hence creating vicariant events over very short time periods. In general, however, a cost of 1%-3% additional loss of species' distributions is associated with more severe scenarios of emissions and climate change, suggesting that subtle biodiversity consequences are associated with the different climate futures debated in political circles.</t>
  </si>
  <si>
    <t>Univ Kansas, Nat Hist Museum, Lawrence, KS 66044 USA; Univ Kansas, Biodivers Res Ctr, Lawrence, KS 66044 USA; Univ Nacl Autonoma Mexico, Inst Biol, Mexico City 04510, DF, Mexico; World Conservat Monitoring Ctr, UN Environm Programme, Biodivers Informat Serv, Cambridge, England</t>
  </si>
  <si>
    <t>University of Kansas; University of Kansas; Universidad Nacional Autonoma de Mexico; United Nations Environment Programme</t>
  </si>
  <si>
    <t>Peterson, AT (corresponding author), Univ Kansas, Nat Hist Museum, Lawrence, KS 66044 USA.</t>
  </si>
  <si>
    <t>Peterson, A. Townsend/I-5697-2013; Martínez-Meyer, Enrique/AAZ-7352-2020; Peterson, A Townsend/I-5697-2013; González-Salazar, Constantino/M-3913-2015</t>
  </si>
  <si>
    <t>Martínez-Meyer, Enrique/0000-0003-1184-9264; Peterson, A Townsend/0000-0003-0243-2379; González-Salazar, Constantino/0000-0001-7347-714X</t>
  </si>
  <si>
    <t>0008-4301</t>
  </si>
  <si>
    <t>1480-3283</t>
  </si>
  <si>
    <t>CAN J ZOOL</t>
  </si>
  <si>
    <t>Can. J. Zool.</t>
  </si>
  <si>
    <t>10.1139/Z04-064</t>
  </si>
  <si>
    <t>855OI</t>
  </si>
  <si>
    <t>WOS:000223983200003</t>
  </si>
  <si>
    <t>Skov, F; Svenning, JC</t>
  </si>
  <si>
    <t>Potential impact of climatic change on the distribution of forest herbs in Europe</t>
  </si>
  <si>
    <t>PLANT MIGRATION RATES; VEGETATION DISTRIBUTION; HABITAT FRAGMENTATION; RESPONSE SURFACES; SPECIES RICHNESS; GLACIAL REFUGIA; FUTURE CLIMATES; SEED DISPERSAL; NORTH-AMERICA; UNITED-STATES</t>
  </si>
  <si>
    <t>The aim of this study is to evaluate the possible consequences of climate change on a representative sample of forest herbs in Europe. A fuzzy climatic envelope was used to predict the location of suitable climatic conditions under two climatic change scenarios. Expected consequences in terms of lost and gained range size and shift in distribution for 26 forest herbs were estimated. These results were combined in an Index of Predicted Range Change for each species. Finally, the effects of habitat fragmentation for potential dispersal routes were evaluated and options for management on a European scale are discussed. Generally, a good agreement of the estimated suitability under the present climate and the observed current distribution was observed. However, species vary a lot in the degree to which they occupy the presently climatically suitable areas in Europe. Many species are absent from large areas with suitable climate and thus could be said to have poor range-filling capacity. A general change in location (range centroid) of the total suitable area was observed: The total suitable area will on average move strongly northwards and moderately eastwards under the relatively mild B1 scenario and more strongly so under the A2 scenario. The required average minimum migration rate per year to track the potential range shift is 2.1 km under the B1 scenario and 3.9 km under the A2 scenario. Moderate losses in the total suitable area in Europe are predicted for most species under both scenarios. However, the predicted changes are very variable, with one species (Actaea erythrocarpa) experiencing total range elimination in Europe (A2 scenario) while the total suitable area is predicted to show large increases for other species. The species that are predicted to experience the greatest proportional losses in their climatically suitable area within their presently realised range tend to have northern or eastern range centroids. The Index of Predicted Range Change roughly divides the species studied in four groups: One species face a high risk of extinction; eight species are expected to experience moderate to severe threat of extinction; 11 species are not considered at risk and, finally, six species may actually benefit from global warming. An analysis of potential migration routes shows the importance of maintaining and, if possible, improving the network of forest throughout Europe to make migration possible. It is also suggested to closely monitor the status of boreal and subalpine species that are most threatened by global warming. Finally it is recommended that special concern should be given to increased protection and restoration of forest habitats in southern montane areas for their crucial long-term importance for the maintenance of European plant diversity.</t>
  </si>
  <si>
    <t>Natl Environm Res Inst Denmark, Dept Wildlife Ecol &amp; Biodivers, DK-8410 Ronde, Denmark; Aarhus Univ, Dept Systemat Bot, DK-8000 Aarhus C, Denmark</t>
  </si>
  <si>
    <t>Aarhus University; Danish National Environmental Research Institute; Aarhus University</t>
  </si>
  <si>
    <t>Skov, F (corresponding author), Natl Environm Res Inst Denmark, Dept Wildlife Ecol &amp; Biodivers, Grenavej 12, DK-8410 Ronde, Denmark.</t>
  </si>
  <si>
    <t>fs@dmu.dk</t>
  </si>
  <si>
    <t>10.1111/j.0906-7590.2004.03823.x</t>
  </si>
  <si>
    <t>820WU</t>
  </si>
  <si>
    <t>WOS:000221421200010</t>
  </si>
  <si>
    <t>Haysom, KA; McCracken, DI; Foster, GN; Sotherton, NW</t>
  </si>
  <si>
    <t>Developing grassland conservation headlands: response of carabid assemblage to different cutting regimes in a silage field edge</t>
  </si>
  <si>
    <t>carabid; conservation headland; cutting; diversity; field margin; grassland management</t>
  </si>
  <si>
    <t>BEETLE PTEROSTICHUS-MELANARIUS; GROUND BEETLES; BENEFICIAL ARTHROPODS; MANAGEMENT; DENSITIES; ABUNDANCE; HABITATS; FARMLAND; INVERTEBRATES; COLEOPTERA</t>
  </si>
  <si>
    <t>Prescriptions for the management of arable field edges are an established component of many agri-environment schemes that aim to enhance the wildlife value of farmed land, yet there are few analogous recommendations for the margins of intensively managed grassland. An experiment examined the response of a carabid beetle assemblage to three cutting regimes (uncut, one cut, three cuts per annum) applied in the headland area of a silage field. In the third year of management, diversity in the uncut plots was significantly greater than in the one and three cuts plots. Ordinations showed distance from field edge and cutting regime effects in species composition. Relaxation of cutting management increased the effective area of the inter-crop habitat and species that responded positively were those that preferred shaded or moist conditions. Results are discussed in the context of individual species requirements and in relation to management options for agricultural grassland. (C) 2003 Elsevier B.V All rights reserved.</t>
  </si>
  <si>
    <t>Scottish Agr Coll, Auchincruive KA6 5HW, Ayr, Scotland; Game Conservancy Trust, Fordingbridge SP6 1EF, Hants, England</t>
  </si>
  <si>
    <t>Scottish Agricultural College</t>
  </si>
  <si>
    <t>Haysom, KA (corresponding author), CABI Biosci UK Ctr Egham, Bakeham Lane, Egham TW20 9TY, Surrey, England.</t>
  </si>
  <si>
    <t>k.haysom@cabi.org</t>
  </si>
  <si>
    <t>McCracken, Davy/G-6869-2012; McCracken, David/G-6869-2012</t>
  </si>
  <si>
    <t>McCracken, Davy/0000-0001-5057-0448;</t>
  </si>
  <si>
    <t>10.1016/j.agee.2003.09.014</t>
  </si>
  <si>
    <t>812XZ</t>
  </si>
  <si>
    <t>WOS:000220873500003</t>
  </si>
  <si>
    <t>Penttilä, R; Siitonen, J; Kuusinen, M</t>
  </si>
  <si>
    <t>Polypore diversity in managed and old-growth boreal Picea abies forests in southern Finland</t>
  </si>
  <si>
    <t>biodiversity; dead wood; forest management; stand structure; threatened species; wood-decaying fungi</t>
  </si>
  <si>
    <t>WOOD-INHABITING FUNGI; SPECIES RICHNESS; POPULUS-TREMULA; SPRUCE FORESTS; NORWAY SPRUCE; HABITAT; BIODIVERSITY; CONSERVATION; SWEDEN; DEBRIS</t>
  </si>
  <si>
    <t>Polypore communities were compared between mature managed, overmature managed, and old-growth spruce-dominated forests in southern Finland. A total of 85 polypore species, with 6000 records, were found in 16 sample plots, each 4 ha in size. Old-growth stands had on average 80% more species than mature stands, and 38% more species than overmature managed stands. Variation in polypore species richness was best explained by diversity of dead wood and the number and volume of dead trees. The best predictor for the number of threatened polypore species was the number of cut stumps. Threatened species were practically confined to old-growth forests and to stands in which the amount of dead wood exceeded 20 m(3)/ha. This figure appears to represent a stand-level threshold value for the amount of dead wood, below which the persistence of threatened species becomes unlikely. Our results suggest that a significant increase in the amount of dead wood (e.g. by leaving large retention trees and even by killing trees) is needed in managed forests before they become suitable habitats for threatened polypores. (C) 2004 Elsevier Ltd. All rights reserved.</t>
  </si>
  <si>
    <t>Univ Helsinki, Dept Ecol &amp; Systemat, FIN-00014 Helsinki, Finland; Vantaa Res Ctr, Finnish Forest Res Inst, FIN-01301 Vantaa, Finland</t>
  </si>
  <si>
    <t>University of Helsinki; Natural Resources Institute Finland (Luke)</t>
  </si>
  <si>
    <t>Penttilä, R (corresponding author), Finnish Environm Inst, POB 140, FIN-00251 Helsinki, Finland.</t>
  </si>
  <si>
    <t>reijo.penttila@ymparisto.fi</t>
  </si>
  <si>
    <t>Siitonen, Juha/D-7117-2017</t>
  </si>
  <si>
    <t>10.1016/j.biocon.2003.12.007</t>
  </si>
  <si>
    <t>810KJ</t>
  </si>
  <si>
    <t>WOS:000220702900006</t>
  </si>
  <si>
    <t>Blom, A; van Zalinge, R; Mbea, E; Heitkönig, IMA; Prins, HHT</t>
  </si>
  <si>
    <t>Human impact on wildlife populations within a protected Central African forest</t>
  </si>
  <si>
    <t>Central Africa; conservation; monitoring; wildlife</t>
  </si>
  <si>
    <t>GORILLA-GORILLA-GORILLA; LOXODONTA-AFRICANA; NORTHEASTERN GABON; NATIONAL-PARK; LOPE-RESERVE; DUNG COUNTS; RAIN-FOREST; ELEPHANTS; DENSITY; CENSUS</t>
  </si>
  <si>
    <t>This paper addresses the effect of human activities on the density of large mammals in the Dzanga-Ndoki National Park and the adjacent Dzanga-Sangha Reserve in the Central African Republic. Between six and eight 20 km long permanent transects were walked on a monthly basis from January 1997 to August 1999 to assess large mammal populations as well as human intrusion. There were no obvious seasonal or monthly trends in elephant, gorilla or non-human primate densities. Overall, it appears that human activities negatively influence the distribution of most of the large forest animals in Dzanga-Sangha. Elephants in particular were significantly less common in areas used by humans, but also other species such as non-human primates showed lower densities closer to the main road and the town of Bayanga. This study confirms the findings of previous studies that roads have a negative impact on wildlife populations. Results of this study stress the need for conservation of large uninterrupted forest blocks to maintain wildlife populations at normal levels. Simply creating roads, even within a protected Central African forest, is likely to have negative impacts on wildlife populations.</t>
  </si>
  <si>
    <t>Univ Wageningen &amp; Res Ctr, Trop Nat Conservat &amp; Vertebrate Ecol Grp, NL-6708 PD Wageningen, Netherlands; SUNY Stony Brook, Dept Anthropol, Stony Brook, NY 11794 USA; World Wildlife Fund, Dzanga Sangha Project, Bangui, Cent Afr Republ</t>
  </si>
  <si>
    <t>Wageningen University &amp; Research; State University of New York (SUNY) System; Stony Brook University</t>
  </si>
  <si>
    <t>Blom, A (corresponding author), ECOFAC, BP 15115, Libreville, Gabon.</t>
  </si>
  <si>
    <t>allardblom@assala.net</t>
  </si>
  <si>
    <t>Prins, Herbert/0000-0003-1131-5107; Heitkonig, Ignas/0000-0001-7771-3111</t>
  </si>
  <si>
    <t>BLACKWELL PUBLISHING LTD</t>
  </si>
  <si>
    <t>9600 GARSINGTON RD, OXFORD OX4 2DG, OXON, ENGLAND</t>
  </si>
  <si>
    <t>10.1111/j.0141-6707.2004.00441.x</t>
  </si>
  <si>
    <t>809HN</t>
  </si>
  <si>
    <t>WOS:000220627900003</t>
  </si>
  <si>
    <t>Maeto, K; Sato, S</t>
  </si>
  <si>
    <t>Impacts of forestry on ant species richness and composition in warm-temperate forests of Japan</t>
  </si>
  <si>
    <t>chronosequence; conifer plantations; forest management; arthropod biodiversity; fragmentation; old-growth native forests</t>
  </si>
  <si>
    <t>DISTURBANCE; INDICATORS; MANAGEMENT; DIVERSITY; BEETLES</t>
  </si>
  <si>
    <t>To understand the long-term impacts of forestry, i.e., the conversion of old-growth native forests to second-growth native forests or conifer plantations, on ant species richness (i.e., the number of species) and species composition, ant assemblages from five old-growth forests (more than 120 years), four second-growth forests (30-70 years) and three conifer plantations (30-40 years) were compared in the Shimanto River Basin, Shikoku, southwest Japan. The number of ant species collected totaled 39. The number of ant species from the old-growth native forests, second-growth native forests and conifer plantations was 10-20, 15-20 and 11-15, respectively. The overall ant species richness had not been affected by forest conversion. However, correspondence analysis (CA) showed that the ant species composition was markedly different between old-growth forests and converted forests (second-growth forests and conifer plantations). The species richness of woodland specialists was greater in the old-growth forests, and open-habitat specialists and habitat generalists dominated the converted forests. The impacts of forestry on ant assemblages were of a long duration. Ant assemblages of the second-growth forests under regeneration for 40-70 years after logging were still distinct from those of old-growth forests. Careful management of second-growth forests bordering old-growth remnants would be essential to prevent the invasion of open-habitat species of ants into the interior of old-growth forests. (C) 2003 Elsevier B.V. All rights reserved.</t>
  </si>
  <si>
    <t>Kobe Univ, Fac Agr, Lab Insect Sci, Nada Ku, Kobe, Hyogo 6578501, Japan; Forestry &amp; Forest Prod Res Inst, Shikoku Res Ctr, Kochi 7808077, Japan</t>
  </si>
  <si>
    <t>Kobe University; Forestry &amp; Forest Products Research Institute - Japan</t>
  </si>
  <si>
    <t>Maeto, K (corresponding author), Kobe Univ, Fac Agr, Lab Insect Sci, Nada Ku, Rokkodai 1-1, Kobe, Hyogo 6578501, Japan.</t>
  </si>
  <si>
    <t>maeto@kobe-u.ac.jp</t>
  </si>
  <si>
    <t>Maeto, Kaoru/AAB-7318-2019</t>
  </si>
  <si>
    <t>JAN 23</t>
  </si>
  <si>
    <t>10.1016/S0378-1127(03)00333-5</t>
  </si>
  <si>
    <t>761NM</t>
  </si>
  <si>
    <t>WOS:000187914900007</t>
  </si>
  <si>
    <t>Thomas, CD; Cameron, A; Green, RE; Bakkenes, M; Beaumont, LJ; Collingham, YC; Erasmus, BFN; de Siqueira, MF; Grainger, A; Hannah, L; Hughes, L; Huntley, B; van Jaarsveld, AS; Midgley, GF; Miles, L; Ortega-Huerta, MA; Peterson, AT; Phillips, OL; Williams, SE</t>
  </si>
  <si>
    <t>Extinction risk from climate change</t>
  </si>
  <si>
    <t>BIODIVERSITY; IMPACTS; DEFORESTATION; CO2; VULNERABILITY</t>
  </si>
  <si>
    <t>Climate change over the past similar to30 years has produced numerous shifts in the distributions and abundances of species(1,2) and has been implicated in one species-level extinction(3). Using projections of species' distributions for future climate scenarios, we assess extinction risks for sample regions that cover some 20% of the Earth's terrestrial surface. Exploring three approaches in which the estimated probability of extinction shows a powerlaw relationship with geographical range size, we predict, on the basis of mid-range climate-warming scenarios for 2050, that 15 - 37% of species in our sample of regions and taxa will be 'committed to extinction'. When the average of the three methods and two dispersal scenarios is taken, minimal climate-warming scenarios produce lower projections of species committed to extinction (similar to18%) than mid-range (similar to24%) and maximum-change (similar to35%) scenarios. These estimates show the importance of rapid implementation of technologies to decrease greenhouse gas emissions and strategies for carbon sequestration.</t>
  </si>
  <si>
    <t>Univ Leeds, Sch Biol, Ctr Biodivers &amp; Conservat, Leeds LS2 9JT, W Yorkshire, England; Royal Soc Protect Birds, Sandy SG19 2DL, Beds, England; Univ Cambridge, Dept Zool, Conservat Biol Grp, Cambridge CB2 3EJ, England; Natl Inst Publ Hlth &amp; Environm, NL-3720 BA Bilthoven, Netherlands; Macquarie Univ, Dept Biol Sci, N Ryde, NSW 2109, Australia; Univ Durham, Sch Biol &amp; Biomed Sci, Durham DH1 3LE, England; Univ Witwatersrand, ZA-2050 Johannesburg, South Africa; Ctr Referencia Informacao Ambiental, BR-13083885 Campinas, SP, Brazil; Univ Leeds, Sch Geog, Leeds LS2 9JT, W Yorkshire, England; Conservat Int, Ctr Appl Biodivers Sci, Washington, DC 20036 USA; Univ Stellenbosch, Dept Zool, ZA-7602 Stellenbosch, South Africa; Natl Bot Inst, Kirstenbosch Res Ctr, Climate Change Res Grp, ZA-7735 Cape Town, South Africa; Univ Nacl Autonoma Mexico, Inst Biol, Unidad Occidente, Mexico City 04510, DF, Mexico; Univ Kansas, Museum Nat Hist, Lawrence, KS 66045 USA; Univ Kansas, Biodivers Res Ctr, Lawrence, KS 66045 USA; James Cook Univ N Queensland, Sch Trop Biol, Cooperat Res Ctr Trop Rainforest Ecol, Townsville, Qld 4811, Australia</t>
  </si>
  <si>
    <t>University of Leeds; Royal Society for Protection of Birds; University of Cambridge; Netherlands National Institute for Public Health &amp; the Environment; Macquarie University; Durham University; University of Witwatersrand; University of Leeds; Conservation International; Stellenbosch University; Universidad Nacional Autonoma de Mexico; University of Kansas; University of Kansas; James Cook University</t>
  </si>
  <si>
    <t>Thomas, CD (corresponding author), Univ Leeds, Sch Biol, Ctr Biodivers &amp; Conservat, Leeds LS2 9JT, W Yorkshire, England.</t>
  </si>
  <si>
    <t>c.d.thomas@leeds.ac.uk</t>
  </si>
  <si>
    <t>Peterson, A Townsend/I-5697-2013; Thomas, Chris/A-1894-2012; Cameron, Alison/D-3911-2009; Beaumont, Linda/D-5499-2012; Midgley, Guy/H-3585-2014; de Siqueira, Marinez/I-9205-2012; Williams, Stephen/A-7250-2008; Erasmus, Barend/G-3411-2012; van Jaarsveld, Albert/H-5368-2013; Fapesp, Biota/F-8655-2017; Ferreira de Siqueira, Marinez/I-9205-2012; Peterson, A. Townsend/I-5697-2013; Miles, Lera/C-7334-2009; Willia, Stephen/A-7250-2008; Phillips, Oliver/A-1523-2011</t>
  </si>
  <si>
    <t>Peterson, A Townsend/0000-0003-0243-2379; Thomas, Chris/0000-0003-2822-1334; Hughes, Lesley/0000-0003-0313-9780; Cameron, Alison/0000-0001-8236-7954; Midgley, Guy/0000-0001-8264-0869; Beaumont, Linda/0000-0001-6307-1680; Erasmus, Barend/0000-0003-1869-8091; Fapesp, Biota/0000-0002-9887-8449; Ferreira de Siqueira, Marinez/0000-0002-6869-0293; Miles, Lera/0000-0003-0377-5904; Willia, Stephen/0000-0002-2510-7408; Phillips, Oliver/0000-0002-8993-6168</t>
  </si>
  <si>
    <t>Natural Environment Research Council [NE/B503384/1] Funding Source: researchfish</t>
  </si>
  <si>
    <t>Natural Environment Research Council(UK Research &amp; Innovation (UKRI)Natural Environment Research Council (NERC))</t>
  </si>
  <si>
    <t>JAN 8</t>
  </si>
  <si>
    <t>10.1038/nature02121</t>
  </si>
  <si>
    <t>760YY</t>
  </si>
  <si>
    <t>WOS:000187863900033</t>
  </si>
  <si>
    <t>McBean, G</t>
  </si>
  <si>
    <t>Climate change and extreme weather: A basis for action</t>
  </si>
  <si>
    <t>NATURAL HAZARDS</t>
  </si>
  <si>
    <t>adaptation; climate change; extreme weather; vulnerability</t>
  </si>
  <si>
    <t>3-6 JUNE 1997; INDEXES; INDICATORS; ASHEVILLE; WORKSHOP; USA; NC; FLUCTUATIONS; INTENSITY; IMPACTS</t>
  </si>
  <si>
    <t>The economic and social costs of extreme weather-related events have been increasing around the globe. There is some debate over how much of this past increase has been due to social factors and how much due to changes in frequency or characteristics of extreme events. The Intergovernmental Panel on Climate Change (2001a) has affirmed that humans are having a role in changing the climate and will have a larger role in the future. Although the changes in extreme events are by their nature both difficult to detect and difficult to model, the consensus is that there will be changes in the future. Through a risk-based decision-making analysis, it is concluded that society should make the additional investments to reduce vulnerability to this increased risk.</t>
  </si>
  <si>
    <t>Univ Western Ontario, Inst Catastroph Loss Reduct, London, ON N6H 5H5, Canada</t>
  </si>
  <si>
    <t>Western University (University of Western Ontario)</t>
  </si>
  <si>
    <t>McBean, G (corresponding author), Univ Western Ontario, Inst Catastroph Loss Reduct, London, ON N6H 5H5, Canada.</t>
  </si>
  <si>
    <t>McBean, Gordon/0000-0001-5726-7249</t>
  </si>
  <si>
    <t>0921-030X</t>
  </si>
  <si>
    <t>1573-0840</t>
  </si>
  <si>
    <t>NAT HAZARDS</t>
  </si>
  <si>
    <t>Nat. Hazards</t>
  </si>
  <si>
    <t>10.1023/B:NHAZ.0000020259.58716.0d</t>
  </si>
  <si>
    <t>804MV</t>
  </si>
  <si>
    <t>WOS:000220303700010</t>
  </si>
  <si>
    <t>Beja, P; Alcazar, R</t>
  </si>
  <si>
    <t>Conservation of Mediterranean temporary ponds under agricultural intensification: an evaluation using amphibians</t>
  </si>
  <si>
    <t>agroecosystems; habitat modelling; hydroperiod; tadpoles; wetlands</t>
  </si>
  <si>
    <t>SPECIES RICHNESS; HABITAT; COMMUNITY; WETLANDS</t>
  </si>
  <si>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</si>
  <si>
    <t>ERENA, P-1000289 Lisbon, Portugal; Univ Algarve, CCMAR, P-8000117 Faro, Portugal; Liga Proteccao Nat, P-1500124 Lisbon, Portugal</t>
  </si>
  <si>
    <t>Universidade do Algarve</t>
  </si>
  <si>
    <t>Beja, P (corresponding author), ERENA, Av Visconde Valmor 11-3, P-1000289 Lisbon, Portugal.</t>
  </si>
  <si>
    <t>pbeja@erena.pt</t>
  </si>
  <si>
    <t>Alcåzar, Rafael/R-4920-2018; Beja, Pedro/A-7851-2008</t>
  </si>
  <si>
    <t>Beja, Peo/0000-0001-8164-0760</t>
  </si>
  <si>
    <t>10.1016/S0006-3207(03)00051-X</t>
  </si>
  <si>
    <t>722JD</t>
  </si>
  <si>
    <t>WOS:000185371200002</t>
  </si>
  <si>
    <t>Doka, SE; McNicol, DK; Mallory, ML; Wong, I; Minns, CK; Yan, ND</t>
  </si>
  <si>
    <t>Assessing potential for recovery of biotic richness and indicator species due to changes in acidic deposition and lake pH in five areas of southeastern Canada</t>
  </si>
  <si>
    <t>ENVIRONMENTAL MONITORING AND ASSESSMENT</t>
  </si>
  <si>
    <t>acidification; benthic invertebrates; fish; lakes; logistic models; loons; Nova Scotia; Ontario; Quebec; regression models; zooplankton</t>
  </si>
  <si>
    <t>CRUSTACEAN ZOOPLANKTON COMMUNITIES; SURFACE-WATER ACIDIFICATION; BIOLOGICAL RECOVERY; EASTERN CANADA; NEW-YORK; NORTH-AMERICA; INLAND LAKES; ONTARIO; FISH; TRENDS</t>
  </si>
  <si>
    <t>Biological damage to sensitive aquatic ecosystems is among the most recognisable, deleterious effects of acidic deposition. We compiled a large spatial database of over 2000 waterbodies across southeastern Canada from various federal, provincial and academic sources. Data for zooplankton, fish, macroinvertebrate (benthos) and loon species richness and occurrence were used to construct statistical models for lakes with varying pH, dissolved organic carbon content and lake size. pH changes, as described and predicted using the Integrated Assessment Model ( Lam et al., 1998; Jeffries et al., 2000), were based on the range of emission reductions set forth in the Canada/US Air Quality Agreement (AQA). The scenarios tested include 1983, 1990, 1994 and 2010 sulphate deposition levels. Biotic models were developed for five regions in southeastern Canada (Algoma, Muskoka, and Sudbury, Ontario, southcentral Quebec, and Kejimkujik, Nova Scotia) using regression tree, multiple linear regression and logistic regression analyses to make predictions about recovery after emission reductions. The analyses produced different indicator species in different regions, although some species showed consistent trends across regions. Generally, the greatest predicted recovery occurred during the final phase of emission reductions between 1994 and 2010 across all taxonomic groups and regions. The Ontario regions, on average, were predicted to recover to a greater extent than either southcentral Quebec or the Kejimkujik area of Nova Scotia. Our results reconfirm that pH 5.5 - 6.0 is an important threshold below which damage to aquatic biota will remain a major local and regional environmental problem. This damage to biodiversity across trophic levels will persist well into the future if no further reductions in sulphate deposition are implemented.</t>
  </si>
  <si>
    <t>Fisheries &amp; Oceans Canada, Great Lakes Lab Fisheries &amp; Aquat Sci, Burlington, ON L7R 4A6, Canada; Environm Canada, Canadian Wildlife Serv, Nepean, ON K1A 0H3, Canada; Environm Canada, Canadian Wildlife Serv, Iqaluit, NU X0A 0H0, Canada; Environm Canada, Natl Water Res Inst, Burlington, ON L7R 4A6, Canada; York Univ, Dept Biol, N York, ON M3J 1P3, Canada</t>
  </si>
  <si>
    <t>Fisheries &amp; Oceans Canada; Environment &amp; Climate Change Canada; Canadian Wildlife Service; Environment &amp; Climate Change Canada; Canadian Wildlife Service; Environment &amp; Climate Change Canada; National Water Research Institute; York University - Canada</t>
  </si>
  <si>
    <t>Doka, SE (corresponding author), Fisheries &amp; Oceans Canada, Great Lakes Lab Fisheries &amp; Aquat Sci, 867 Lakeshore Rd,Box 5050, Burlington, ON L7R 4A6, Canada.</t>
  </si>
  <si>
    <t>; Yan, Norman/H-5235-2013; Minns, Charles/GYU-2209-2022; Mallory, Mark/A-1952-2017</t>
  </si>
  <si>
    <t>Yan, Norman/0000-0003-4870-6865; Mallory, Mark/0000-0003-2744-3437</t>
  </si>
  <si>
    <t>KLUWER ACADEMIC PUBL</t>
  </si>
  <si>
    <t>0167-6369</t>
  </si>
  <si>
    <t>ENVIRON MONIT ASSESS</t>
  </si>
  <si>
    <t>Environ. Monit. Assess.</t>
  </si>
  <si>
    <t>OCT-NOV</t>
  </si>
  <si>
    <t>10.1023/A:1025548518991</t>
  </si>
  <si>
    <t>717QL</t>
  </si>
  <si>
    <t>WOS:000185100800004</t>
  </si>
  <si>
    <t>Williams, SE; Bolitho, EE; Fox, S</t>
  </si>
  <si>
    <t>Climate change in Australian tropical rainforests: an impending environmental catastrophe</t>
  </si>
  <si>
    <t>biodiversity; climate change; extinction; range size; montane; rainforest</t>
  </si>
  <si>
    <t>WET TROPICS; NORTH QUEENSLAND; ELEVATED CO2; EXTINCTIONS; RESPONSES; CONTRACTIONS; BIODIVERSITY; DETERMINANTS; DIVERSITY; ABUNDANCE</t>
  </si>
  <si>
    <t>It is now widely accepted that global climate change is affecting many ecosystems around the globe and that its impact is increasing rapidly. Many studies predict that impacts will consist largely of shifts in latitudinal and altitudinal distributions. However, we demonstrate that the impacts of global climate change in the tropical rainforests of northeastern Australia have the potential to result in many extinctions. We develop bioclimatic models of spatial distribution for the regionally endemic rainforest vertebrates and use these models to predict the effects of climate warming on species distributions. Increasing temperature is predicted to result in significant reduction or complete loss of the core environment of all regionally endemic vertebrates. Extinction rates caused by the complete loss of core environments are likely to be severe, nonlinear, with losses increasing rapidly beyond an increase of 2 degreesC, and compounded by other climate-related impacts. Mountain ecosystems around the world, such as the Australian Wet Tropics bioregion, are very diverse, often with high levels of restricted endemism, and are therefore important areas of biodiversity. The results presented here suggest that these systems are severely threatened by climate change.</t>
  </si>
  <si>
    <t>James Cook Univ N Queensland, Cooperat Res Ctr Trop Rainforest Ecol, Sch Trop Biol, Townsville, Qld 4811, Australia</t>
  </si>
  <si>
    <t>Williams, SE (corresponding author), James Cook Univ N Queensland, Cooperat Res Ctr Trop Rainforest Ecol, Sch Trop Biol, Townsville, Qld 4811, Australia.</t>
  </si>
  <si>
    <t>stephen.williams@jcu.edu.au</t>
  </si>
  <si>
    <t>Willia, Stephen/A-7250-2008; Williams, Stephen/A-7250-2008</t>
  </si>
  <si>
    <t>Willia, Stephen/0000-0002-2510-7408; Fox, Samantha/0000-0002-0371-3458</t>
  </si>
  <si>
    <t>SEP 22</t>
  </si>
  <si>
    <t>10.1098/rspb.2003.2464</t>
  </si>
  <si>
    <t>724HQ</t>
  </si>
  <si>
    <t>WOS:000185482500003</t>
  </si>
  <si>
    <t>Dolanc, CR; Gorchov, DL; Cornejo, F</t>
  </si>
  <si>
    <t>The effects of silvicultural thinning on trees regenerating in strip clear-cuts in the Peruvian Amazon</t>
  </si>
  <si>
    <t>sustainable management; tropical rainforest; annual growth increment; recruitment; sapling survival; deferment-cut</t>
  </si>
  <si>
    <t>TROPICAL RAIN-FOREST; BRAZILIAN AMAZON; COSTA-RICA; GROWTH; MANAGEMENT; ENVIRONMENTS; DYNAMICS; LIGHT</t>
  </si>
  <si>
    <t>Common logging practices in tropical rainforest are often not sustainable and can degrade the forest. The Palcazu Forest Management system (strip clear-cutting) has been proposed as one sustainable alternative. However, low growth rates of commercial tree species during early regeneration indicate that strip-cutting may not be sustainable. To test whether a silvicultural treatment enhances the growth, survival, recruitment or richness of regenerating trees, we carried out an experimental thinning in 1996 within two strips cleared in 1989 at Jenaro Herrera, Peru, then censussed and remeasured trees on thinned and control plots in 2000. In addition, for strip 2, we compared tree regeneration on two felling treatments, clear-cutting and deferment-cutting. Thinning significantly enhanced annual growth increment (AGI) for stems of all regeneration categories (recruits, stump sprouts, and advance regeneration) of commercial species in strip 1, and for all categories of recruits and stump sprouts in strip 2. In most cases, mean increment in the thinned treatment was approximately twice that of the control. Recruitment, survival and richness, however, demonstrated little response to thinning. Although growth tended to be higher in clear-cut portions, significant differences in increment for felling treatment were detected for only two of seven categories on strip 2, and there was no effect of felling treatment on survival, recruitment or richness. Thinning is likely to raise the value of the second harvest on the strips by enhancing the growth rates of regenerating trees, so thinning should be included in the strip clear-cutting system. This system should not, however, be considered sustainable unless growth rates are sufficient to ensure the value of successive harvests. Crown Copyright (C) 2003 Published by Elsevier Science B.V. All rights reserved.</t>
  </si>
  <si>
    <t>Miami Univ, Dept Bot, Oxford, OH 45056 USA; Proyecto Castanales, Puerto Maldonado, Peru</t>
  </si>
  <si>
    <t>University System of Ohio; Miami University</t>
  </si>
  <si>
    <t>Dolanc, CR (corresponding author), Forest Serv, USDA, 2081 E Sierra Ave, Fresno, CA 93710 USA.</t>
  </si>
  <si>
    <t>10.1016/S0378-1127(03)00012-4</t>
  </si>
  <si>
    <t>716XL</t>
  </si>
  <si>
    <t>WOS:000185054900008</t>
  </si>
  <si>
    <t>Woltmann, S</t>
  </si>
  <si>
    <t>Bird community responses to disturbance in a forestry concession in lowland Bolivia</t>
  </si>
  <si>
    <t>birds; Bolivia; community ecology; habitat disturbance; tropical bird community; tropical forestry</t>
  </si>
  <si>
    <t>RAIN-FOREST; TEMPORAL VARIATION; COSTA-RICA; SPECIES-DIVERSITY; UNDERSTORY BIRDS; TROPICAL FOREST; POINT COUNTS; WET FOREST; BRAZIL; CONSERVATION</t>
  </si>
  <si>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</si>
  <si>
    <t>Univ So Mississippi, Dept Biol Sci, Hattiesburg, MS 39406 USA</t>
  </si>
  <si>
    <t>University of Southern Mississippi</t>
  </si>
  <si>
    <t>Woltmann, S (corresponding author), Tulane Univ, Dept Ecol &amp; Evolutionary Biol, New Orleans, LA 70118 USA.</t>
  </si>
  <si>
    <t>Woltmann, Stefan/W-2666-2019</t>
  </si>
  <si>
    <t>10.1023/A:1024147529295</t>
  </si>
  <si>
    <t>688PK</t>
  </si>
  <si>
    <t>WOS:000183444300010</t>
  </si>
  <si>
    <t>Mohseni, O; Stefan, HG; Eaton, JG</t>
  </si>
  <si>
    <t>Global warming and potential changes in fish habitat in US streams</t>
  </si>
  <si>
    <t>UNITED-STATES; TEMPERATURE RELATIONSHIP; THERMAL HABITAT; CLIMATE; WATER; LAKES</t>
  </si>
  <si>
    <t>To project potential habitat changes of 57 fish species under global warming, their suitable thermal habitat at 764 stream gaging stations in the contiguous United States was studied. Global warming was specified by air temperature increases projected by the Canadian Centre of Climate Modelling General Circulation Model for a doubling of atmospheric CO2. The aquatic thermal regime at each gaging station was related to air temperature using a nonlinear stream temperature/air temperature relationship. Suitable fish thermal habitat was assumed to be constrained by both maximum temperature and minimum temperature tolerances. For cold water fishes with a 0degreesC lower temperature constraint, the number of stations with suitable thermal habitat under a 2 x CO2 climate scenario is projected to decrease by 36%, and for cool water fishes by 15%. These changes are associated with a northward shift of the range. For warm water fishes with a 2degreesC lower temperature constraint, the potential number of stations with suitable thermal habitat is projected to increase by 31%.</t>
  </si>
  <si>
    <t>Univ Minnesota, St Anthony Falls Lab, Minneapolis, MN 55414 USA; US EPA, Mid Continent Ecol Div, Duluth, MN USA</t>
  </si>
  <si>
    <t>University of Minnesota System; University of Minnesota Twin Cities; United States Environmental Protection Agency</t>
  </si>
  <si>
    <t>Mohseni, O (corresponding author), Univ Minnesota, St Anthony Falls Lab, Mississippi River &amp; 3rd Ave SE, Minneapolis, MN 55414 USA.</t>
  </si>
  <si>
    <t>10.1023/A:1024847723344</t>
  </si>
  <si>
    <t>704CH</t>
  </si>
  <si>
    <t>WOS:000184319800006</t>
  </si>
  <si>
    <t>Van Gemerden, BS; Shu, GN; Olff, H</t>
  </si>
  <si>
    <t>Recovery of conservation values in Central African rain forest after logging and shifting cultivation</t>
  </si>
  <si>
    <t>biodiversity conservation; Cameroon; endemism; logging; lowland rain forest; plants; rarity; secondary forest; shifting cultivation; species diversity</t>
  </si>
  <si>
    <t>UPPER RIO NEGRO; ABANDONED PASTURES; SUCCESSION; CHRONOSEQUENCE; RESTORATION; DIVERSITY; RESERVE</t>
  </si>
  <si>
    <t>Secondary forests in Central Africa are increasing in importance for biodiversity conservation as old growth forests outside the few protected areas are disappearing rapidly. We examined vegetation recovery in a lowland rain forest area in Cameroon based on a detailed botanical survey of old growth forest and different-aged logging gaps (5-27 years) and shifting cultivation fields (10-60 years). Our analysis focuses on the long-term recovery of botanical conservation values by analysing trends in vegetation structure, species composition, species diversity and levels of endemism and rarity. In the total survey (4.25 ha), we recorded 834 species of which 23% were endemic to the Lower Guinea forest region. The proportion of endemic species was high in shrubs and low in herbs. Geographic range and (local) rarity were not significantly associated. The proportion of rare species (relative frequency &lt;10%) was high in woody climbers and low in trees. In logging gaps, recovery of all vegetation characteristics was relatively quick (5-14 years). Recovery in shifting cultivation sites took longer (30-60 years). Endemic species were found to be highly sensitive to shifting cultivation practices and even after 50-60 years the level of endemism was still significantly lower compared to old growth forest. The proportion of rare species was not significantly different between disturbed sites and old growth forest. We conclude that secondary forests can contribute to biodiversity conservation, e. g. as buffer zones around protected areas. However, this contribution should be assessed differently between land use types and widespread versus endemic species.</t>
  </si>
  <si>
    <t>Univ Wageningen &amp; Res Ctr, Trop Nat Conservat, NL-6708 PD Wageningen, Netherlands; Univ Wageningen &amp; Res Ctr, Vertebrate Ecol Grp, NL-6708 PD Wageningen, Netherlands; Univ Wageningen &amp; Res Ctr, Wageningen Univ Branch, Natl Herbarium Nederland, Biosystemat Grp, NL-6703 BL Wageningen, Netherlands; Tropenbos Cameroon Programme, Kribi, Cameroon</t>
  </si>
  <si>
    <t>Wageningen University &amp; Research; Wageningen University &amp; Research; Wageningen University &amp; Research</t>
  </si>
  <si>
    <t>Van Gemerden, BS (corresponding author), Univ Wageningen &amp; Res Ctr, Trop Nat Conservat, Bornsesteeg 69, NL-6708 PD Wageningen, Netherlands.</t>
  </si>
  <si>
    <t>barend.vangemerden@wur.nl</t>
  </si>
  <si>
    <t>; Olff, Han/A-8516-2008</t>
  </si>
  <si>
    <t>Olff, Han/0000-0003-2154-3576;</t>
  </si>
  <si>
    <t>10.1023/A:1023603813163</t>
  </si>
  <si>
    <t>673LT</t>
  </si>
  <si>
    <t>WOS:000182583000001</t>
  </si>
  <si>
    <t>Midgley, GF; Hannah, L; Millar, D; Thuiller, W; Booth, A</t>
  </si>
  <si>
    <t>Developing regional and species-level assessments of climate change impacts on biodiversity in the Cape Floristic Region</t>
  </si>
  <si>
    <t>bioclimatic modelling; climatic niche; corridor; geographic range shift; Mediterranean-type ecosystem; winter rainfall</t>
  </si>
  <si>
    <t>SOUTH-AFRICA; WOOD CHARCOAL; ELEVATED CO2; VEGETATION; NUTRIENT; CONSERVATION; RESPONSES; PATTERNS; PLANTS</t>
  </si>
  <si>
    <t>We assess the potential impact of climate change on plant diversity in the Cape Floristic Region (CFR) and its interaction with land transformation that has already occurred in the region. Predictions were made both at the scale of the Fynbos Biome (the dominant vegetation assemblage in the CFR) and for selected Proteaceae species. Bioclimatic modelling identified parts of the biome at particular risk from climate change. Species-level modelling (Generalised Additive Modelling) was done for 28 Proteaceae species selected from areas at high risk of biome loss, revealing individualistic range changes in a pattern broadly consistent with biome modelling results. Most species experienced potential range contractions (17 of 28), of which five showed range elimination. Several species (I I of 28) showed potential range expansions. For species showing range contractions, current land transformation had less impact on future potential ranges than did climate change, because many species ranges shifted to higher altitudes where land transformation is currently less prevalent. Fewer than half of the high-risk species showed overlap between current and future potential range, showing that propagule transport, establishment of species in novel ranges and conservation of landscape linkages will be critical for maintenance of biodiversity. Methods described here provide useful forecasts of potential climate change impacts that could guide conservation responses, but results need cautious interpretation in the light of the many assumptions underlying the techniques used. (C) 2003 Elsevier Science Ltd. All rights reserved.</t>
  </si>
  <si>
    <t>Natl Bot Inst, Climate Change Res Grp, Kirstenbosch Res Ctr, ZA-7735 Cape Town, South Africa; Conservat Int, Ctr Appl Biodivers Sci, Washington, DC 20036 USA; CNRS, Funct &amp; Evolutionary Ecol Ctr, UPR 9056, Montpellier, France; Rhodes Univ, Dept Icthyol, ZA-6140 Grahamstown, South Africa</t>
  </si>
  <si>
    <t>Conservation International; Centre National de la Recherche Scientifique (CNRS); Rhodes University</t>
  </si>
  <si>
    <t>Midgley, GF (corresponding author), Natl Bot Inst, Climate Change Res Grp, Kirstenbosch Res Ctr, P Bag X7, ZA-7735 Cape Town, South Africa.</t>
  </si>
  <si>
    <t>midgley@nbict.nbi.ac.za</t>
  </si>
  <si>
    <t>Midgley, Guy/H-3585-2014; Booth, Anthony/C-9932-2012; Thuiller, Wilfried/G-3283-2010</t>
  </si>
  <si>
    <t>Midgley, Guy/0000-0001-8264-0869; Booth, Anthony/0000-0002-5561-9260;</t>
  </si>
  <si>
    <t>JUL-AUG</t>
  </si>
  <si>
    <t>10.1016/S0006-3207(02)00414-7</t>
  </si>
  <si>
    <t>679HC</t>
  </si>
  <si>
    <t>WOS:000182913800006</t>
  </si>
  <si>
    <t>Peeters, LYK; Soto-Pinto, L; Perales, H; Montoya, G; Ishiki, M</t>
  </si>
  <si>
    <t>Coffee production, timber, and firewood in traditional and Inga-shaded plantations in Southern Mexico</t>
  </si>
  <si>
    <t>Inga; coffee shade vegetation; traditional agroforestry systems; monetary value; secondary production; shade trees</t>
  </si>
  <si>
    <t>Traditional Mexican coffee plantations, with a diverse shade vegetation of native tree species, are being replaced by coffee monocultures shaded by trees of the genus Inga, resulting in loss of biodiversity and ecological services. Coffee production is said to benefit from Inga shade, but few on-field experiments have been done to support this hypothesis. Secondary production (timber, firewood, fruits, medicines, etc.) is probably lower in Inga-shaded coffee plantations, and that loss could outweigh benefits from increased coffee production. Coffee yields, present stock of timber, and aboveground tree biomass as an indicator of firewood production were measured and compared for plots in traditional and in Inga-shaded plantations in Plan Paredon, Chiapas, Mexico. Coffee production was similar in both plantation types. Timber production was significantly higher in traditional plantations, and amounted to ten times the timber production in Inga-shaded plantations. Total tree biomass was significantly higher in traditional coffee plantations, but not biomass of tree species apt for firewood. However, firewood production could be higher in traditional plantations. There seems to be no reason to replace traditional plantations by Inga-shaded ones in order to increase production in the plantations studied. (C) 2002 Elsevier Science B.V. All rights reserved.</t>
  </si>
  <si>
    <t>Carretera Panamericana &amp; Periferico Sur S N, Chiapas 29290, Mexico</t>
  </si>
  <si>
    <t>Soto-Pinto, L (corresponding author), Carretera Panamericana &amp; Periferico Sur S N, Apartado Postal 63, Chiapas 29290, Mexico.</t>
  </si>
  <si>
    <t>lizaykpeeters@hotmail.com; lsoto@sclc.ecosur.mx</t>
  </si>
  <si>
    <t>Perales, Hugo/F-6193-2010</t>
  </si>
  <si>
    <t>Perales, Hugo/0000-0003-3431-5759</t>
  </si>
  <si>
    <t>PII S0167-8809(02)00204-9</t>
  </si>
  <si>
    <t>10.1016/S0167-8809(02)00204-9</t>
  </si>
  <si>
    <t>669AK</t>
  </si>
  <si>
    <t>WOS:000182329600007</t>
  </si>
  <si>
    <t>Peperzak, L</t>
  </si>
  <si>
    <t>Climate change and harmful algal blooms in the North Sea</t>
  </si>
  <si>
    <t>1st International Plankton Symposium</t>
  </si>
  <si>
    <t>SEP, 2001</t>
  </si>
  <si>
    <t>PORTUGAL</t>
  </si>
  <si>
    <t>climate change; temperature; stratification; harmful algal blooms; HAB; North Sea; phytoplankton; Prorocentrum micans; Prorocentrum minimum; Chattonella antiqua; Fibrocapsa japonica; Phaeocystis globosa; Pseudo-nitzschia multiseries; Rhodomonas sp.; Skeletonema costatum</t>
  </si>
  <si>
    <t>WADDEN SEA; GROWTH; TEMPERATURE; CHATTONELLA; RATES</t>
  </si>
  <si>
    <t>The projected effect of climate change for the year 2100 in the coastal zone of The Netherlands, a 4 C temperature rise and increased salinity stratification. on the growth rates of six harmful and two non-harmful phytoplankton species was investigated in batch laboratory cultures. Stratification can split the mixed water column (18 degreesC, 150 W h m(-2) per day) into a bottom (18 degreesC, 10 W h m(-2) per day) and surface layer (22 degreesC, 600 W h m(-2) per day); these three conditions (the present scenario) were compared to a 2100 scenario in which temperatures were increased by 4 degreesC. The growth rates of the two non-harmful species, the diatom Skeletonenta costatum and the cryptophyte Rbodomonas sp. did not significantly change from present-mixed to 2100-surface conditions. Two harmful species, the prymnesiophyte Phaeocystis globosa and the diatom Pseudo-nitzschia multiseries, died rapidly at the 2100-surface conditions. On the other hand, two dinoflagellates (Prorocentrum micans and Prorocentrum minimum) and two raphidophytes (Fibrocapsa japonica and Chattonella antiqua) doubled their growth rates at 2100-surface conditions compared to present-mixed conditions. Given the restrictions set by the experiment, the uncertainties in climate change projections as well as the effects of climate change on the marine ecosystem, the qualitative conclusion from this investigation is that the risk of harmful dinoflagellate and raphidophyte blooms will increase rather than decrease due to climate change. (C) 2003 Editions scientifiques et medicales Elsevier SAS. All rights reserved.</t>
  </si>
  <si>
    <t>RIKZ, Natl Inst Coastal &amp; Marine Management, NL-4330 EA Middlebury, Netherlands</t>
  </si>
  <si>
    <t>Peperzak, L (corresponding author), RIKZ, Natl Inst Coastal &amp; Marine Management, POB 8039, NL-4330 EA Middlebury, Netherlands.</t>
  </si>
  <si>
    <t>l.peperzak@rikz.rws.minvenw.nl</t>
  </si>
  <si>
    <t>Peperzak, Louis/A-2295-2009</t>
  </si>
  <si>
    <t>Peperzak, Louis/0000-0003-0691-2521</t>
  </si>
  <si>
    <t>S139</t>
  </si>
  <si>
    <t>S144</t>
  </si>
  <si>
    <t>10.1016/S1146-609X(03)00009-2</t>
  </si>
  <si>
    <t>696RF</t>
  </si>
  <si>
    <t>WOS:000183900400016</t>
  </si>
  <si>
    <t>Peterson, AT</t>
  </si>
  <si>
    <t>Projected climate change effects on Rocky Mountain and Great Plains birds: generalities of biodiversity consequences</t>
  </si>
  <si>
    <t>biodiversity consequences; birds; climate change; distributions; topography</t>
  </si>
  <si>
    <t>GEOGRAPHIC DISTRIBUTIONS; NICHE; SENSITIVITY; ALGORITHMS; PREDICTION; ECOSYSTEM</t>
  </si>
  <si>
    <t>Climate change effects on biodiversity are already manifested, and yet no predictive knowledge characterizes the likely nature of these effects. Previous studies suggested an influence of topography on these effects, a possibility tested herein. Bird species with distributions restricted to montane (26 species) and Great Plains (19 species) regions of central and western North America were modeled, and climate change effects on their distributions compared: in general, plains species were more heavily influenced by climate change, with drastic area reductions (mode 35% of distributional area lost under assumption of no dispersal) and dramatic spatial movements (0-400 km shift of range centroid under assumption of no dispersal) of appropriate habitats. These results suggest an important generality regarding climate change effects on biodiversity, and provide useful guidelines for conservation planning.</t>
  </si>
  <si>
    <t>Univ Kansas, Museum Nat Hist, Lawrence, KS 66045 USA; Univ Kansas, Biodivers Res Ctr, Lawrence, KS 66045 USA</t>
  </si>
  <si>
    <t>University of Kansas; University of Kansas</t>
  </si>
  <si>
    <t>Peterson, A Townsend/I-5697-2013; Peterson, A. Townsend/I-5697-2013</t>
  </si>
  <si>
    <t>Peterson, A Townsend/0000-0003-0243-2379;</t>
  </si>
  <si>
    <t>10.1046/j.1365-2486.2003.00616.x</t>
  </si>
  <si>
    <t>674UE</t>
  </si>
  <si>
    <t>WOS:000182653700001</t>
  </si>
  <si>
    <t>Okland, T; Rydgren, K; Okland, RH; Storaunet, KO; Rolstad, J</t>
  </si>
  <si>
    <t>Variation in environmental conditions, understorey species number, abundance and composition among natural and managed Picea-abies forest stands</t>
  </si>
  <si>
    <t>environmental factors; forest management; old-growth; ordination; species abundance; species composition; species number; spruce forest; tree structure; vegetation</t>
  </si>
  <si>
    <t>BOREAL FOREST; CONIFEROUS FORESTS; VEGETATION; REGENERATION; DISTURBANCE; INTENSITY; NORWAY; PLANT; WOOD; AGE</t>
  </si>
  <si>
    <t>We studied four south-facing and three north-facing boreal spruce forest stands (ca. 0.1 ha each) in SE Norway with the aim of testing the hypothesis that former logging has long-term effects on boreal forest-floor vegetation. The stand series comprised unlogged natural forests and forests that were selectively or clear cut 60-70 years prior to our study. Each stand was described with respect to history of forestry impact and tree-stand structure. Environmental, species number, species abundance and species composition (vegetation gradients obtained as ordination axes) variables obtained for 25 m x 1 m plots in each stand were tested for among-stand differences. Significant among-stand differences were found, partly related to former forest management and partly,due to among-stand differences in topography. Differences among stands related,to management were found for tree stand density, highest in managed stands, and for Dryopteris expansa agg. and Luzula pilosa abundances, peaking in formerly clear-cut stands. Species number (at plot or stand scales) was weakly related to former management. On southerly as well as northerly aspects, gradients in species composition were found that separated plots according to former management. Differences among stand conditioned on topography resulted in opposite patterns in the two series of stands because among southerly stands the clear cut was the least while among northerly the clear cut was the most strongly sloping. Low-inclination sites tended more strongly to be paludified and to have high Sphagnum cover, and to have low abundance of specific microsites with small mosses and hepatics. Vegetation gradients related to soil moisture and microtopography were found for both aspects. A strong gradient in species composition related to tree influence at within-stand scales was found, with variation in species number. Existence of such a gradient should provide for significant biotic effects (of short or long duration) of the environmental changes that take place during forest re-growth: (1) the immediate creation of small or large tree-layer gaps by tree felling; and (2) the closing of the tree layer during the regeneration phase. Most notably, the phases at which the tree layer reaches minimum and maximum cover, respectively, may act as 'bottlenecks' for survival of forest-floor species. We conclude that forestry impacts understorey vegetation by way of changes. in tree-layer structure and, to a lesser extent, substrate availability and the local environment, during forest regrowth. The extent and duration of this impact will depend on a complex set of factors. Our results are consistent with the view that if maintenance of species diversity is aimed at, environmental considerations should be built into forest management practices, preferably by mimicking the natural structural dynamics of the tree layer. (C) 2002 Elsevier Science B.V. All rights reserved.</t>
  </si>
  <si>
    <t>Norwegian Inst Land Inventory, N-1430 As, Norway; Univ Oslo, Bot Museum, N-0318 Oslo, Norway; Norwegian Forest Res Inst, N-1432 As, Norway</t>
  </si>
  <si>
    <t>University of Oslo</t>
  </si>
  <si>
    <t>Okland, T (corresponding author), Norwegian Inst Land Inventory, Box 115, N-1430 As, Norway.</t>
  </si>
  <si>
    <t>tonje.okland@nijos.no</t>
  </si>
  <si>
    <t>Storaunet, Ken Olaf/A-7037-2008; Storaunet, Ken/A-7037-2008; Økland, Tonje/R-1763-2019</t>
  </si>
  <si>
    <t>Storaunet, Ken Olaf/0000-0002-7258-5592;</t>
  </si>
  <si>
    <t>APR 7</t>
  </si>
  <si>
    <t>PII S0378-1127(02)00331-6</t>
  </si>
  <si>
    <t>10.1016/S0378-1127(02)00331-6</t>
  </si>
  <si>
    <t>664BL</t>
  </si>
  <si>
    <t>WOS:000182041800003</t>
  </si>
  <si>
    <t>Jones, DT; Susilo, FX; Bignell, DE; Hardiwinoto, S; Gillison, AN; Eggleton, P</t>
  </si>
  <si>
    <t>Termite assemblage collapse along a land-use intensification gradient in lowland central Sumatra, Indonesia</t>
  </si>
  <si>
    <t>canopy cover; disturbance; Isoptera; rain forest; selective logging; soil communities; species richness</t>
  </si>
  <si>
    <t>MBALMAYO-FOREST-RESERVE; TROPICAL FOREST; RAIN-FOREST; AGRICULTURAL INTENSIFICATION; AGROFORESTRY SYSTEMS; DIFFERING LEVELS; SOIL MACROFAUNA; ISOPTERA; ECOSYSTEM; BIODIVERSITY</t>
  </si>
  <si>
    <t>1. Termites are major decomposers in tropical regions and play an important role in soil processes. This study measured the impact of land-use intensification on the termite assemblage of lowland rain forest in Jambi Province, on the Indonesian island of Sumatra. Termite composition was assessed in seven land-use types along a disturbance gradient, from primary forest, through different silvicultural systems, to grassland and cultivated land without trees. A range of environmental variables was also measured. 2. Termite species richness and relative abundance declined as follows: primary forest &gt; selectively logged forest &gt; mature 'jungle rubber' (a diverse agro-forest dominated by rubber trees) &gt; mature rubber plantation &gt; young Paraserianthes falcataria plantation (a softwood tree) &gt; Imperata cylindrica grassland &gt; cassava garden. Termite richness fell from 34 species in the primary forest to one species in the cassava garden. The relative abundance of soil-feeding termites showed a significantly greater decline along the gradient than did wood-feeding termites. 3. Of the environmental variables, woody plant basal area was most strongly correlated with termite species richness (r = 0.973) and relative abundance (r = 0.980). This reflects the response of forest-adapted termites to progressive simplification of the physical structure of the habitat, resulting in the reduction of canopy cover and alteration in microclimate, and the loss of feeding and nesting sites. 4. Synthesis and applications . Comparisons with other studies show that the decline in termite species richness and relative abundance seen at Jambi is a general trend that occurs elsewhere when forests are converted to other land uses. To help mitigate the loss of termites when forests are disturbed, we recommend the following management practices: the use of reduced-impact logging techniques, maximizing forest patch size and connectivity, minimizing length of forest edges, and leaving dead wood to decay in situ .</t>
  </si>
  <si>
    <t>Nat Hist Museum, Dept Entomol, Termite Res Grp, London SW7 5BD, England; Univ Lampung, Jurusan Proteksi Tanaman, Bandar Lampung 35145, Indonesia; Univ Malaysia Sabah, Inst Trop Biol &amp; Conservat, Kota Kinabalu 88999, Sabah, Malaysia; Gadjah Mada Univ, Dept Silviculture, Fac Forestry, Yogyakarta, Indonesia; Ctr Biodivers Management, Yungaburra, Qld 4972, Australia</t>
  </si>
  <si>
    <t>Natural History Museum London; Universitas Lampung; Universiti Malaysia Sabah; Gadjah Mada University</t>
  </si>
  <si>
    <t>Jones, DT (corresponding author), Nat Hist Museum, Dept Entomol, Termite Res Grp, Cromwell Rd, London SW7 5BD, England.</t>
  </si>
  <si>
    <t>dtj@nhm.ac.uk</t>
  </si>
  <si>
    <t>Eggleton, Paul/A-3155-2015; Susilo, FX/JZD-9268-2024</t>
  </si>
  <si>
    <t>Eggleton, Paul/0000-0002-1420-7518; Susilo, Franciscus Xaverius/0000-0002-3401-7148</t>
  </si>
  <si>
    <t>10.1046/j.1365-2664.2003.00794.x</t>
  </si>
  <si>
    <t>665KG</t>
  </si>
  <si>
    <t>WOS:000182118700016</t>
  </si>
  <si>
    <t>Peres, CA; Lake, IR</t>
  </si>
  <si>
    <t>Extent of nontimber resource extraction in tropical forests: Accessibility to game vertebrates by hunters in the Amazon basin</t>
  </si>
  <si>
    <t>ROADS; CONSERVATION; RESERVES; FRAGMENTATION; DISTURBANCE; MAMMALS; FUTURE</t>
  </si>
  <si>
    <t>Extractive activities targeting a wide range of nontimber forest products (NTFPs) are ubiquitous in tropical forests, yet the extent of structurally intact forests in a given region affected by this form of cryptic disturbance is poorly documented. We conducted a basin-wide geographic information system analysis of the nonmotorized accessibility of Amazonian NTFP extraction and estimated the proportion of the Amazon drainage basin within Brazil (3.74 million km(2)) that can be accessed on foot from the nearest navigable river or functional road. We use a long-term series of standardized line-transect vertebrate censuses conducted throughout the region to illustrate the effects of physical accessibility on wildlife densities in terms of hunting pressure as a function of distance from the nearest point of access. Population abundance in large-bodied, prime-target species preferred by game hunters tended to increase at greater distances from the access matrix, whereas small-bodied species ignored by hunters usually showed the reverse trend. In addition, we estimated the proportion of presumably inviolate core areas within nature, extractive, and indigenous reserves of Brazilian Amazonia that are prohibitively remote and unlikely to be overhunted; for instance, only 1.16% of the basin-wide area is strictly protected on paper and is reasonably safe from extractive activities targeted to game vertebrates and other valuable NTFPs. Finally, we discuss the concept of truly undisturbed wildlands in the last major tropical forest regions by distinguishing potentially overharvested areas from those that remain largely or entirely pristine and that maintain viable populations of a full complement of harvest-sensitive species.</t>
  </si>
  <si>
    <t>Univ E Anglia, Sch Environm Sci, Ctr Ecol Evolut &amp; Conservat, Norwich NR4 7TJ, Norfolk, England</t>
  </si>
  <si>
    <t>Peres, CA (corresponding author), Univ E Anglia, Sch Environm Sci, Ctr Ecol Evolut &amp; Conservat, Norwich NR4 7TJ, Norfolk, England.</t>
  </si>
  <si>
    <t>c.peres@uea.ac.uk</t>
  </si>
  <si>
    <t>Peres, Carlos/B-1276-2013; Peres, Carlos/B-1276-2013; lake, iain/C-9917-2011</t>
  </si>
  <si>
    <t>Peres, Carlos/0000-0002-1588-8765; Peres, Carlos/0000-0002-1588-8765; Lake, Iain Richard/0000-0003-4407-5357</t>
  </si>
  <si>
    <t>10.1046/j.1523-1739.2003.01413.x</t>
  </si>
  <si>
    <t>658TK</t>
  </si>
  <si>
    <t>WOS:000181736400021</t>
  </si>
  <si>
    <t>Liu, JG; Daily, GC; Ehrlich, PR; Luck, GW</t>
  </si>
  <si>
    <t>Effects of household dynamics on resource consumption and biodiversity</t>
  </si>
  <si>
    <t>HUMAN-POPULATION; ENERGY USE; HOTSPOTS</t>
  </si>
  <si>
    <t>Human population size and growth rate are often considered important drivers of biodiversity loss(1-6), whereas household dynamics are usually neglected. Aggregate demographic statistics may mask substantial changes in the size and number of households, and their effects on biodiversity. Household dynamics influence per capita consumption(7,8) and thus biodiversity through, for example, consumption of wood for fuel(9), habitat alteration for home building and associated activities(10-12), and greenhouse gas emissions(13). Here we report that growth in household numbers globally, and particularly in countries with biodiversity hotspots (areas rich in endemic species and threatened by human activities 14), was more rapid than aggregate population growth between 1985 and 2000. Even when population size declined, the number of households increased substantially. Had the average household size (that is, the number of occupants) remained static, there would have been 155 million fewer households in hotspot countries in 2000. Reduction in average household size alone will add a projected 233 million additional households to hotspot countries during the period 2000-15. Rapid increase in household numbers, often manifested as urban sprawl, and resultant higher per capita resource consumption in smaller households(15-19) pose serious challenges to biodiversity conservation.</t>
  </si>
  <si>
    <t>Michigan State Univ, Dept Fisheries &amp; Wildlife, E Lansing, MI 48824 USA; Stanford Univ, Ctr Conservat Biol, Stanford, CA 94305 USA</t>
  </si>
  <si>
    <t>Michigan State University; Stanford University</t>
  </si>
  <si>
    <t>Liu, JG (corresponding author), Michigan State Univ, Dept Fisheries &amp; Wildlife, E Lansing, MI 48824 USA.</t>
  </si>
  <si>
    <t>jliu@panda.msu.edu</t>
  </si>
  <si>
    <t>; Liu, Jianguo/G-5211-2015</t>
  </si>
  <si>
    <t>Luck, Gary/0000-0002-7266-5568; Liu, Jianguo/0000-0001-6344-0087</t>
  </si>
  <si>
    <t>JAN 30</t>
  </si>
  <si>
    <t>10.1038/nature01359</t>
  </si>
  <si>
    <t>640DB</t>
  </si>
  <si>
    <t>WOS:000180670600044</t>
  </si>
  <si>
    <t>Jennings, S; Greenstreet, SPR; Hill, L; Piet, GJ; Pinnegar, JK; Warr, KJ</t>
  </si>
  <si>
    <t>Long-term trends in the trophic structure of the North Sea fish community: evidence from stable-isotope analysis, size-spectra and community metrics</t>
  </si>
  <si>
    <t>MARINE BIOLOGY</t>
  </si>
  <si>
    <t>NEPHTYS-HOMBERGII; BODY-SIZE; FOOD WEBS; BIOMASS; DIVERSITY; ABUNDANCE; N-15; ASSEMBLAGE; ECOSYSTEM; LEVEL</t>
  </si>
  <si>
    <t>Fishing has wide-ranging impacts on marine ecosystems. One of the most pervasive signs of intensive fishing is fishing down the food web, with landings increasingly dominated by smaller species from lower trophic levels. Decreases in the trophic level of landings are assumed to reflect those in fish communities, because size-selective mortality causes decreases in the relative abundance of larger species and in mean body size within species. However, existing analyses of fishing impacts on the trophic level of fish communities have focused on the role of changes in species composition rather than size composition. This will provide a biased assessment of the magnitude of fishing impacts, because fishes feed at different trophic levels as they grow. Here, we combine body size versus trophic level relationships for North Sea fishes (trophic level assessed using nitrogen stable-isotope analysis) with species-size-abundance data from two time-series of trawl-survey data (whole North Sea 1982-2000, central and northern North Sea 1925-1996) to predict long-term trends in the trophic structure of the North Sea fish community. Analyses of the 1982-2000 time-series showed that there was a slow but progressive decline in the trophic level of the demersal community, while there was no trend in the trophic level of the combined pelagic and demersal community. Analyses of the longer time-series suggested that there was no trend in the trophic level of the demersal community. We related temporal changes in trophic level to temporal changes in the slopes of normalised biomass size-spectra (which theoretically represent the trophic structure of the community), mean 1092 body mass and mean 1092 maximum body mass. While the size-based metrics of community structure showed long-term trends that were consistent with the effects of increased fishery exploitation, these trends were only correlated with trophic level for the demersal community. Our analysis suggests that the effects of fishing on the trophic structure of fish communities can be much more complex than previously assumed. This is a consequence of sampled communities not reflecting all the pathways of energy transfer in a marine ecosystem and of the absence of historical data on temporal and spatial changes in the trophic level of individuals. For the North Sea fish community, changes in size structure due to the differential effects of fishing on species and populations with different life histories are a stronger and more universal indicator of fishing effects than changes in mean trophic level.</t>
  </si>
  <si>
    <t>Ctr Environm Fisheries &amp; Aquaculture Sci, Lowestoft Lab, Lowestoft NR33 OHT, Suffolk, England; Netherlands Inst Fishery Res, NL-1970 AB Ijmuiden, Netherlands; IPIMAR, P-1449006 Lisbon, Portugal; Fisheries Res Serv, Marine Lab, Aberdeen AB11 9DB, Scotland</t>
  </si>
  <si>
    <t>Centre for Environment Fisheries &amp; Aquaculture Science; Portuguese Institute of Sea &amp; Fisheries Research (IPIMAR)</t>
  </si>
  <si>
    <t>Jennings, S (corresponding author), Ctr Environm Fisheries &amp; Aquaculture Sci, Lowestoft Lab, Lowestoft NR33 OHT, Suffolk, England.</t>
  </si>
  <si>
    <t>S.Jennings@cefas.co.uk</t>
  </si>
  <si>
    <t>; Pinnegar, John/C-4400-2012; Jennings, Simon/F-5085-2012</t>
  </si>
  <si>
    <t>Pinnegar, John/0000-0001-5061-9520; Jennings, Simon/0000-0002-2390-7225; Piet, Gerjan/0000-0003-0702-1624</t>
  </si>
  <si>
    <t>0025-3162</t>
  </si>
  <si>
    <t>1432-1793</t>
  </si>
  <si>
    <t>MAR BIOL</t>
  </si>
  <si>
    <t>Mar. Biol.</t>
  </si>
  <si>
    <t>10.1007/s00227-002-0905-7</t>
  </si>
  <si>
    <t>629HM</t>
  </si>
  <si>
    <t>WOS:000180044300011</t>
  </si>
  <si>
    <t>Midgley, GF; Hannah, L; Millar, D; Rutherford, MC; Powrie, LW</t>
  </si>
  <si>
    <t>Assessing the vulnerability of species richness to anthropogenic climate change in a biodiversity hotspot</t>
  </si>
  <si>
    <t>Meeting on Climate Change and Conservation</t>
  </si>
  <si>
    <t>MAR, 2001</t>
  </si>
  <si>
    <t>CAMBRIDGE, ENGLAND</t>
  </si>
  <si>
    <t>Conservat Int</t>
  </si>
  <si>
    <t>bioclimatic model; climate change; extinction risk; Fynbos; global change; HadCM2; Proteaceae; range displacement; South Africa</t>
  </si>
  <si>
    <t>ELEVATED CO2; NUTRIENT; DISPERSAL; RESPONSES; NICHE</t>
  </si>
  <si>
    <t>Aim To compare theoretical approaches towards estimating risks of plant species loss to anthropogenic climate change impacts in a biodiversity hotspot, and to develop a practical method to detect signs of climate change impacts on natural populations. Location The Fynbos biome of South Africa, within the Cape Floristic Kingdom. Methods Bioclimatic modelling was used to identify environmental limits for vegetation at both biome and species scale. For the biome as a whole, and for 330 species of the endemic family Proteaceae, tolerance limits were determined for five temperature and water availability-related parameters assumed critical for plant survival. Climate scenarios for 2050 generated by the general circulation models HadCM2 and CSM were interpolated for the region. Geographic Information Systems-based methods were used to map current and future modelled ranges of the biome and 330 selected species. In the biome-based approach, predictions of biome a real loss were overlayed with species richness data for the family Proteaceae to estimate extinction risk. In the species-based approach, predictions of range dislocation (no overlap between current range and future projected range) were used as an indicator of extinction risk. A method of identifying local populations imminently threatened by climate change-induced mortality is also described. Results A loss of Fynbos biome area of between 51% and 65% is projected by 2050 (depending on the climate scenario used), and roughly 10% of the endemic Proteaceae have ranges restricted to the area lost. Species range projections suggest that a third could suffer complete range dislocation by 2050, and only 5% could retain more than two thirds of their range. Projected changes to individual species ranges could be sufficient to detect climate change impacts within ten years. Main conclusions The biome-level approach appears to underestimate the risk of species diversity loss from climate change impacts in the Fynbos Biome because many narrow range endemics suffer range dislocation throughout the biome, and not only in areas identified as biome contractions. We suggest that targeted vulnerable species could be monitored both for early warning signs of climate change and as empirical tests of predictions.</t>
  </si>
  <si>
    <t>Natl Bot Inst, Climate Change Res Grp, Kirstenbosch Res Ctr, ZA-7735 Cape Town, South Africa; Conservat Int, Ctr Appl Biodivers Sci, Washington, DC 20036 USA</t>
  </si>
  <si>
    <t>Conservation International</t>
  </si>
  <si>
    <t>Midgley, GF (corresponding author), Natl Bot Inst, Climate Change Res Grp, Kirstenbosch Res Ctr, P Bag 7, ZA-7735 Cape Town, South Africa.</t>
  </si>
  <si>
    <t>Midgley, Guy/H-3585-2014</t>
  </si>
  <si>
    <t>Midgley, Guy/0000-0001-8264-0869; Powrie, Leslie Ward/0000-0001-6942-8484</t>
  </si>
  <si>
    <t>10.1046/j.1466-822X.2002.00307.x</t>
  </si>
  <si>
    <t>628DW</t>
  </si>
  <si>
    <t>WOS:000179978200002</t>
  </si>
  <si>
    <t>Hill, JK; Thomas, CD; Fox, R; Telfer, MG; Willis, SG; Asher, J; Huntley, B</t>
  </si>
  <si>
    <t>Responses of butterflies to twentieth century climate warming: implications for future ranges</t>
  </si>
  <si>
    <t>climate change; range expansion; habitat fragmentation; colonization</t>
  </si>
  <si>
    <t>CONSEQUENCES</t>
  </si>
  <si>
    <t>We analyse distribution records for 51 British butterfly species to investigate altitudinal and latitudinal responses to twentieth century climate warming. Species with northern and/or montane distributions have disappeared from low elevation sites and colonized sites at higher elevations during the twentieth century, consistent with a climate explanation. We found no evidence for a systematic shift northwards across all species, even though 11 out of 46 southerly distributed species have expanded in the northern part of their distributions. For a subset of 35 species, we model the role of climate in limiting current European distributions and predict potential future distributions for the period 2070-2099. Most northerly distributed species will have little opportunity to expand northwards and will disappear from areas in the south, resulting in reduced range sizes. Southerly distributed species will have the potential to shift northwards, resulting in similar or increased range sizes. However, 30 out of 35 study species have failed to track recent climate changes because of lack of suitable habitat, so we revised our estimates accordingly for these species and predicted 65% and 24% declines in range sizes for northern and southern species, respectively. These revised estimates are likely to be more realistic predictions of future butterfly range sizes.</t>
  </si>
  <si>
    <t>Univ York, Dept Biol, York YO10 5YW, N Yorkshire, England; Univ Durham, Sch Biol &amp; Biomed Sci, Environm Res Ctr, Durham DH1 3LE, England; Univ Leeds, Sch Biol, Ctr Biodivers &amp; Conservat, Leeds LS2 9JT, W Yorkshire, England; Butterfly Conservat, Wareham BH20 5QP, Dorset, England; Ctr Ecol &amp; Hydrol, Huntingdon PE28 2LS, Cambs, England</t>
  </si>
  <si>
    <t>University of York - UK; Durham University; University of Leeds; UK Centre for Ecology &amp; Hydrology (UKCEH)</t>
  </si>
  <si>
    <t>Hill, JK (corresponding author), Univ York, Dept Biol, POB 373, York YO10 5YW, N Yorkshire, England.</t>
  </si>
  <si>
    <t>jkh6@york.ac.uk</t>
  </si>
  <si>
    <t>Hill, Jane/G-5151-2011; Thomas, Chris/A-1894-2012; Thomas, Chris/A-1460-2014; Willis, Stephen/F-8503-2015; Fox, Richard/G-3873-2011</t>
  </si>
  <si>
    <t>Thomas, Chris/0000-0003-2822-1334; Fox, Richard/0000-0001-6992-3522; Willis, Stephen/0000-0002-8656-5808;</t>
  </si>
  <si>
    <t>OCT 22</t>
  </si>
  <si>
    <t>10.1098/rspb.2002.2134</t>
  </si>
  <si>
    <t>607WX</t>
  </si>
  <si>
    <t>WOS:000178814700013</t>
  </si>
  <si>
    <t>Sullivan, TP; Sullivan, DS; Lindgren, PMF; Boateng, JO</t>
  </si>
  <si>
    <t>Influence of conventional and chemical thinning on stand structure and diversity of plant and mammal communities in young lodgepole pine forest</t>
  </si>
  <si>
    <t>pre-commercial thinning; stand structure; understory vegetation; lodgepole pine; small mammal communities; species diversity; glyphosate herbicide</t>
  </si>
  <si>
    <t>PELLET-GROUP; FLUCTUATING POPULATIONS; UNDERSTORY VEGETATION; DEMOGRAPHIC-CHANGES; SNOWSHOE HARES; DYNAMICS; WILDLIFE; BIOLOGY</t>
  </si>
  <si>
    <t>Silvicultural practices that provide a wide variety of vegetative composition and structure (habitats) in young stands should help manage for biological diversity across forested landscapes. This study was designed to test the hypotheses that: (i) abundance and diversity of stand structure attributes (species diversity and structural diversity of herb, shrub and tree layers) and forest floor small mammal communities, and (ii) relative habitat use by large herbivores, will increase from unthinned to conventionally thinned to chemically thinned stands of young lodgepole pine (Pinus contorta) forest. Replicate study areas were located near Summerland, Kelowna and Williams Lake in south-central British Columbia, Canada. Each study area had three treatments: a conventionally thinned, a chemically thinned and an unthinned stand. Pre-commercial thinning was conducted in 1993. Coniferous stand structure and understory vegetation were measured prior to thinning in 1993 and 5 years later in 1998. Small mammal populations were sampled intensively from 1993 to 1998. Relative habitat use by large herbivores was sampled in 1998. Our results indicate that chemical thinning of young lodgepole pine stands produced an aggregated pattern of crop trees compared with stands subjected to conventional thinning. Diameter growth of crop trees in the chemically thinned stands was similar to that in the conventionally thinned, but also to that in unthinned stands. Although horizontal stratification (aggregates of trees) was enhanced, vertical stratification (structural diversity of vegetation) was less in the chemically than conventionally thinned stands. Abundance and diversity of understory vegetation and small mammal communities were generally unaffected by stand thinning in these particular installations. Relative habitat use by mule deer (Odocoileus hemionus) occurred in a gradient from highest in the conventionally thinned stand to lowest in the unthinned stand. Habitat use by snowshoe hares (Lepus americanus) tended to have the opposite trend. Moose (Alces alces) exhibited no difference in habitat use among stands. Thus, although there were few differences among treatment stands, chemical thinning could be used to develop an aggregated pattern of crop trees in pre-commercially thinned stands to maintain habitat for herbivores such as snowshoe hares and mule deer. Understory plant and forest floor small mammal communities would be maintained in these stands as well. (C) 2002 Elsevier Science B.V. All rights reserved.</t>
  </si>
  <si>
    <t>Appl Mammal Res Inst, Summerland, BC V0H 1Z0, Canada; Minist Forests, Forest Practices Branch, Victoria, BC V8W 9C2, Canada</t>
  </si>
  <si>
    <t>Natural Resources Canada; Canadian Forest Service</t>
  </si>
  <si>
    <t>Sullivan, TP (corresponding author), Appl Mammal Res Inst, RR 3,Site 46,Comp 18,11010 Mitchell Ave, Summerland, BC V0H 1Z0, Canada.</t>
  </si>
  <si>
    <t>sullivan@telus.net</t>
  </si>
  <si>
    <t>OCT 15</t>
  </si>
  <si>
    <t>PII S0378-1127(01)00775-7</t>
  </si>
  <si>
    <t>10.1016/S0378-1127(01)00775-7</t>
  </si>
  <si>
    <t>603NY</t>
  </si>
  <si>
    <t>WOS:000178567000013</t>
  </si>
  <si>
    <t>Beaumont, LJ; Hughes, L</t>
  </si>
  <si>
    <t>Potential changes in the distributions of latitudinally restricted Australian butterfly species in response to climate change</t>
  </si>
  <si>
    <t>BIOCLIM; bioclimatic envelope; butterflies; climate change; lepidoptera; range shifts</t>
  </si>
  <si>
    <t>BRITISH BUTTERFLIES; PYRONIA-TITHONUS; LARVAL EMERGENCE; PEDUNCULATE OAK; PIERIS-RAPAE; WINTER MOTH; TEMPERATURE; RANGE; LEPIDOPTERA; PLANT</t>
  </si>
  <si>
    <t>This study assessed potential changes in the distributions of Australian butterfly species in response to global warming. The bioclimatic program, BIOCLIM, was used to determine the current climatic ranges of 77 butterfly species restricted to Australia. We found that the majority of these species had fairly wide climatic ranges in comparison to other taxa, with only 8% of butterfly species having a mean annual temperature range spanning less than 3 degreesC. The potential changes in the distributions of 24 butterfly species under four climate change scenarios for 2050 were also modelled using BIOCLIM. Results suggested that even species with currently wide climatic ranges may still be vulnerable to climate change; under a very conservative climate change scenario (with a temperature increase of 0.8-1.4 degreesC by 2050) 88% of species distributions decreased, and 54% of species distributions decreased by at least 20%. Under an extreme scenario (temperature increase of 2.1-3.9 degreesC by 2050) 92% of species distributions decreased, and 83% of species distributions decreased by at least 50%. Furthermore, the proportion of the current range that was contained within the predicted range decreased from an average of 63% under a very conservative scenario to less than 22% under the most extreme scenario. By assessing the climatic ranges that species are currently exposed to, the extent of potential changes in distributions in response to climate change and details of their life histories, we identified species whose characteristics may make them particularly vulnerable to climate change in the future.</t>
  </si>
  <si>
    <t>Macquarie Univ, Dept Biol Sci, N Ryde, NSW 2109, Australia</t>
  </si>
  <si>
    <t>Macquarie University</t>
  </si>
  <si>
    <t>; Beaumont, Linda/D-5499-2012</t>
  </si>
  <si>
    <t>10.1046/j.1365-2486.2002.00490.x</t>
  </si>
  <si>
    <t>590YT</t>
  </si>
  <si>
    <t>WOS:000177853000003</t>
  </si>
  <si>
    <t>Parrotta, JA; Francis, JK; Knowles, OH</t>
  </si>
  <si>
    <t>Harvesting intensity affects forest structure and composition in an upland Amazonian forest</t>
  </si>
  <si>
    <t>Brazil; floristic diversity; forest management; productivity; regeneration</t>
  </si>
  <si>
    <t>TREE SPECIES-DIVERSITY; RICAN RAIN-FOREST; BRAZILIAN AMAZON; BURN AGRICULTURE; MANAGEMENT; REGENERATION; DISTURBANCE; RECOVERY; GROWTH</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</si>
  <si>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</si>
  <si>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USDA, Forest Serv, Int Inst Trop Forestry, Rio Piedras, PR 00928 USA</t>
  </si>
  <si>
    <t>Parrotta, JA (corresponding author), USDA, Forest Serv, Res &amp; Dev, SPPII RPC, 4th Floor,POB 96090, Washington, DC 20090 USA.</t>
  </si>
  <si>
    <t>Parrotta, John/0000-0002-9283-6037</t>
  </si>
  <si>
    <t>OCT 1</t>
  </si>
  <si>
    <t>PII S0378-1127(01)00758-7</t>
  </si>
  <si>
    <t>10.1016/S0378-1127(01)00758-7</t>
  </si>
  <si>
    <t>590QW</t>
  </si>
  <si>
    <t>WOS:000177834400006</t>
  </si>
  <si>
    <t>Sekercioglu, CH</t>
  </si>
  <si>
    <t>Effects of forestry practices on vegetation structure and bird community of Kibale National Park, Uganda</t>
  </si>
  <si>
    <t>Uganda; tropical forestry; selective logging; vegetation structure; bird communities</t>
  </si>
  <si>
    <t>RAIN-FOREST; REGENERATION; BIODIVERSITY; CONSERVATION; ECOLOGY</t>
  </si>
  <si>
    <t>I examined the lingering effects of past timber management practices on the vegetation structure and bird community of Kibale National Park, Uganda. I compared four forest treatments: unlogged native forest (UL), two that were selectively logged Lit low (LL) and high (HL) intensities in the 1960s, and a conifer plantation (PL). Forest-dependent birds were best represented at UL. LL was similar to UL in both vegetation structure and bird community cornposition, although some forest-dependent bird species were missing from the former. HL had significantly less canopy closure and lower tree density than other plots as a result of the combination of extensive secondary damage and natural disturbance patterns that prevented the reclosure of the forest canopy. Thirty-one percent of the forest-dependent bird species observed during the study were not detected Lit HL. At PL, bird species richness and bird abundance were about a third of those observed in other plots. There were significant correlations between heterogeneity of tree distribution (horizontal heterogeneity) and abundance and species richness of birds across plots. Abundance and species richness of all, forest-dependent, and forest generalist birds were highest in plots with intermediate measures of horizontal heterogeneity, which were mostly unlogged or lightly logged. If reduced-impact logging practices are not implemented during selective logging operations in tropical forests, consequent long-term changes in vegetation structure may result ill significant declines in the populations of some forest-dependent species, as was observed in Kibale National Park. (C) 2002 Fisevier Science Ltd. All rights reserved.</t>
  </si>
  <si>
    <t>Stanford Univ, Ctr Conservat Biol, Dept Biol Sci, Stanford, CA 94305 USA</t>
  </si>
  <si>
    <t>Sekercioglu, CH (corresponding author), Stanford Univ, Ctr Conservat Biol, Dept Biol Sci, Stanford, CA 94305 USA.</t>
  </si>
  <si>
    <t>Sekercioglu, Cagan/A-2331-2013; Şekercioğlu, Çağan H/A-1273-2007</t>
  </si>
  <si>
    <t>Şekercioğlu, Çağan H/0000-0003-3193-0377</t>
  </si>
  <si>
    <t>PII S0006-3207(02)00097-6</t>
  </si>
  <si>
    <t>10.1016/S0006-3207(02)00097-6</t>
  </si>
  <si>
    <t>573WE</t>
  </si>
  <si>
    <t>WOS:000176854200010</t>
  </si>
  <si>
    <t>Erasmus, BFN; Van Jaarsveld, AS; Chown, SL; Kshatriya, M; Wessels, KJ</t>
  </si>
  <si>
    <t>Vulnerability of South African animal taxa to climate change</t>
  </si>
  <si>
    <t>conservation; fragmentation; land-use; range contraction</t>
  </si>
  <si>
    <t>COMMON FLY BELT; PROTECTION STATUS; HABITAT AVAILABILITY; GEOGRAPHICAL RANGES; BEETLES COLEOPTERA; TSETSE HABITAT; CONSERVATION; BIODIVERSITY; DIVERSITY; BIOGEOGRAPHY</t>
  </si>
  <si>
    <t>The responsiveness of South African fauna to climate change events is poorly documented and not routinely incorporated into regional conservation planning. We model the likely range alterations of a representative suite of 179 animal species to climate change brought about by the doubling of CO2 concentrations. This scenario is expected to cause a mean temperature increase of 2 degreesC. We applied a multivariate climate envelope approach and evaluated model performance using the most comprehensive bird data set. The results were encouraging, although model performance was inconsistent in the eastern coastal area of the country. The levels of climate change induced impacts on species ranges varied from little impact to local extinction. Some 17% of species expanded their ranges, 78% displayed range contraction (4-98%), 3% showed no response and 2% became locally extinct. The majority of range shifts (41%) were in an easterly direction, reflecting the east-west aridity gradient across the country. Species losses were highest in the west. Substantially smaller westward shifts were present in some eastern species. This may reflect a response to the strong altitudinal gradient in this region, or may be a model artifact. Species range change (composite measure reflecting range contraction and displacement) identified selected species that could act as climate change indicator taxa. Red-data and vulnerable species showed similar responses but were more likely to display range change (58% vs. 43% for all species). Predictions suggest that the flagship, Kruger National Park conservation area may loose up to 66% of the species included in this analysis. This highlights the extent of the predicted range shifts, and indicates why conflicts between conservation and other land uses are likely to escalate under conditions of climate change.</t>
  </si>
  <si>
    <t>Univ Pretoria, Ctr Environm Studies, ZA-0002 Pretoria, South Africa; Univ Pretoria, Dept Zool &amp; Entomol, Conservat Planning Unit, ZA-0002 Pretoria, South Africa; Agr Res Council, Inst Soil Climate &amp; Water, ZA-0001 Pretoria, South Africa</t>
  </si>
  <si>
    <t>University of Pretoria; University of Pretoria; Agricultural Research Council of South Africa; Institute for Soil, Climate and Water, Agricultural Research Council</t>
  </si>
  <si>
    <t>Van Jaarsveld, AS (corresponding author), Univ Pretoria, Ctr Environm Studies, ZA-0002 Pretoria, South Africa.</t>
  </si>
  <si>
    <t>ASvJaarsveld@zoology.up.ac.za</t>
  </si>
  <si>
    <t>van Jaarsveld, Albert/H-5368-2013; Chown, Steven/H-3347-2011; Erasmus, Barend/G-3411-2012</t>
  </si>
  <si>
    <t>Erasmus, Barend/0000-0003-1869-8091</t>
  </si>
  <si>
    <t>10.1046/j.1365-2486.2002.00502.x</t>
  </si>
  <si>
    <t>559ZD</t>
  </si>
  <si>
    <t>WOS:000176055800007</t>
  </si>
  <si>
    <t>Galbraith, H; Jones, R; Park, R; Clough, J; Herrod-Julius, S; Harrington, B; Page, G</t>
  </si>
  <si>
    <t>Global climate change and sea level rise: Potential losses of intertidal habitat for shorebirds</t>
  </si>
  <si>
    <t>WATERBIRDS</t>
  </si>
  <si>
    <t>shorebirds; intertidal habitat; climate change; sea-level rise</t>
  </si>
  <si>
    <t>COAST</t>
  </si>
  <si>
    <t>Global warming is expected to result in an acceleration in Current rates of sea level rise, inundating many low-lying coastal arid intertidal areas. This could have important implications for organisms that depend on these sites, including shorebirds that rely on them for feeding habitat during their migrations and in winter. We modeled the potential changes in the extent of intertidal foraging habitat for shorebirds at five sites in the United States that currently-support internationally important numbers of migrating and wintering birds. Even assuming a conservative global warming scenario of 2degreesC within the next century (the most recent projections range between 1.4degreesC and 5.8degreesC), we project major intertidal habitat loss at four of the sites (Willapa Bay, Humboldt Bay, San Francisco Bay, arid Delaware Bay). Projected losses range between 20% and 70% of current intertidal habitat. Such losses might jeopardize the ability of these sites to continue to support their current shorebird numbers. The most Severe losses are likely to occur at sitcom where the coastline is unable to move inland because of steep topography or seawalls. The effects of sea level rise may be exacerbated by additional anthropogenic factors. In southern San Francisco Bay, for example, sea level rise may interact with land subsidence due to aquifer depletion, and the constraints imposed by existing seawalls on the landward migration of habitat, resulting in the greatest habitat loss. At the fifth site (Bolivar Flats) we project smaller losses as the intertidal habitat: are unconstrained by sea walls and will be able to migrate inland in response to rising sea level. Installation of additional coastal protection barriers at this site and others is likely to exacerbate the rate and extent of intertidal habitat loss.</t>
  </si>
  <si>
    <t>Galbraith Environm Sci, Boulder, CO 80305 USA; Stratus Consulting Inc, Boulder, CO 80306 USA; Eco Modeling, Diamondhead, MS 39525 USA; US EPA, Washington, DC 20460 USA; Manomet Ctr Conservat Sci, Manomet, MA 02345 USA; Point Reyes Bird Observ, Stinson Beach, CA 94976 USA</t>
  </si>
  <si>
    <t>Stratus Consulting Group; United States Environmental Protection Agency</t>
  </si>
  <si>
    <t>Galbraith, H (corresponding author), Galbraith Environm Sci, 633 Furman Way, Boulder, CO 80305 USA.</t>
  </si>
  <si>
    <t>Jones, Richard/0000-0002-0904-3141</t>
  </si>
  <si>
    <t>WATERBIRD SOC</t>
  </si>
  <si>
    <t>NATL MUSEUM NATURAL HISTORY SMITHSONIAN INST, WASHINGTON, DC 20560 USA</t>
  </si>
  <si>
    <t>1524-4695</t>
  </si>
  <si>
    <t>Waterbirds</t>
  </si>
  <si>
    <t>10.1675/1524-4695(2002)025[0173:GCCASL]2.0.CO;2</t>
  </si>
  <si>
    <t>562CM</t>
  </si>
  <si>
    <t>WOS:000176179900006</t>
  </si>
  <si>
    <t>Ollinger, SV; Aber, JD; Reich, PB; Freuder, RJ</t>
  </si>
  <si>
    <t>Interactive effects of nitrogen deposition, tropospheric ozone, elevated CO2 and land use history on the carbon dynamics of northern hardwood forests</t>
  </si>
  <si>
    <t>carbon balance; climate variation; CO2; forest productivity; land use history; nitrogen deposition; ozone</t>
  </si>
  <si>
    <t>ATMOSPHERIC DEPOSITION; STOMATAL CONDUCTANCE; DECIDUOUS FOREST; AMBIENT OZONE; PINE FOREST; WATER YIELD; PHOTOSYNTHESIS; PLANT; GROWTH; DIOXIDE</t>
  </si>
  <si>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</si>
  <si>
    <t>Univ New Hampshire, Inst Study Earth Oceans &amp; Space, Complex Syst Res Ctr, Durham, NH 03824 USA; Univ Minnesota, Dept Forest Resources, St Paul, MN 55108 USA</t>
  </si>
  <si>
    <t>University System Of New Hampshire; University of New Hampshire; University of Minnesota System; University of Minnesota Twin Cities</t>
  </si>
  <si>
    <t>Ollinger, SV (corresponding author), Univ New Hampshire, Inst Study Earth Oceans &amp; Space, Complex Syst Res Ctr, Morse Hall, Durham, NH 03824 USA.</t>
  </si>
  <si>
    <t>scott.ollinger@unh.edu</t>
  </si>
  <si>
    <t>Ollinger, Scott/N-3380-2014; Reich, Peter/AFQ-0566-2022</t>
  </si>
  <si>
    <t>Ollinger, Scott/0000-0001-6226-1431; Reich, Peter/0000-0003-4424-662X</t>
  </si>
  <si>
    <t>10.1046/j.1365-2486.2002.00482.x</t>
  </si>
  <si>
    <t>554QQ</t>
  </si>
  <si>
    <t>WOS:000175749000004</t>
  </si>
  <si>
    <t>Summerville, KS; Crist, TO</t>
  </si>
  <si>
    <t>Effects of timber harvest on forest Lepidoptera: Community, guild, and species responses</t>
  </si>
  <si>
    <t>biodiversity; canonical correspondence analysis (CCA); clear-cutting; community; composition; disturbance; landscape; Lepidoptera; logging; Ohio; species richness</t>
  </si>
  <si>
    <t>INSECT HERBIVORE; BIRD COMMUNITIES; DIVERSITY; MOTHS; PLANT; DISTURBANCE; RICHNESS; SCALE; CONSERVATION; BUTTERFLIES</t>
  </si>
  <si>
    <t>Two pressing questions for forestry and conservation biology are whether periodic logging in forest ecosystems significantly changes biodiversity and whether the changes can be mitigated through appropriate harvest methods. Such questions of timber resource management, however, are rarely applied to nonpest insect species, particularly in temperate forest systems. We studied the effects of timber harvest on species richness, abundance, and community composition of forest Lepidoptera (moths). Moths were sampled in 16 forest stands occurring in two watersheds (managed and wilderness) in southeastern Ohio during summer 2000. Stands were chosen from one of four management categories: clear-cut, selectively logged, unlogged, and wilderness. Specifically, we tested the following predictions: (1) shifts in moth community composition would be affected by postharvest changes in stand structure and floristic composition, (2) variation in species richness would be determined by the magnitude of the logging disturbance, and (3) unlogged stands within managed landscapes would contain different species assemblages compared to wilderness stands. Canonical correspondence analysis (CCA) revealed significant compositional differences among moth communities sampled from forest stands differing in harvest regime. Variation among moth communities was mainly attributable to postharvest changes in stand floristic composition rather than stand structure. Postdisturbance shifts in moth community composition were related to the magnitude of displacement of a given forest stand to earlier successional stages. We also found that both species richness of the overall moth community and several feeding guilds were significantly lower in clear-cut stands, but species richness did not differ between selectively logged and unlogged stands. Thus, selective logging appears to be a better strategy for timber harvest when concern is for maintaining species richness of Lepidoptera within stands. Finally, although no differences were detected in overall species richness or abundance of moths sampled from stands in managed or wilderness watersheds, the CCA suggested that the surrounding landscape influenced the variation in community composition within and among forest stands. Therefore, we suggest that the long-term maintenance of lepidopteran species diversity and community composition within temperate deciduous forests managed for timber tray ultimately depend on successful regeneration of harvested stands to precut floristic composition as well as the preservation of larger areas of unlogged forests.</t>
  </si>
  <si>
    <t>Miami Univ, Dept Zool, Oxford, OH 45056 USA</t>
  </si>
  <si>
    <t>Summerville, KS (corresponding author), Miami Univ, Dept Zool, Oxford, OH 45056 USA.</t>
  </si>
  <si>
    <t>summerks@muohio.edu</t>
  </si>
  <si>
    <t>10.1890/1051-0761(2002)012[0820:EOTHOF]2.0.CO;2</t>
  </si>
  <si>
    <t>553UL</t>
  </si>
  <si>
    <t>WOS:000175693800023</t>
  </si>
  <si>
    <t>Lucht, W; Prentice, IC; Myneni, RB; Sitch, S; Friedlingstein, P; Cramer, W; Bousquet, P; Buermann, W; Smith, B</t>
  </si>
  <si>
    <t>Climatic control of the high-latitude vegetation greening trend and Pinatubo effect</t>
  </si>
  <si>
    <t>MOUNT-PINATUBO; LAND; INDEX; CO2</t>
  </si>
  <si>
    <t>A biogeochemical model of vegetation using observed climate data predicts the high northern latitude greening trend over the past two decades observed by satellites and a marked setback in this trend after the Mount Pinatubo, volcano eruption in 1991. The observed trend toward earlier spring budburst and increased maximum leaf area is produced by the model as a consequence of biogeochemical vegetation responses mainly to changes in temperature. The post-Pinatubo decline in vegetation in 1992-1993 is apparent as the effect of temporary cooling caused by the eruption. High-latitude CO2 uptake during these years is predicted as a consequence of the differential response of heterotrophic respiration and net primary production.</t>
  </si>
  <si>
    <t>Potsdam Inst Climate Impact Res, D-14412 Potsdam, Germany; Max Planck Inst Biogeochem, D-07745 Jena, Germany; Boston Univ, Dept Geog, Boston, MA 02215 USA; Lab Sci Climat &amp; Environm, F-91198 Gif Sur Yvette, France; Lund Univ, Dept Phys Geog &amp; Ecosyst Anal, S-22362 Lund, Sweden</t>
  </si>
  <si>
    <t>Potsdam Institut fur Klimafolgenforschung; Max Planck Society; Boston University; Universite Paris Saclay; Lund University</t>
  </si>
  <si>
    <t>Lucht, W (corresponding author), Potsdam Inst Climate Impact Res, POB 601203, D-14412 Potsdam, Germany.</t>
  </si>
  <si>
    <t>Wolfgang.Lucht@pik-potsdam.de</t>
  </si>
  <si>
    <t>Lucht, Wolfgang/G-2180-2011; Cramer, Wolfgang/B-8221-2008; Smith, Benjamin/I-1212-2016; Friedlingstein, Pierre/H-2700-2014; BOUSQUET, Philippe/AGI-6602-2022; Sitch, Stephen/F-8034-2015; Myneni, Ranga/F-5129-2012</t>
  </si>
  <si>
    <t>Lucht, Wolfgang/0000-0002-3398-8575; Cramer, Wolfgang/0000-0002-9205-5812; Bousquet, Philippe/0000-0002-4444-2703; Myneni, Ranga/0000-0002-0234-6393; Smith, Benjamin/0000-0002-6987-5337</t>
  </si>
  <si>
    <t>MAY 31</t>
  </si>
  <si>
    <t>10.1126/science.1071828</t>
  </si>
  <si>
    <t>558PR</t>
  </si>
  <si>
    <t>WOS:000175976200058</t>
  </si>
  <si>
    <t>Barnes, DKA</t>
  </si>
  <si>
    <t>Biodiversity - Invasions by marine life on plastic debris</t>
  </si>
  <si>
    <t>DISPERSAL; ISLAND</t>
  </si>
  <si>
    <t>British Antarctic Survey, Nat Environm Res Council, Cambridge CB3 OET, England; Univ Coll Cork, Dept Zool &amp; Anim Ecol, Cork, Ireland</t>
  </si>
  <si>
    <t>UK Research &amp; Innovation (UKRI); Natural Environment Research Council (NERC); NERC British Antarctic Survey; University College Cork</t>
  </si>
  <si>
    <t>Barnes, DKA (corresponding author), British Antarctic Survey, Nat Environm Res Council, High Cross,Madingley Rd, Cambridge CB3 OET, England.</t>
  </si>
  <si>
    <t>APR 25</t>
  </si>
  <si>
    <t>10.1038/416808a</t>
  </si>
  <si>
    <t>544MH</t>
  </si>
  <si>
    <t>WOS:000175163800039</t>
  </si>
  <si>
    <t>Peterson, AT; Ortega-Huerta, MA; Bartley, J; Sánchez-Cordero, V; Soberón, J; Buddemeier, RH; Stockwell, DRB</t>
  </si>
  <si>
    <t>Future projections for Mexican faunas under global climate change scenarios</t>
  </si>
  <si>
    <t>SPECIES RANGE; BIODIVERSITY; NICHES</t>
  </si>
  <si>
    <t>Global climates are changing rapidly, with unexpected consequences(1). Because elements of biodiversity respond intimately to climate as an important driving force of distributional limitation(2), distributional shifts and biodiversity losses are expected(3,4). Nevertheless, in spite of modelling efforts focused on single species(2) or entire ecosystems(5), a few preliminary surveys of fauna-wide effects(6,7), and evidence of climate change-mediated shifts in several species(8,9), the likely effects of climate change on species' distributions remain little known, and fauna-wide or community-level effects are almost completely unexplored(6). Here, using a genetic algorithm and museum specimen occurrence data, we develop ecological niche models for 1,870 species occurring in Mexico and project them onto two climate surfaces modelled for 2055. Although extinctions and drastic range reductions are predicted to be relatively few, species turnover in some local communities is predicted to be high (&gt; 40% of species), suggesting that severe ecological perturbations may result.</t>
  </si>
  <si>
    <t>Univ Kansas, Museum Nat Hist, Lawrence, KS 66045 USA; Univ Kansas, Dept Geog, Lawrence, KS 66045 USA; Univ Kansas, Kansas Appl Remote Sensing Program, Lawrence, KS 66045 USA; Univ Kansas, Kansas Geol Survey, Lawrence, KS 66045 USA; Univ Nacl Autonoma Mexico, Inst Biol, Dept Zool, Mexico City 04510, DF, Mexico; Univ Nacl Autonoma Mexico, Inst Ecol, Dept Ecol Evolut, Mexico City 04510, DF, Mexico; Univ Calif San Diego, San Diego Supercomp Ctr, La Jolla, CA 92093 USA</t>
  </si>
  <si>
    <t>University of Kansas; University of Kansas; University of Kansas; University of Kansas; Universidad Nacional Autonoma de Mexico; Universidad Nacional Autonoma de Mexico; University of California System; University of California San Diego</t>
  </si>
  <si>
    <t>Peterson, A. Townsend/I-5697-2013; Peterson, A Townsend/I-5697-2013; Soberon, Jorge/N-7444-2015</t>
  </si>
  <si>
    <t>Peterson, A Townsend/0000-0003-0243-2379; Soberon, Jorge/0000-0003-2160-4148</t>
  </si>
  <si>
    <t>APR 11</t>
  </si>
  <si>
    <t>10.1038/416626a</t>
  </si>
  <si>
    <t>539YV</t>
  </si>
  <si>
    <t>WOS:000174901900041</t>
  </si>
  <si>
    <t>Boström, U; Fogelfors, H</t>
  </si>
  <si>
    <t>Long-term effects of herbicide-application strategies on weeds and yield in spring-sown cereals</t>
  </si>
  <si>
    <t>WEED SCIENCE</t>
  </si>
  <si>
    <t>spring barley; Hordeum distichon L.; oats (Avena sativa L.); wheat (Triticum aestivum L.); efficacy; reduced rates; crop yield; bromoxynil; dichlorprop-P; ioxynil; MCPA; tribenuron-methyl; integrated weed management; IWM; seedbank</t>
  </si>
  <si>
    <t>SOUTHERN SWEDEN; SEED PRODUCTION; AUTUMN TILLAGE; REDUCED RATES; CROP; COMPETITION; REDUCTION; WHEAT; LONGEVITY; DIVERSITY</t>
  </si>
  <si>
    <t>Different herbicide-applications stratigies may serve as part of an integrated weed management (IWM) system. In 1987 and 1988, ten field trials were initiated in the south-central part of Sweden, with the objective of studying the long-term effects herbicide-application strategies on the development of weed populations and productivity of spring-sown cereals. Each year until 1997, herbicides were applied at 25, 50, 75, or 100% of the full recommended dose. Treatments included herbicide exclusion every second year and herbicide application at 25 or 50% of a full dose during two out of three years, with a full dose applied in the third year. An untreated control was included. In 1998, weed densities in 25, 50, 75, and 100% of a full dose were reduced 43, 58, 64, and 67% compared with the control. At seven sites, the exclusion of herbicides every second year resulted in 43 to 178% higher weed densities than in 50% of a full dose, although tire same amount of herbicide was applied when summarized over 2 yr. At four sites, herbicide application each year at 50, 75, or 100% of a full dose increased the density of difficult-to-control species by 24% compared with the untreated control. Averaged over sites, the untreated control contained 30% more weed species than herbicide application at 75 or 100% of a full dose. At three sites in 1996, the full dose resulted in 520 kg ha(-1) (pooled over sites) higher barley yields than in tire control. Neither in 1996 nor in 1997, was there any difference in crop yield between herbicide application at 25 and 100% of a full dose. This study demonstrates the potential of reducing the input of agrochemicals for weed control by using herbicides at reduced rates in competitive crops.</t>
  </si>
  <si>
    <t>SLU, Dept Ecol &amp; Crop Prod Sci, SE-75007 Uppsala, Sweden</t>
  </si>
  <si>
    <t>Boström, U (corresponding author), SLU, Dept Ecol &amp; Crop Prod Sci, POB 7043, SE-75007 Uppsala, Sweden.</t>
  </si>
  <si>
    <t>WEED SCI SOC AMER</t>
  </si>
  <si>
    <t>LAWRENCE</t>
  </si>
  <si>
    <t>810 EAST 10TH ST, LAWRENCE, KS 66044-8897 USA</t>
  </si>
  <si>
    <t>0043-1745</t>
  </si>
  <si>
    <t>WEED SCI</t>
  </si>
  <si>
    <t>Weed Sci.</t>
  </si>
  <si>
    <t>10.1614/0043-1745(2002)050[0196:LTEOHA]2.0.CO;2</t>
  </si>
  <si>
    <t>540HY</t>
  </si>
  <si>
    <t>WOS:000174924500010</t>
  </si>
  <si>
    <t>Ghazoul, J</t>
  </si>
  <si>
    <t>Impact of logging on the richness and diversity of forest butterflies in a tropical dry forest in Thailand</t>
  </si>
  <si>
    <t>community structure; deciduous dipterocarp forest; disturbance; Lepidoptera; range size</t>
  </si>
  <si>
    <t>HABITAT DISTURBANCE; SPECIES-DIVERSITY; RAIN-FOREST; PAPILIONOIDEA; CONSERVATION; LEPIDOPTERA; COMMUNITIES; INDICATORS; ABUNDANCE</t>
  </si>
  <si>
    <t>Studies on the impact of logging on tropical forest butterflies have been almost exclusively conducted in moist forest habitats. This study considers the impacts of small-scale logging on butterfly communities at three sites of varying disturbance intensity in a tropical dry forest in western Thailand. Butterfly species richness was similar at all sites, but the abundance of butterflies and diversity of the butterfly community decreased with increased logging disturbance. The recorded decrease in diversity at the relatively large sampling scale used lends further support to the hypothesis that disturbance effects are scale dependent. Species abundance data for butterflies fitted a log-normal distribution at all sites, but also a log-series distribution at the two disturbed sites. These analyses suggest a more complex butterfly community at the undisturbed site, but also that log-series and log-normal distributions may not to be sufficiently sensitive to be useful indicators of community changes following logging. Community ordination separates both the butterfly species and transect samples into three distinct regions corresponding to the three study locations. Ordination axes are correlated with tree density, understorey cover and understorey plant richness. Species with the smallest geographic ranges tend to be the least abundant and occurred most frequently in the undisturbed site. The observed diverging responses to disturbance among butterfly families diminishes the value of butterfly communities as biodiversity indicators, and forest managers should perhaps focus on restricted range species or of groups of recognized sensitive species for this purpose.</t>
  </si>
  <si>
    <t>Univ London Imperial Coll Sci Technol &amp; Med, TH Huxley Sch Environm Earth Sci &amp; Engn, Ascot SL5 7PY, Berks, England</t>
  </si>
  <si>
    <t>Imperial College London</t>
  </si>
  <si>
    <t>Ghazoul, J (corresponding author), Univ London Imperial Coll Sci Technol &amp; Med, TH Huxley Sch Environm Earth Sci &amp; Engn, Silwood Pk, Ascot SL5 7PY, Berks, England.</t>
  </si>
  <si>
    <t>j.ghazoul@ic.ac.uk</t>
  </si>
  <si>
    <t>; Ghazoul, Jaboury/B-2121-2018</t>
  </si>
  <si>
    <t>Ghazoul, Jaboury/0000-0002-8319-1636;</t>
  </si>
  <si>
    <t>10.1023/A:1014812701423</t>
  </si>
  <si>
    <t>534UL</t>
  </si>
  <si>
    <t>WOS:000174605900009</t>
  </si>
  <si>
    <t>Geist, HJ; Lambin, EF</t>
  </si>
  <si>
    <t>Proximate causes and underlying driving forces of tropical deforestation</t>
  </si>
  <si>
    <t>LAND-COVER CHANGE; POPULATION; PATTERNS</t>
  </si>
  <si>
    <t>Catholic Univ Louvain, Dept Geog, LUCC Project, IGBP,LUCC Int Project Off, B-1348 Louvain, Belgium; Catholic Univ Louvain, Dept Geog, IHDP Global Environm Change, LUCC Int Project Off, B-1348 Louvain, Belgium</t>
  </si>
  <si>
    <t>Universite Catholique Louvain; Universite Catholique Louvain</t>
  </si>
  <si>
    <t>Geist, HJ (corresponding author), Catholic Univ Louvain, Dept Geog, LUCC Project, IGBP,LUCC Int Project Off, PL Louis Pasteur 3, B-1348 Louvain, Belgium.</t>
  </si>
  <si>
    <t>geist@geog.ucl.ac.be</t>
  </si>
  <si>
    <t>Lambin, Eric/0000-0002-0673-5257</t>
  </si>
  <si>
    <t>1525-3244</t>
  </si>
  <si>
    <t>10.1641/0006-3568(2002)052[0143:PCAUDF]2.0.CO;2</t>
  </si>
  <si>
    <t>521KR</t>
  </si>
  <si>
    <t>WOS:000173839600005</t>
  </si>
  <si>
    <t>Demmer, J; Godoy, R; Wilkie, D; Overman, H; Taimur, M; Fernando, K; Gupta, R; McSweeney, K; Brokaw, N; Sriram, S; Price, T</t>
  </si>
  <si>
    <t>Do levels of income explain differences in game abundance? An empirical test in two Honduran villages</t>
  </si>
  <si>
    <t>animal census; economic development; game abundance; Honduras; income; mosquitia; multivariate analysis; Tawahka</t>
  </si>
  <si>
    <t>ROADS; CONSERVATION; GROWTH; DIET</t>
  </si>
  <si>
    <t>Although researchers have documented the role of anthropogenic hunting pressure on the abundance of game, few have measured the direct effects of income or economic development on game abundance. Economic theory tends to predict an ambiguous causal relation between income and the abundance of game. Here we test whether income (a standard proxy of economic development) erodes the abundance of game in two Tawahka Amerindian villages in the rain forest of Honduras. The two villages have similar ecologies and weather and lie 17 km apart but differ in income, population size, wealth, the presence of outside institutions, and hunting pressure. A census of animals done over 2 continuous years suggests that the richer village had less game and relatively fewer large-bodied animals. At the level of animal groups (e. g., mammals) or individual species, or when we include controls for the simultaneous effect of vegetation type, distance from the start of the hunting trail, and time of the year through a random-effect probit model, the two villages display no statistically significant differences in game abundance. A random-effect, multivariate tobit model, in fact, suggests that being in the more remote village correlated with 43.5% fewer animals seen in any one encounter; results were significant at the 99% confidence level. The conclusions contain a discussion of why income might produce ambiguous effects on game abundance and the tradeoffs of using bivariate and multivariate techniques to analyze the covariates of game abundance in the tropical rain forests of the New World.</t>
  </si>
  <si>
    <t>Brandeis Univ, Heller Sch Social Policy &amp; Management, Sustainable Int Dev Program, Waltham, MA 02455 USA; Wildlife Conservat Soc, Bronx, NY 10460 USA; Univ Amsterdam, Inst Biodivers &amp; Ecosyst Dynam, NL-1090 GB Amsterdam, Netherlands; Ohio State Univ, Dept Geog, Columbus, OH 43210 USA; Univ Puerto Rico, Inst Trop Ecosyst Studies, Rio Piedras, PR 00931 USA</t>
  </si>
  <si>
    <t>Brandeis University; Wildlife Conservation Society; University of Amsterdam; University System of Ohio; Ohio State University; University of Puerto Rico; University of Puerto Rico Rio Piedras</t>
  </si>
  <si>
    <t>Godoy, R (corresponding author), Brandeis Univ, Heller Sch Social Policy &amp; Management, Sustainable Int Dev Program, MS 078, Waltham, MA 02455 USA.</t>
  </si>
  <si>
    <t>yapuwas@yahoo.com</t>
  </si>
  <si>
    <t>10.1023/A:1020305903156</t>
  </si>
  <si>
    <t>597CJ</t>
  </si>
  <si>
    <t>WOS:000178204300010</t>
  </si>
  <si>
    <t>Edwards, M; Beaugrand, G; Reid, PC; Rowden, AA; Jones, MB</t>
  </si>
  <si>
    <t>Ocean climate anomalies and the ecology of the North Sea</t>
  </si>
  <si>
    <t>North Sea; plankton communities; long-term trends; continuous plankton recorder; great salinity anomaly; ocean climate</t>
  </si>
  <si>
    <t>LONG-TERM; ATLANTIC OSCILLATION; GERMAN BIGHT; VARIABILITY; SALINITY; BENTHOS; PHYTOPLANKTON; HYDROGRAPHY; ZOOPLANKTON; DIVERSITY</t>
  </si>
  <si>
    <t>Long-term changes in the plankton of the North Sea are investigated using data from the continuous plankton recorder (CPR) survey, During the last 4 decades, there appears to have been 2 large anomalous periods within the plankton data set, one that occurred in the late 1970s and the other in the late 1980s. These anomalous periods seem to be largely synchronous with unusual ocean climate conditions that have occurred episodically over a timescale of decades, The unusual ocean climate conditions prevailing at these 2 time periods appear to contain important hydrographical elements that involve oceanic incursions into the North Sea. This paper, using data from the CPR survey and providing evidence from other studies, focuses on the relationship between the long-term changes in the biology of the North Sea and these 2 exceptional hydro-climatic events, Here, we suggest that while atmospheric variability and associated changes in regional temperatures have a dominant effect on the marine environment, oceanic influences on the ecology of a semi-closed environment such as the North Sea may have been underestimated in the past.</t>
  </si>
  <si>
    <t>Sir Alister Hardy Fdn Ocean Sci, Lab, Plymouth PL1 2PB, Devon, England; Lab Oceanog Biol &amp; Ecol Plancton Marin, Observ Sci Univers, F-06234 Villefranche Sur Mer, France; Natl Inst Water &amp; Atmospher Res, Marine Biodivers Grp, NIWA, Wellington, New Zealand; Univ Plymouth, Dept Biol Sci, Plymouth PL4 8AA, Devon, England</t>
  </si>
  <si>
    <t>National Institute of Water &amp; Atmospheric Research (NIWA) - New Zealand; University of Plymouth</t>
  </si>
  <si>
    <t>Edwards, M (corresponding author), Sir Alister Hardy Fdn Ocean Sci, Lab, Citadel Hill, Plymouth PL1 2PB, Devon, England.</t>
  </si>
  <si>
    <t>maed@mail.pml.ac.uk</t>
  </si>
  <si>
    <t>; Rowden, Ashley/O-9358-2019; BEAUGRAND, GREGORY/LWI-2327-2024</t>
  </si>
  <si>
    <t>Edwards, Martin/0000-0002-5716-4714; BEAUGRAND, GREGORY/0000-0002-0712-5223; Rowden, Ashley/0000-0003-2975-2524;</t>
  </si>
  <si>
    <t>10.3354/meps239001</t>
  </si>
  <si>
    <t>596QF</t>
  </si>
  <si>
    <t>WOS:000178175000001</t>
  </si>
  <si>
    <t>Freemark, KE; Kirk, DA</t>
  </si>
  <si>
    <t>Birds on organic and conventional farms in Ontario: partitioning effects of habitat and practices on species composition and abundance</t>
  </si>
  <si>
    <t>farmland birds; organic farms; habitat and practices; canonical correspondence analysis; variation partitioning; bird population eclines; Ontario; Canada</t>
  </si>
  <si>
    <t>CANONICAL CORRESPONDENCE-ANALYSIS; FARMLAND BIRDS; AGRICULTURAL LANDSCAPES; BREEDING SUCCESS; TERRESTRIAL WILDLIFE; POPULATION TRENDS; SOUTHERN ONTARIO; LOWLAND FARMLAND; NORTH-AMERICA; FIELD USE</t>
  </si>
  <si>
    <t>Population declines of farmland birds over recent decades in Europe, Canada and the USA have been attributed to more intensive agricultural management. We counted birds during the 1990 breeding season on 72 field sites in southern Ontario, Canada, paired between 10 organic and 10 conventional farms for local habitat to enhance our ability to detect effects of agricultural practices. Of 68 species recorded, 58 were on organic sites, 59 on conventional. Species richness and total abundance were significantly greater on organic than conventional sites based on log-linear regression. Of 43 species analyzed with log-linear regression, eight (18.6%) were significantly (P &lt;0.05) more abundant on organic than conventional sites and four (9.3%) approached significance (0.05 &lt;0.10). Eight of these 12 species had negative population trends for 1967-1998 Breeding Bird Surveys (BBS) in this region. Two of the 43 species analyzed (4.7%) were significantly more abundant on conventional than organic sites and three (7.0%) approached significance. Two of these five species had negative BBS population trends. A canonical correspondence analysis (CCA) of 13 practices and 13 habitat variables explained 44% of total variation (TV) accounted for in a detrended correspondence analysis of bird species composition and abundance. Practices contributed 23.7% of TV, habitat 26%; habitat and practices shared 5.7% with each other and 12% with farm ownership (i.e. clustering of field sites within farms). CCA ordinations indicated considerable mixing of organic and conventional sites across a gradient from sites with many birds species associated with greater habitat heterogeneity and more pasture, winter grain, farmstead and other non-crop habitats (hedgerow, woodland) to sites with few bird species associated with larger fields, more rowcrop and spring grain, more passes and tilling, and use of herbicides and chemical fertilizers. Our results re-emphasize the importance of non-crop habitats, more permanent crop cover, and less intensive management practices to the conservation of avian biodiversity on farmland. Canadian Crown Copyright (C) 2001 Published by Elsevier Science Ltd. All rights reserved.</t>
  </si>
  <si>
    <t>Environm Canada, Natl Wildlife Res Ctr, Ottawa, ON K1A OH3, Canada; Aquila Appl Ecologists, Carlsbad Springs, ON K0A 1K0, Canada</t>
  </si>
  <si>
    <t>Environment &amp; Climate Change Canada; Canadian Wildlife Service; National Wildlife Research Centre - Canada</t>
  </si>
  <si>
    <t>Freemark, KE (corresponding author), Environm Canada, Natl Wildlife Res Ctr, 100 Gamelin Blvd, Ottawa, ON K1A OH3, Canada.</t>
  </si>
  <si>
    <t>Kirk, David/AAA-7465-2021</t>
  </si>
  <si>
    <t>10.1016/S0006-3207(01)00079-9</t>
  </si>
  <si>
    <t>467UP</t>
  </si>
  <si>
    <t>WOS:000170722400007</t>
  </si>
  <si>
    <t>Skjelkvåle, BL; Stoddard, JL; Andersen, T</t>
  </si>
  <si>
    <t>Trends in surface water acidification in Europe and North America (1989-1998)</t>
  </si>
  <si>
    <t>6th International Conference on Acidic Deposition</t>
  </si>
  <si>
    <t>DEC 10-16, 2000</t>
  </si>
  <si>
    <t>TSUKUBA, JAPAN</t>
  </si>
  <si>
    <t>recovery; water chemistry; long-term trends; acidification</t>
  </si>
  <si>
    <t>NORTHEASTERN US; RECOVERY; QUALITY</t>
  </si>
  <si>
    <t>During the last 20 years, emission reductions in Europe and North America have resulted in decreased atmospheric S-deposition of up to 50%, while N-deposition has stayed almost constant. Data from 98 ICP Waters sites were tested for trends in concentrations of major chemical components for the 10-year period 1989-1998 using the nonparametric seasonal Kendall test. The sites were grouped into regions and types for meta-analysis. All of the regions had highly significant downward trends in SO42-* concentrations. Nitrate concentrations, on the other hand: show no regional patterns of change. Concentrations of base cations declined in most regions. All regions showed tendencies of increasing DOC. The low ANC sites showed the largest rates of recovery. Neither the high NO3- or low NO3- groups of sites exhibited significant trends in NO3- concentrations. Alpine (non-forested) sites show clear and consistent signals of recovery in ANC and pH, and appropriate (relative to SO42-* trends) rates of base cation decline.</t>
  </si>
  <si>
    <t>Norwegian Inst Water Res, N-0411 Oslo, Norway; US EPA, Western Ecol Div, Corvallis, OR 97333 USA</t>
  </si>
  <si>
    <t>Norwegian Institute for Water Research (NIVA); United States Environmental Protection Agency</t>
  </si>
  <si>
    <t>Skjelkvåle, BL (corresponding author), Norwegian Inst Water Res, POB 173 Kjelsas, N-0411 Oslo, Norway.</t>
  </si>
  <si>
    <t>Andersen, Tom/B-1950-2008; Stoddard, John/H-5594-2013</t>
  </si>
  <si>
    <t>Stoddard, John/0000-0002-2537-6130;</t>
  </si>
  <si>
    <t>SPUIBOULEVARD 50, PO BOX 17, 3300 AA DORDRECHT, NETHERLANDS</t>
  </si>
  <si>
    <t>AUG-SEP</t>
  </si>
  <si>
    <t>10.1023/A:1013806223310</t>
  </si>
  <si>
    <t>Conference Proceedings Citation Index - Science (CPCI-S); Science Citation Index Expanded (SCI-EXPANDED)</t>
  </si>
  <si>
    <t>489UY</t>
  </si>
  <si>
    <t>WOS:000172011900102</t>
  </si>
  <si>
    <t>Stand structure and small mammals in young lodgepole pine forest: 10-year results after thinning</t>
  </si>
  <si>
    <t>biodiversity; crop trees; old-growth forest; Pinus contorta; precommercial thinning; silviculture; small mammals; species richness and diversity; stand density; stand structure; tree growth; wildlife habitat</t>
  </si>
  <si>
    <t>DOUGLAS-FIR PLANTATIONS; OLD-GROWTH; MANAGED FORESTS; FLUCTUATING POPULATIONS; UNDERSTORY VEGETATION; DEMOGRAPHIC-CHANGES; SNOWSHOE HARES; FEEDING DAMAGE; RED SQUIRRELS; DIVERSITY</t>
  </si>
  <si>
    <t>Management of forested landscapes for biological diversity is a major objective across North America. Perhaps the greatest potential to diversify future forests lies in the vast areas of young second-growth stands which may be managed silviculturally to accelerate ecosystem development. This study was designed to test the hypotheses that large-scale precommercial thinning, at ages 17-27 yr, to various stand densities would, over the 10-yr period since treatment, enhance: (1) productivity of lodgepole pine (Pinus contorta) crop trees, (2) stand structure attributes, and (3) species richness and diversity of forest floor small-mammal communities. Study areas were located near Penticton, Kamloops, and Prince George in south-central British Columbia, Canada, in three forest ecological zones. Each study area had three stands thinned to densities of similar to 500 (low), similar to 1000 (medium), and similar to 2000 (high) stems/ha, with an unthinned juvenile pine and old-growth pine stand for comparison. Understory vegetation was measured in all stands in 1990, 1993, and 1998, and coniferous tree layers were measured in 1998. Small-mammal populations were sampled intensively in 1990, 1991, and 1998. Mean diameter increments of trees in the low-density stands were significantly higher than those in the medium- and high-density stands at all study areas. Mean height increments of trees were similar in the medium- and high-density stands and significantly higher than that in the low-density stands at Penticton and Prince George. Crown volume index (biomass) of herbs was highest in the thinned stands by 1998, but there was no difference among stands for shrubs and trees; volume of mosses was highest in the old-growth stands. Mean species richness and diversity of herbs, shrubs, and trees were similar among stands at 2, 5, and 10 yr after thinning. However, mean species diversity and structural diversity of coniferous trees were significantly higher in the low- and medium-density stands than in the high-density and unthinned stands 10 yr after thinning. Total structural diversity of all vegetation in the low-density stands was significantly greater than that of the medium-density, unthinned, and old-growth stands in 1998. Mean total abundance of all small mammals was similar among stands in 1990-1991, but the low-density and old-growth stands had the most mammals in 1998. Mean abundance of southern red-backed voles (Clethrionomys gapperi) was consistently higher (2.1-3.3 times) in the old-growth stands than in unthinned stands. In seven of nine cases, mean abundance of red-backed voles was similar among old-growth and thinned stands. Mean species richness and species diversity of small mammals were highest in the low-density and medium-density stands. Heavily thinned lodgepole pine stands developed structural attributes such as large diameter trees, large crowns, and structurally diverse vegetative understories. Forest floor small-mammal communities reflected the compositional and structural diversity of these managed stands.</t>
  </si>
  <si>
    <t>Appl Mammal Res Inst, Summerland, BC V0H 1Z0, Canada</t>
  </si>
  <si>
    <t>Sullivan, TP (corresponding author), Appl Mammal Res Inst, 11010 Mitchell Ave,RR 3,Site 46,Compartment 18, Summerland, BC V0H 1Z0, Canada.</t>
  </si>
  <si>
    <t>10.1890/1051-0761(2001)011[1151:SSASMI]2.0.CO;2</t>
  </si>
  <si>
    <t>458RW</t>
  </si>
  <si>
    <t>WOS:000170209200017</t>
  </si>
  <si>
    <t>Battles, JJ; Shlisky, AJ; Barrett, RH; Heald, RC; Allen-Diaz, BH</t>
  </si>
  <si>
    <t>The effects of forest management on plant species diversity in a Sierran conifer forest</t>
  </si>
  <si>
    <t>species richness; temperate conifer forest; Blodgett Forest Research Station</t>
  </si>
  <si>
    <t>COMMUNITY RESPONSES; LAYER VEGETATION; HERBACEOUS-LAYER; GROWTH; BIODIVERSITY; 2ND-GROWTH; OLD</t>
  </si>
  <si>
    <t>We used a large data set collected as part of a wildlife habitat study at the Blodgett Forest Research Station in the Sierra Nevada of California to assess the influence of management practices on vascular plant diversity in the mixed conifer forest. In addition to the existing data, we conducted botanical inventories in 32 plots (0.28 ha in size) from five different silvicultural regimes in 1997. Based on these inventories, understory species richness normalized to a total area sampled of 1.13 ha was significantly greater in plots under plantation (80 species) and shelterwood (77 species) management compared to plots in reserve sites (i.e., approximately 80 year with no active management, 48 species). This pattern in species richness was consistent in the larger data set. Based on 372 plots sampled between 1977 and 1996, plantations and shelterwoods routinely had the highest species richness and the reserve units routinely were the least rich. Stands under single-tree selection had species richness values closer to those of the reserve stands. The relative diversity observed in group selection plots varied from year to year. Based on the 1997 data, canopy closure and seedbed were significantly correlated to understory plant diversity. Plots that were more open and had more bare ground tended to have higher species richness. This result supports the suggestion that in addition to the total amount of biomass removed, post-harvest practices also affect plant diversity. There were considerable differences in the composition of the understory communities among silvicultural treatments. Plots under a group selection, single tree selection or reserve management regime had a greater proportion of late-seral vs. early-seral species and a lower proportion of introduced exotic species compared to plantations and shelterwoods. In this forest, more intensive management maximized species richness,but the lower intensity practices better conserved understory plants typical of late-seral stands. (C) 2001 Elsevier Science B.V. All rights reserved.</t>
  </si>
  <si>
    <t>Univ Calif Berkeley, Dept Environm Sci Policy &amp; Management, Berkeley, CA 94720 USA; Univ Calif, Blodgett Forest Res Stn, Georgetown, CA 95634 USA</t>
  </si>
  <si>
    <t>University of California System; University of California Berkeley</t>
  </si>
  <si>
    <t>Battles, JJ (corresponding author), Univ Calif Berkeley, Dept Environm Sci Policy &amp; Management, 151 Hilgard Hall, Berkeley, CA 94720 USA.</t>
  </si>
  <si>
    <t>jbattles@nature.berkeley.edu</t>
  </si>
  <si>
    <t>Barrett, Reginald/AAC-2608-2020; Battles, John/G-8233-2012; Battles, John J/G-8233-2012</t>
  </si>
  <si>
    <t>Battles, John J/0000-0001-7124-7893</t>
  </si>
  <si>
    <t>10.1016/S0378-1127(00)00463-1</t>
  </si>
  <si>
    <t>431NE</t>
  </si>
  <si>
    <t>WOS:000168636800017</t>
  </si>
  <si>
    <t>McGarigal, K; Romme, WH; Crist, M; Roworth, E</t>
  </si>
  <si>
    <t>Cumulative effects of roads and logging on landscape structure in the San Juan Mountains, Colorado (USA)</t>
  </si>
  <si>
    <t>LANDSCAPE ECOLOGY</t>
  </si>
  <si>
    <t>cumulative effects; forest management; fragmentation; landscape change; landscape pattern; landscape structure; logging; roads</t>
  </si>
  <si>
    <t>SUB-ALPINE FORESTS; ROCKY-MOUNTAINS; STAND DEVELOPMENT; BREEDING BIRDS; FIR FOREST; CLEAR-CUT; FRAGMENTATION; RESPONSES; DYNAMICS; OREGON</t>
  </si>
  <si>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</si>
  <si>
    <t>Univ Massachusetts, Dept Nat Resources Conservat, Amherst, MA 01003 USA</t>
  </si>
  <si>
    <t>University of Massachusetts System; University of Massachusetts Amherst</t>
  </si>
  <si>
    <t>McGarigal, K (corresponding author), Univ Massachusetts, Dept Nat Resources Conservat, Amherst, MA 01003 USA.</t>
  </si>
  <si>
    <t>mcgarigalk@forwild.umass.edu</t>
  </si>
  <si>
    <t>Romme, William/C-7317-2016</t>
  </si>
  <si>
    <t>Crist, Michele/0000-0002-3506-3402</t>
  </si>
  <si>
    <t>0921-2973</t>
  </si>
  <si>
    <t>LANDSCAPE ECOL</t>
  </si>
  <si>
    <t>Landsc. Ecol.</t>
  </si>
  <si>
    <t>10.1023/A:1011185409347</t>
  </si>
  <si>
    <t>Ecology; Geography, Physical; Geosciences, Multidisciplinary</t>
  </si>
  <si>
    <t>Environmental Sciences &amp; Ecology; Physical Geography; Geology</t>
  </si>
  <si>
    <t>446MD</t>
  </si>
  <si>
    <t>WOS:000169516300004</t>
  </si>
  <si>
    <t>Driscoll, CT; Lawrence, GB; Bulger, AJ; Butler, TJ; Cronan, CS; Eagar, C; Lambert, KF; Likens, GE; Stoddard, JL; Weathers, KC</t>
  </si>
  <si>
    <t>Acidic deposition in the northeastern United States: Sources and inputs, ecosystem effects, and management strategies</t>
  </si>
  <si>
    <t>AIR ACT AMENDMENTS; FORESTED WATERSHEDS; ATMOSPHERIC DEPOSITION; NITROGEN SATURATION; SULFATE DEPOSITION; SURFACE WATERS; DRY DEPOSITION; CLIMATE-CHANGE; NORTH-AMERICA; HUBBARD-BROOK</t>
  </si>
  <si>
    <t>Syracuse Univ, Dept Civil &amp; Environm Engn, Ctr Environm Syst Engn, Syracuse, NY 13244 USA; US Geol Survey, Troy, NY 12180 USA; Univ Virginia, Dept Environm Sci, Charlottesville, VA 22903 USA; Cornell Univ, Ctr Environm, Ithaca, NY 14853 USA; Univ Maine, Dept Biol Sci, Orono, ME 04469 USA; US Forest Serv, NE Forest Expt Stn, USDA, Durham, NH 03824 USA; Hubbard Brook Res Fdn, Hanover, NH 03755 USA; Inst Ecosyst Studies, Lab Serv, Millbrook, NY 12545 USA; US EPA, Corvallis Environm Res Lab, Corvallis, OR 97333 USA</t>
  </si>
  <si>
    <t>Syracuse University; United States Department of the Interior; United States Geological Survey; University of Virginia; Cornell University; University of Maine System; University of Maine Orono; United States Department of Agriculture (USDA); United States Forest Service; Cary Institute of Ecosystem Studies; United States Environmental Protection Agency</t>
  </si>
  <si>
    <t>Driscoll, CT (corresponding author), Syracuse Univ, Dept Civil &amp; Environm Engn, Ctr Environm Syst Engn, Syracuse, NY 13244 USA.</t>
  </si>
  <si>
    <t>ctdrisco@syr.edu</t>
  </si>
  <si>
    <t>iscoll, Charles T/F-9832-2014; Butler, Thomas/NES-8287-2025; Stoddard, John/H-5594-2013; Driscoll, Charles/F-9832-2014</t>
  </si>
  <si>
    <t>iscoll, Charles T/0000-0003-2692-2890; Stoddard, John/0000-0002-2537-6130;</t>
  </si>
  <si>
    <t>10.1641/0006-3568(2001)051[0180:ADITNU]2.0.CO;2</t>
  </si>
  <si>
    <t>432RX</t>
  </si>
  <si>
    <t>WOS:000168710400004</t>
  </si>
  <si>
    <t>Roy, DB; Rothery, P; Moss, D; Pollard, E; Thomas, JA</t>
  </si>
  <si>
    <t>Butterfly numbers and weather: predicting historical trends in abundance and the future effects of climate change</t>
  </si>
  <si>
    <t>JOURNAL OF ANIMAL ECOLOGY</t>
  </si>
  <si>
    <t>Butterfly Monitoring Scheme; rainfall; regression models; temperature</t>
  </si>
  <si>
    <t>HABITAT AVAILABILITY; AGLAIS-URTICAE; ENGLAND; RANGE; SERIES; PRECIPITATION; CONSERVATION; TEMPERATURE; SELECTION; PATTERNS</t>
  </si>
  <si>
    <t>1. The effect of weather on the size of British butterfly populations was studied using national weather records and the Butterfly Monitoring Scheme (BMS), a national database that has measured butterfly abundance since 1976. 2. Strong associations between weather and population fluctuations and trends were found in 28 of 31 species studied The main positive associations were with warm summer (especially June) temperature during the current and previous year, low rainfall in the current year and high rainfall in the previous year. Most bivoltine species benefited from warm June weather in the current year, three spring species and two that overwinter as adults benefited from warm weather in the previous summer, and most species with moist or semi-shaded habitats increased following high rainfall and cooler weather in the previous year. 3. Simple models incorporating weather variables and density effects were constructed for each species using the first 15 years' population data(1976-90) These fitted the observed data for that period well (median R-2 = 70%). Models were less good at predicting changes in abundance over the next 7 years (1991-97), although significant predictive success was obtained. 4. Parameter values of models were then adjusted to incorporate the full 22-year data-run For the eight species whose models had best predicted population changes or fitted the data well (R-2 &gt; 85%), models were run from 1767 to 1997, using historical weather records, to 'predict' trends in abundance over the past two centuries. For three species it was possible to compare predicted past trends with contemporary accounts of abundance since 1800. In each case, the match between predictions and these qualitative assessments was good. 5. Models were also used to predict future changes in abundance, using three published scenarios for climate change. Most, but not all, species are predicted to increase in the UK under warmer climates, a few species stayed stable, and only one species - the agricultural pest Pieris brassicae (Cabbage White) - is predicted to decline.</t>
  </si>
  <si>
    <t>Ctr Ecol &amp; Hydrol, Huntingdon PE28 2LS, Cambs, England; Springhill Farm, Cranbrook TN17 4LA, Kent, England; Ctr Ecol &amp; Hydrol, Winfrith Technol Ctr, Dorchester BH20 5AS, Dorset, England</t>
  </si>
  <si>
    <t>UK Centre for Ecology &amp; Hydrology (UKCEH); UK Centre for Ecology &amp; Hydrology (UKCEH)</t>
  </si>
  <si>
    <t>Roy, DB (corresponding author), Ctr Ecol &amp; Hydrol, Monks Wood, Huntingdon PE28 2LS, Cambs, England.</t>
  </si>
  <si>
    <t>Roy, David/A-6619-2009</t>
  </si>
  <si>
    <t>Roy, David/0000-0002-5147-0331</t>
  </si>
  <si>
    <t>BLACKWELL SCIENCE LTD</t>
  </si>
  <si>
    <t>P O BOX 88, OSNEY MEAD, OXFORD OX2 0NE, OXON, ENGLAND</t>
  </si>
  <si>
    <t>0021-8790</t>
  </si>
  <si>
    <t>J ANIM ECOL</t>
  </si>
  <si>
    <t>J. Anim. Ecol.</t>
  </si>
  <si>
    <t>10.1046/j.1365-2656.2001.00480.x</t>
  </si>
  <si>
    <t>437VM</t>
  </si>
  <si>
    <t>WOS:000169014300004</t>
  </si>
  <si>
    <t>Carrillo, E; Wong, G; Cuarón, AD</t>
  </si>
  <si>
    <t>Monitoring mammal populations in Costa Rican protected areas under different hunting restrictions</t>
  </si>
  <si>
    <t>NEOTROPICAL FORESTS; FELIS-CONCOLOR; DIVERSITY; ABUNDANCE</t>
  </si>
  <si>
    <t>If is necessary to assess whether the management of protected areas is achieving the objectives set for them. In particular, changes and trends in wildlife populations should be documented. We compared the 1990 abundance of mammals in two Costa Rican protected areas Corcovado National Park (CNP) and Golfo Dulce Forest Reserve (GDFR), with similar environmental characteristics bat different hunting restrictions and levels of protection. We also monitored the abundance of mammals in CNP over a 4-year period. We also devised an inexpensive method of monitoring tropical rainforest mammal populations in a timely and efficient manner. The method is based on the use of mammal track records and arboreal mammal sightings and requires little effort. With this method 20 mammal species were recorded at CNP and 15 at GDFR. Species were consistently less abundant in GDFR than in CNP, principally those species preferred by hunters. Species were grouped according to whether or not they are used as food and whether they are locally or globally threatened or not threatened. The abundance of all these groups of species in GDFR was 6-28% the abundance in CNP. During 1990-1994, overall mammal abundance in CNP remained relatively stable, but there was considerable variability among species. As a group, both species used for food and globally threatened species declined in abundance during that period in CNP. The abundance of all groups of species declined from 1992 to 1994, coinciding with a reduction in hunting vigilance at CNP. Evidence suggests that the main factor differentiating the abundance of mammals in the two protected areas, and at CNP during the study period, was the level of hunting. Golfo Dulce Forest Reserve seems to be achieving only partial success in protecting wildlife, whereas Corcovado National Park seems to be considerably more effective, although not entirely successful.</t>
  </si>
  <si>
    <t>Univ Nacl Autonoma Mexico, Inst Ecol, Dept Ecol Recursos Nat, Morelia 58089, Michoacan, Mexico; Ctr Agron Invest &amp; Ensenanza, Unidad Area Protegidas, Turrialba, Costa Rica; Univ Massachusetts, Dept Forestry &amp; Wildlife Management, Amherst, MA 01003 USA; Univ Nacl, Programa Reg Manejo Vida Silvestre, Heredia, Costa Rica</t>
  </si>
  <si>
    <t>Universidad Nacional Autonoma de Mexico; CATIE - Centro Agronomico Tropical de Investigacion y Ensenanza; University of Massachusetts System; University of Massachusetts Amherst; Universidad Nacional Costa Rica</t>
  </si>
  <si>
    <t>cuaron@oikos.unam.mx</t>
  </si>
  <si>
    <t>Carrillo, Eduardo/0000-0002-5303-0858</t>
  </si>
  <si>
    <t>10.1046/j.1523-1739.2000.99103.x</t>
  </si>
  <si>
    <t>385ZV</t>
  </si>
  <si>
    <t>WOS:000166035800007</t>
  </si>
  <si>
    <t>Smith, RS; Shiel, RS; Millward, D; Corkhill, P</t>
  </si>
  <si>
    <t>The interactive effects of management on the productivity and plant community structure of an upland meadow: an 8-year field trial</t>
  </si>
  <si>
    <t>cut date; Environmentally Sensitive Areas; fertilizer; grazing; plant species diversity; restoration</t>
  </si>
  <si>
    <t>RHINANTHUS-MINOR; NORTHERN ENGLAND; CUTTING DATE; CONSERVATION MANAGEMENT; SPECIES-DIVERSITY; HAY MEADOWS; SEED BANKS; GRASSLAND; VEGETATION; RESTORATION</t>
  </si>
  <si>
    <t>1. Agricultural policy in the Pennine Dales Environmentally Sensitive Area in northern England aims to enhance plant species diversity in agriculturally improved meadows and return them to a 'traditional' species composition. The interacting effects of management on vegetation and productivity were tested in a split-split-split plot experiment. Three grazing treatments (autumn grazing with cattle and sheep, spring grazing with sheep. both regimes) were applied between 1990 and 98. Two fertilizer treatments (25 kg ha(-1) N plus 12.5 kg ha(-1) P2O5 and K2O, no fertilizer): three hay cut date treatments (14 June, 21 July, 1 September) and two seed addition treatments (no seed, seed of many species) were used within the grazing treatments. 2. By 1998, all the main treatments had produced small but significant changes to plant species diversity. A particularly large increase in diversity occurred with the combination of autumn and spring grazing. 21 July hay cut date and seed addition treatments. This change was achieved by an episodic rather than a regular increase in species over time. 3. Rhinanthus minor spread to most plots after its introduction as a constituent of the seed treatment. By 1996 it was particularly abundant in all treatment combinations that included autumn grazing, no mineral fertilizer and a July haycut. Populations of &gt; 40 plants m(-2) were associated with the lowest yields of hay. 4. 'Unimproved-traditional' plant communities, mainly Festuca ovina-Agrostis capillaris-Galium saxatile grassland, occupied more than 66% of the trial area. Anthoxanthum odoratuam-Gerantium sylvaticum grasslands were most abundant in 1996, being primarily associated with the combination of autumn and spring grazing, 21 July and September hay cut dates and seed addition treatments, over both fertilizer treatments. 5. Yields of herbage biomass initially declined over time in all treatment combinations. Lowest yields in most years were associated with the autumn and spring grazing, 14 June cutting date and no fertilizer treatments. 6. Management to increase the number of plant species in agriculturally improved mesotrophic grassland requires the joint implementation of appropriate cut date and grazing regimes, probably to provide regeneration niches, and the application of seed to provide species to fill these niches. The small amount of mineral fertilizer used in this experiment had a measurable effect, but was of lesser importance.</t>
  </si>
  <si>
    <t>Newcastle Univ, Dept Agr &amp; Environm Sci, Newcastle Upon Tyne NE1 7RU, Tyne &amp; Wear, England; Newcastle Univ, Dept Agr, Newcastle Upon Tyne NE1 7RU, Tyne &amp; Wear, England; Manor House, Leyburn DL8 3AN, N Yorkshire, England; English Nat, Leyburn DL8 5ST, N Yorkshire, England</t>
  </si>
  <si>
    <t>Newcastle University - UK; Newcastle University - UK</t>
  </si>
  <si>
    <t>Smith, RS (corresponding author), Newcastle Univ, Dept Agr &amp; Environm Sci, Newcastle Upon Tyne NE1 7RU, Tyne &amp; Wear, England.</t>
  </si>
  <si>
    <t>r.s.smith@ncl.nc.uk</t>
  </si>
  <si>
    <t>10.1046/j.1365-2664.2000.00566.x</t>
  </si>
  <si>
    <t>402HC</t>
  </si>
  <si>
    <t>WOS:000166979900012</t>
  </si>
  <si>
    <t>Vasseur, L; Cloutier, C; Ansseau, C</t>
  </si>
  <si>
    <t>Effects of repeated sewage sludge application on plant community diversity and structure under agricultural field conditions on Podzolic soils in eastern Quebec</t>
  </si>
  <si>
    <t>environmental monitoring; sewage sludge; weeds; diversity; productivity</t>
  </si>
  <si>
    <t>HEAVY-METALS; YIELD; ACCUMULATION</t>
  </si>
  <si>
    <t>In Quebec, municipal sewage sludge application on agricultural lands is relatively recent and there are many concerns related to potential contamination and loss of plant productivity. This study aimed at monitoring the impacts of repeated, long-term application of sewage sludge on agricultural lands under operating field conditions. Eight paired study sites (treated and control) in three regions of the Eastern Townships (Que., Canada) were selected. Vegetation surveys were carried out twice a season for 2 years and soil samples were collected. Diversity index (D), yield production and percentage of weeds were measured in each field. The average number of species per site and treatment varied from 10 to 36 but the differences between control and treated plots for all sites were not significant. The diversity indices significantly varied between sites due to original soil composition differences between locations. In some cases, significant differences in diversity existed between paired treated and control fields. However, weed percentage did not necessarily vary in those same fields suggesting that change in diversity did not lead to changes in number of weeds. Soil chemical composition showed that significant variation existed between sites but not between paired fields. Correlation performed between diversity, production, weed frequency and soil parameters showed that variation in D was negatively correlated with Mg and positively with pH. At the same time, the percentage of weeds was negatively associated with K, Ca and pH (P&lt;0.05). Although sewage sludge produced little direct effect on the ecological parameters, analyses suggest that some soil chemical factors may affect plant diversity and percentage of weeds. These results indicate that plant community ecology may be affected by changes in environmental conditions but in a complex manner. Monitoring programs should be developed to evaluate the long-term impacts of repetitive sludge application on agricultural lands. (C) 2000 Elsevier Science B.V. All rights reserved.</t>
  </si>
  <si>
    <t>Univ Sherbrooke, Fac Sci, Dept Biol, Sherbrooke, PQ J1K 2R1, Canada</t>
  </si>
  <si>
    <t>University of Sherbrooke</t>
  </si>
  <si>
    <t>Vasseur, L (corresponding author), St Marys Univ, Dept Biol, Halifax, NS B3H 3C3, Canada.</t>
  </si>
  <si>
    <t>10.1016/S0167-8809(00)00158-4</t>
  </si>
  <si>
    <t>365QD</t>
  </si>
  <si>
    <t>WOS:000089961200005</t>
  </si>
  <si>
    <t>Wolff, WJ</t>
  </si>
  <si>
    <t>The south-eastern North Sea: losses of vertebrate fauna during the past 2000 years</t>
  </si>
  <si>
    <t>North Sea; Wadden Sea; local extinction; overexploitation; habitat destruction; pollution; anadromous fish; re-introduction</t>
  </si>
  <si>
    <t>WADDEN SEA; COASTAL WATERS; POPULATION; FISH</t>
  </si>
  <si>
    <t>At least 31 species of marine mammals, marine and coastal birds, and marine and anadromous fish have disappeared temporarily or permanently from the coasts of The Netherlands and in most cases also from the south-eastern North Sea (south of 54 degrees N) during the past 2000 years-In 18-22 cases, the disappearance was probably due to overexploitation. For 9-12 species, physical destruction of their habitat was involved and, for 3-5 species, pollution probably played a part. Five species have returned to the area; these are doing very well. Three species may return through expansion of populations elsewhere. Anadromous fish and demersal fish species that have disappeared because of bottom-trawling in the North Sea have little chance of returning under the present conditions. For the gray whale (Eschrichtius robustus) and the Dalmatian pelican (Pelecanus crispus) suggestions are made to investigate the possibilities for re-introduction. (C) 2000 Elsevier Science Ltd. All rights reserved.</t>
  </si>
  <si>
    <t>Univ Groningen, Dept Marine Biol, NL-9750 AA Haren, Netherlands</t>
  </si>
  <si>
    <t>University of Groningen</t>
  </si>
  <si>
    <t>Wolff, WJ (corresponding author), Univ Groningen, Dept Marine Biol, POB 14, NL-9750 AA Haren, Netherlands.</t>
  </si>
  <si>
    <t>10.1016/S0006-3207(00)00035-5</t>
  </si>
  <si>
    <t>329WX</t>
  </si>
  <si>
    <t>WOS:000087932400010</t>
  </si>
  <si>
    <t>Pretty, JN; Brett, C; Gee, D; Hine, RE; Mason, CF; Morison, JIL; Raven, H; Rayment, MD; van der Bijl, G</t>
  </si>
  <si>
    <t>An assessment of the total external costs of UK agriculture</t>
  </si>
  <si>
    <t>AGRICULTURAL SYSTEMS</t>
  </si>
  <si>
    <t>externalities; agriculture; water pollution; health; pesticides; biodiversity; food poisoning; policies</t>
  </si>
  <si>
    <t>ECONOMIC COSTS; BENEFITS; SOIL; MITIGATION; ENGLAND</t>
  </si>
  <si>
    <t>This trans-disciplinary study assesses total external environmental and health costs of modern agriculture in the UK. A wide range of datasets have been analysed to assess cost distribution across sectors. We calculate the annual total external costs of UK agriculture in 1996 to be pound 2343 m (range for 1990-1996: pound 1149-3907 m), equivalent to pound 208/ha of arable and permanent pasture. Significant costs arise from contamination of drinking water with pesticides (pound 120 m/year), nitrate (pound 16 m), Cryptosporidium (pound 23 m) and phosphate and soil (pound 55 m), from damage to wildlife, habitats, hedgerows and drystone walls (pound 125 m), from emissions of gases (pound 1113 m), from soil erosion and organic carbon losses (pound 106 m), from food poisoning (pound 169 m), and from bovine spongiform encephalopathy (BSE) (pound 607 m). This study has only estimated those externalities that give rise to financial costs, and so is likely to underestimate the total negative impacts of modern agriculture. These data help to identify policy priorities, particularly over the most efficient way to internalise these external costs into prices. This would imply a redirection of public subsidies towards encouraging those positive externalities under-provided in the market place, combined with a mix of advisory and institutional mechanisms, regulatory and legal measures, and economic instruments to correct negative externalities. Further work examining the marginal costs and benefits of UK agriculture would help to inform future policy development. (C) 2000 Elsevier Science Ltd. All rights reserved.</t>
  </si>
  <si>
    <t>Univ Essex, Ctr Environm &amp; Soc, Colchester CO4 35Q, Essex, England; Univ Essex, Dept Econ, Colchester CO4 3SQ, Essex, England; European Environm Agcy, Dept Econ, DK-1050 Copenhagen, Denmark; Univ Essex, Dept Sci Biol, Colchester CO4 3SQ, Essex, England; Aratornish, Oban PA34 5UZ, Argyll, Scotland; Royal Soc Protect Birds, Sandy SG19 2DL, Beds, England; Ctr Agr &amp; Environm, NL-3505 AA Utrecht, Netherlands</t>
  </si>
  <si>
    <t>University of Essex; University of Essex; University of Essex; Royal Society for Protection of Birds</t>
  </si>
  <si>
    <t>Pretty, JN (corresponding author), Univ Essex, Ctr Environm &amp; Soc, Colchester CO4 35Q, Essex, England.</t>
  </si>
  <si>
    <t>Pretty, Jules/D-4071-2012</t>
  </si>
  <si>
    <t>Bragg, Rachel/0000-0003-1639-9805; Pretty, Jules/0000-0002-3897-6581</t>
  </si>
  <si>
    <t>0308-521X</t>
  </si>
  <si>
    <t>AGR SYST</t>
  </si>
  <si>
    <t>Agric. Syst.</t>
  </si>
  <si>
    <t>10.1016/S0308-521X(00)00031-7</t>
  </si>
  <si>
    <t>360LU</t>
  </si>
  <si>
    <t>WOS:000089669800003</t>
  </si>
  <si>
    <t>Wright, SJ; Zeballos, H; Domínguez, I; Gallardo, MM; Moreno, MC; Ibáñez, R</t>
  </si>
  <si>
    <t>Poachers alter mammal abundance, seed dispersal, and seed predation in a neotropical forest</t>
  </si>
  <si>
    <t>PALM ASTROCARYUM-STANDLEYANUM; PECCARIES TAYASSU-TAJACU; PROECHIMYS-SEMISPINOSUS; SPINY RATS; RECRUITMENT; PANAMA; PECARI</t>
  </si>
  <si>
    <t>We evaluated the hypothesis that poachers reduce the abundance of herbivorous mammals, and that this, in turn, alters seed dispersal seed predation, and seedling recruitment for two palms (Attalea butyraceae and Astrocaryum standleyanum) in central Panama. Using physical evidence left by poachers and interviews with forest guards, we quantified poaching intensity for eight forest sites. We quantified mammal abundance using transect counts and small-mammal traps Abundance was inversely related to poaching intensity for 9 of 11 mammal species (significantly so for 5 species), confirming the first component of the hypothesis. The outcome of interactions among seeds, mammals, and beetles also varied with Poaching intensity: Nonvolant mammals were the only seed-dispersal agents, and rodents and beetles were the only seed predators. We quantified seed fate by examining the stony, endocarps that encase the seeds of both palms. The large, durable endocarps were located easily on the forest floor and bear characteristic scars when a rodent or beetle eats the enclosed seed The proportion of seeds dispersed away from beneath fruiting conspecifics ;was inversely related to poaching intensity, ranging from 0% to 10% at protected sites where mammals were abundant and from 3% to 40% at unprotected sites where poachers were most active. The proportion of dispersed seeds destroyed by beetles was directly related to poaching intensity, ranging from 85% to 99% at protected sites and from 30% to 50% at unprotected sites. The proportion of dispersed seeds destroyed by rodents was inversely related to poaching intensity, ranging from 85% to 99% at protected sites and from 4% to 50% at at unprotected sites. Finally, seedling densities were directly related to poaching intensity. There was no single relationship between poaching intensity and the biotic interactions that determine seedling recruitment. The net effect of poaching on seedling recruitment can be determined only empirically. For these palms, seedling densities were directly, related to poaching intensity.</t>
  </si>
  <si>
    <t>Smithsonian Trop Res Inst, Balboa, Ancon, Panama; Prodefensa Naturaleza Arequipa, Miraflores, Arequipa, Peru; Inst Nacl Recursos Nat Renovables, Direccion Nacl Cuencas Hidrog, Panama City, Panama</t>
  </si>
  <si>
    <t>Smithsonian Institution; Smithsonian Tropical Research Institute</t>
  </si>
  <si>
    <t>Wright, SJ (corresponding author), Smithsonian Trop Res Inst, Unit 0948, APO, AA 34002 USA.</t>
  </si>
  <si>
    <t>Wright, Stuart/M-3311-2013; Zeballos, Horacio/JNR-2124-2023; Wright, S Joseph/M-3311-2013</t>
  </si>
  <si>
    <t>Ibáñez, Roberto/0000-0001-6118-5780; Wright, S Joseph/0000-0003-4260-5676</t>
  </si>
  <si>
    <t>BLACKWELL SCIENCE INC</t>
  </si>
  <si>
    <t>350 MAIN ST, MALDEN, MA 02148 USA</t>
  </si>
  <si>
    <t>10.1046/j.1523-1739.2000.98333.x</t>
  </si>
  <si>
    <t>285AV</t>
  </si>
  <si>
    <t>WOS:000085366700028</t>
  </si>
  <si>
    <t>Stoddard, JL; Jeffries, DS; Lükewille, A; Clair, TA; Dillon, PJ; Driscoll, CT; Forsius, M; Johannessen, M; Kahl, JS; Kellogg, JH; Kemp, A; Mannio, J; Monteith, DT; Murdoch, PS; Patrick, S; Rebsdorf, A; Skjelkvåle, BL; Stainton, MP; Traaen, T; van Dam, H; Webster, KE; Wieting, J; Wilander, A</t>
  </si>
  <si>
    <t>Regional trends in aquatic recovery from acidification in North America and Europe</t>
  </si>
  <si>
    <t>NORTHEASTERN US; SURFACE WATERS; DEPOSITION; LAKES; DROUGHT; SULFUR; WET</t>
  </si>
  <si>
    <t>Rates of acidic deposition from the atmosphere ('acid rain') have decreased throughout the 1980s and 1990s across large portions of North America and Europe(1,2). Many recent studies have attributed observed reversals in surface-water acidification at national(3) and regional(4) scales to the declining deposition. To test whether emissions regulations have led to widespread recovery in surface-water chemistry, we analysed regional trends between 1980 and 1995 in indicators of acidification (sulphate, nitrate and base-cation concentrations, and measured (Gran) alkalinity) for 205 lakes and streams in eight regions of North America and Europe. Dramatic differences in trend direction and strength for the two decades are apparent. In concordance with general temporal trends in acidic deposition, lake and stream sulphate concentrations decreased in all regions with the exception of Great Britain; all but one of these regions exhibited stronger downward trends in the 1990s than in the 1980s. In contrast, regional declines in lake and stream nitrate concentrations were rare and, when detected, were very small. Recovery in alkalinity, expected wherever strong regional declines in sulphate concentrations have occurred, was observed in all regions of Europe, especially in the 1990s, but in only one region (of five) in North America. We attribute the lack of recovery in three regions (south/central Ontario, the Adirondack/Catskill mountains and midwestern North America) to strong regional declines in base-cation concentrations that exceed the decreases in sulphate concentrations.</t>
  </si>
  <si>
    <t>US EPA, Corvallis, OR 97333 USA; Environm Canada, Burlington, ON L7R 4A6, Canada; Norwegian Inst Air Res, N-2027 Kjeller, Norway; Environm Canada, Sackville, NB E4L 1G6, Canada; Ontario Minist Environm, Dorset, ON P0A 1E0, Canada; Syracuse Univ, Syracuse, NY 13244 USA; Finnish Environm Inst, Helsinki 00251, Finland; Norwegian Inst Water Res, N-0411 Oslo, Norway; Vermont Dept Environm Conservat, Orono, ME 04469 USA; Environm Canada, Montreal, PQ H2Y 2E7, Canada; UCL, Environm Change Res Ctr, London WC1H 0AP, England; US Geol Survey, Troy, NY 12180 USA; Natl Environm Res Inst, DK-8600 Silkeborg, Denmark; Fisheries &amp; Oceans Canada, Winnipeg, MB R3T 2N6, Canada; Aquasence TEC, NL-1090 Amsterdam, Netherlands; Wisconsin Dept Nat Resources, Monona, WI 53716 USA; Umwelstbundesamt, D-13581 Berlin, Germany; Swedish Univ Agr Sci, S-75007 Uppsala, Sweden; Univ Maine, Sawyer Res Ctr, Orono, ME 04469 USA</t>
  </si>
  <si>
    <t>United States Environmental Protection Agency; Environment &amp; Climate Change Canada; NILU; Environment &amp; Climate Change Canada; Syracuse University; Finnish Environment Institute; Norwegian Institute for Water Research (NIVA); Environment &amp; Climate Change Canada; University of London; University College London; United States Department of the Interior; United States Geological Survey; Aarhus University; Danish National Environmental Research Institute; Fisheries &amp; Oceans Canada; Swedish University of Agricultural Sciences; University of Maine System; University of Maine Orono</t>
  </si>
  <si>
    <t>Stoddard, JL (corresponding author), US EPA, 200 SW 35th St, Corvallis, OR 97333 USA.</t>
  </si>
  <si>
    <t>stoddard@mail.cor.epa.gov</t>
  </si>
  <si>
    <t>Monteith, Donald/C-1534-2008; iscoll, Charles T/F-9832-2014; Driscoll, Charles/F-9832-2014; Stoddard, John/H-5594-2013</t>
  </si>
  <si>
    <t>iscoll, Charles T/0000-0003-2692-2890; Stoddard, John/0000-0002-2537-6130; Weter, Katherine/0000-0002-6009-0146; Forsius, Martin/0000-0003-0125-5120</t>
  </si>
  <si>
    <t>OCT 7</t>
  </si>
  <si>
    <t>10.1038/44114</t>
  </si>
  <si>
    <t>244MG</t>
  </si>
  <si>
    <t>WOS:000083054900046</t>
  </si>
  <si>
    <t>Parthasarathy, N</t>
  </si>
  <si>
    <t>Tree diversity and distribution in undisturbed and human-impacted sites of tropical wet evergreen forest in southern Western Ghats, India</t>
  </si>
  <si>
    <t>biodiversity; conservation; human interference; species abundance; tropical forest; Western Ghats</t>
  </si>
  <si>
    <t>FLORISTIC COMPOSITION; PLANT BIODIVERSITY; BRAZILIAN AMAZON; RAIN-FOREST; DYNAMICS; CONSERVATION; INVENTORY; RESERVE</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</si>
  <si>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</si>
  <si>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Pondicherry Univ, Salim Ali Sch Ecol &amp; Environm Sci, Pondicherry 605014, India</t>
  </si>
  <si>
    <t>Pondicherry University</t>
  </si>
  <si>
    <t>Parthasarathy, N (corresponding author), Pondicherry Univ, Salim Ali Sch Ecol &amp; Environm Sci, Pondicherry 605014, India.</t>
  </si>
  <si>
    <t>bioinpu@iitm.ernet.in</t>
  </si>
  <si>
    <t>10.1023/A:1008949407385</t>
  </si>
  <si>
    <t>250WT</t>
  </si>
  <si>
    <t>WOS:000083412800004</t>
  </si>
  <si>
    <t>Wardle, DA; Nicholson, KS; Bonner, KI; Yeates, GW</t>
  </si>
  <si>
    <t>Effects of agricultural intensification on soil-associated arthropod population dynamics, community structure, diversity and temporal variability over a seven-year period</t>
  </si>
  <si>
    <t>agricultural intensification; asparagus; community structure; diversity; maize; soil arthropods; temporal variation</t>
  </si>
  <si>
    <t>NO-TILLAGE AGROECOSYSTEMS; WHEAT-STRAW; FOOD WEBS; DECOMPOSITION; BIODIVERSITY; LITTER; MANAGEMENT; COLEOPTERA; NITROGEN; HABITAT</t>
  </si>
  <si>
    <t>While most studies focusing on the effects of agricultural intensification on soil biota are inherently short-term in nature, longterm (multiyear) studies are essential in assessing long-term temporal responses of soil biota to agronomic practices. We investigated the effects of three components of agricultural intensification, i.e. cultivation (disturbance), herbicide addition (modification of floristic composition) and mulching (resource addition) on soil-associated arthropods in an annual (maize) and a perennial (asparagus) cropping system over a 7 yr period. An additional treatment (hand-hoeing of weeds during the crop growing season) was used to represent minimal intensification. Many taxa of arthropods responded positively to mulching and to treatments which allowed high weed biomass in the non crop-production period, e.g, the hand-hoeing and cultivation treatments in the perennial crop. Herbicide treatments also facilitated high numbers of many taxa in the annual crop when this coincided with plot invasion by herbicide-tolerant weeds. Generally, arthropod taxa were positively correlated with weed biomass and negatively with crop plant biomass, probably because of the superior resource (litter) quality produced by the former. Ordination analyses indicated that arthropod community structure was often correlated with weed community structure. Mulching and allowing high weed biomass also promoted a high species richness of soil-associated Coleoptera, but coleopteran diversity was not related to weed species diversity. Analyses of temporal variability (inversely related to stability) of arthropod taxa across years revealed few treatment effects in the annual crop, but showed destabilising effects of weed reduction in the perennial crop. In the perennial crop, temporal variability was also positively correlated with crop biomass and negatively with weed biomass across plots. Our study shows that agricultural intensification is not consistently harmful to the soil fauna, that soil-associated arthropods are most responsive to management practices which affect the nature and quality of resource input, and that long-term experiments are essential for answering questions about how agricultural practices affect soil organisms against the natural backdrop of temporal variation. (C) 1999 Elsevier Science Ltd. All rights reserved.</t>
  </si>
  <si>
    <t>Ruakura Agr Res Ctr, AgRes, Hamilton, New Zealand; Landcare Res, Palmerston, New Zealand</t>
  </si>
  <si>
    <t>AgResearch - New Zealand; Landcare Research - New Zealand</t>
  </si>
  <si>
    <t>Wardle, DA (corresponding author), Landcare Res, POB 69, Lincoln, NE USA.</t>
  </si>
  <si>
    <t>Wardle, David/F-6031-2011</t>
  </si>
  <si>
    <t>Wardle, David/0000-0002-0476-7335</t>
  </si>
  <si>
    <t>10.1016/S0038-0717(99)00089-9</t>
  </si>
  <si>
    <t>234NU</t>
  </si>
  <si>
    <t>WOS:000082491400009</t>
  </si>
  <si>
    <t>Type and time of autumn tillage with and without herbicides at reduced rates in southern Sweden: 2.: Weed flora and diversity</t>
  </si>
  <si>
    <t>SOIL &amp; TILLAGE RESEARCH</t>
  </si>
  <si>
    <t>ploughing; stubble cultivation; timing; weeds; reduced herbicide dose; diversity</t>
  </si>
  <si>
    <t>SEEDLING EMERGENCE; CULTIVATION; SOIL; SYSTEMS; CROPS; WHEAT</t>
  </si>
  <si>
    <t>The design of integrated weed management (IWM) systems is essential in order to reduce the use of herbicides for crop production. By combining different weed management practices, herbicides may be used at lower doses than normally recommended, while still maintaining acceptable weed population levels. The purpose of this study was to develop tillage strategies. with and without herbicides at reduced rates, appropriate for different weed populations. The influences of type and time of stubble cultivation, harrowing and mouldboard ploughing on the weed flora were followed during 1988-1994 in eight long-term field trials situated in southern Sweden, Spring-sown barley (Hordeum distichon L.) and oats (Avena sativa L.) dominated the crop rotations. Herbicides were either omitted or used at ca. 50% of a full dose. The perennial species Sonchus arvensis L. was favoured by omittance of ploughing but was better controlled by late ploughing not preceded by stubble cultivation; the reduction in the latter treatment being 74%. Stubble cultivation succeeded by ploughing reduced biomass of Elymus repens (L,) Gould. by 90% compared with ploughing solely. Early ploughing reduced the biomass of the species by 50% compared with late ploughing. The species Cirsium arvense (L.) Scop. was highly favoured by early ploughing followed by late autumn harrowing, the biomass of the species being six-fold higher than in other treatments. Compared with other treatments, stubble cultivation favoured four annuals but efficiently controlled three others, while omittance of ploughing favoured six annual and two perennial weed species. Late ploughing not preceded by stubble cultivation favoured four annual and one perennial species, while early ploughing was more efficient than late ploughing in controlling two of the annual species, influences of treatments on weed species were frequently moderated by interspecific competition resulting in inconsistent response at different sites. Herbicides reduced the number of species by three, from 11 to eight species, averaged across sites and tillage systems, influences of treatments on diversity were not consistent, since weed floras differed between sites and since some of the species responded inconsistently to tillage and herbicides. This study shows that by utilizing appropriate tillage strategies it is possible at many sites to maintain acceptable weed population levels, although herbicides are used at 50% lower doses than is normally recommended. The timing and type of tillage have to be chosen for being as efficient as possible to the most troublesome weed species at a site, (C) 1999 Elsevier Science B.V. All rights reserved.</t>
  </si>
  <si>
    <t>Swedish Univ Agr Sci, Dept Crop Prod Sci, S-75007 Uppsala, Sweden</t>
  </si>
  <si>
    <t>Boström, U (corresponding author), Swedish Univ Agr Sci, Dept Crop Prod Sci, Box 7043, S-75007 Uppsala, Sweden.</t>
  </si>
  <si>
    <t>0167-1987</t>
  </si>
  <si>
    <t>SOIL TILL RES</t>
  </si>
  <si>
    <t>Soil Tillage Res.</t>
  </si>
  <si>
    <t>10.1016/S0167-1987(99)00017-3</t>
  </si>
  <si>
    <t>206RK</t>
  </si>
  <si>
    <t>WOS:000080892900009</t>
  </si>
  <si>
    <t>Lambin, EF</t>
  </si>
  <si>
    <t>Monitoring forest degradation in tropical regions by remote sensing: some methodological issues</t>
  </si>
  <si>
    <t>Workshop on Tropical Open Woodlands</t>
  </si>
  <si>
    <t>DEC 10, 1997</t>
  </si>
  <si>
    <t>UNIV LEEDS, LEEDS, ENGLAND</t>
  </si>
  <si>
    <t>European Unions Framework 4</t>
  </si>
  <si>
    <t>UNIV LEEDS</t>
  </si>
  <si>
    <t>land-cover change; forest degradation; remote sensing; landscape; monitoring; tropical forest; deforestation; Africa</t>
  </si>
  <si>
    <t>LANDSAT MSS IMAGERY; COVER CHANGE; BIDIRECTIONAL REFLECTANCE; VEGETATION STRUCTURE; SURFACE-TEMPERATURE; SATELLITE DATA; AVHRR DATA; DEFORESTATION; MODELS; PHENOLOGY</t>
  </si>
  <si>
    <t>Key issues related to the monitoring by remote sensing of open forest degradation in a tropical context are discussed. Degradation of forest-cover is often a complex process, with some degree of ecological reversibility and a strong interaction with climatic fluctuations. Only a representation of land cover as a continuous field of several biophysical variables can lead to an accurate detection of forest degradation. For this purpose, repetitive measurements of spectral, spatial and temporal indicators of the land surface have to be performed. Each set of indicators brings a specific type of information on the land cover. These indicators must therefore be combined to achieve a comprehensive description of the surface processes. The detection of inter-annual changes in landscape spatial structure is more likely to reveal long term and long lasting land-cover changes, while spectral indicators are more sensitive to fluctuations in primary productivity associated with climatic fluctuations. Different monitoring systems may be optimal for different ecosystems. A long: time series of observations is always required. The monitoring of the spatio-temporal distribution of biomass burning may also give indications of open forest degradation.</t>
  </si>
  <si>
    <t>Catholic Univ Louvain, Dept Geog, B-1348 Louvain, Belgium</t>
  </si>
  <si>
    <t>Universite Catholique Louvain</t>
  </si>
  <si>
    <t>Lambin, EF (corresponding author), Catholic Univ Louvain, Dept Geog, Pl Louis Pasteur 3, B-1348 Louvain, Belgium.</t>
  </si>
  <si>
    <t>lambin@geog.ucl.ac.be</t>
  </si>
  <si>
    <t>MAY-JUL</t>
  </si>
  <si>
    <t>10.1046/j.1365-2699.1999.00123.x</t>
  </si>
  <si>
    <t>276GL</t>
  </si>
  <si>
    <t>WOS:000084868000003</t>
  </si>
  <si>
    <t>Muchaal, PK; Ngandjui, G</t>
  </si>
  <si>
    <t>Impact of village hunting on wildlife populations in the western Dia Reserve, Cameroon</t>
  </si>
  <si>
    <t>RAIN-FOREST; MARKET</t>
  </si>
  <si>
    <t>The Dja Biosphere Reserve, a lowland rainforest in southern Cameroon, supports extensive biotic communities with a high proportion of endemic fauna and flora. A growing human population afflicted by an economic crisis and a predilection for game meat has augmented pressures on the faunal resources. We conducted a 2-year study to assess the spatial distribution and intensity of hunting in the western Dja Reserve and the implications for the management of these activities. We mapped the area where the villagers hunt, determined snare densities, and collected biological data on species killed. Surveys using standard line-transect methodology were conducted on mammalian game species in the various hunting zones across strata of human-disturbed and less-disturbed areas. In the three hunting zones of the village of Mekas, snare density decreased as distance from the village increased. Despite a 64% lower snare density, the monthly overall capture rate was four times higher there than in the zone closest to the village. The number of animals that rotted on snares was three times higher in the farthest hunting region from the village. Except for the four common arboreal primates, encounter rates and densities of game species tended to decrease with proximity to human activity and with an increase in snare densities. Duikers (Cephalophus spp.) comprised 63.5% of animals killed. We used Robinson and Redford's (1991) production model to determine the sustainability of the present harvest rates. Harvest rates of C. monticola, C. dorsalis, and C. callipygus in two of the hunting zones were between one and three times higher than the populations can theoretically sustain. As species are depleted, hunters will journey even further into the forest to hunt. To reduce waste, subsistence hunting should be limited to within 15 km of the village. Ecological studies to determine stochastic and deterministic influences on the duiker populations are required to ensure their conservation within the Dja Reserve.</t>
  </si>
  <si>
    <t>Conservat &amp; Utilisat Rat Ecosyst Forestiers Afriq, Yaounde, Cameroon; Inst Anim &amp; Vet Res IRZV, Yaounde, Cameroon</t>
  </si>
  <si>
    <t>Muchaal, PK (corresponding author), Int Inst Trop Agr, Humid Forest Stn, BP 2008 Messa, Yaounde, Cameroon.</t>
  </si>
  <si>
    <t>10.1046/j.1523-1739.1999.013002385.x</t>
  </si>
  <si>
    <t>181YX</t>
  </si>
  <si>
    <t>WOS:000079472000022</t>
  </si>
  <si>
    <t>Box, EO; Crumpacker, DW; Hardin, ED</t>
  </si>
  <si>
    <t>Predicted effects climatic change on distribution of ecologically important native tree and shrub species in Florida</t>
  </si>
  <si>
    <t>EASTERN NORTH-AMERICA; LOW-FREQUENCY VARIABILITY; ATMOSPHERIC CO2; VEGETATION; MODEL; SENSITIVITY; GREENHOUSE; FORESTS; PLANTS</t>
  </si>
  <si>
    <t>A previously developed plant species-climatic envelope model was evaluated further and used to predict effects of hypothesized climatic change on the potential distribution of 124 native woody plant species in Florida, U.S.A. Twelve scenarios were investigated. These included mean annual temperature increases of 1 degrees C or 2 degrees C, achieved either by equal 1 degrees C or 2 degrees C increases on a monthly basis throughout the year, or by disproportionately larger seasonal increases in winter and smaller ones in summer. The various temperature increases were then combined with each of several precipitation changes, ranging from +10% to -20%, to produce the final set of scenarios. Mon detailed analysis involving six of the scenarios and a subset of 28 representative, ecologically important species suggested that (1) large decreases in the Florida range of many temperate species would result if 1 degrees C warming occurs predominantly in winter or with a 20% decrease in annual precipitation, or (2) if 2 degrees C warming occurs, with or without decrease in annual precipitation, and regardless of whether there is a uniform. monthly warming pattern or one that is higher in winter than in summer. Available information concerning other factors that might also affect climatic-change responses suggests that these large predicted impacts on temperate Florida species may be underestimates. Subtropical Florida species will tend to move north and inland with warming but extensive human assistance may be needed, if they are to realize their newly expanded, potential natural ranges.</t>
  </si>
  <si>
    <t>Univ Georgia, Dept Geog, Athens, GA 30602 USA; Univ Colorado, Dept Environm Populat &amp; Organ Biol, Boulder, CO 80309 USA; Florida Div Forestry, Tallahassee, FL 32399 USA</t>
  </si>
  <si>
    <t>University System of Georgia; University of Georgia; University of Colorado System; University of Colorado Boulder</t>
  </si>
  <si>
    <t>Box, EO (corresponding author), Univ Georgia, Dept Geog, Athens, GA 30602 USA.</t>
  </si>
  <si>
    <t>10.1023/A:1005483507351</t>
  </si>
  <si>
    <t>169MC</t>
  </si>
  <si>
    <t>WOS:000078751700005</t>
  </si>
  <si>
    <t>Martínez-Morales, MA</t>
  </si>
  <si>
    <t>Conservation status and habitat preferences of the Cozumel Curassow</t>
  </si>
  <si>
    <t>CONDOR</t>
  </si>
  <si>
    <t>conservation; Cozumel Curassow; Cracidae; Crax rubra griscomi; density; hunting; Yucatan Peninsula</t>
  </si>
  <si>
    <t>FOREST BIRD COMMUNITY; RAIN-FOREST</t>
  </si>
  <si>
    <t>I assessed the population status and habitat preferences of the Cozumel Curassow, Crax rubra griscomi, in the forests of Cozumel Island, Mexico, from Octobcr 1994 to June 1995. The estimated density was 0.9 curassows km(-2) with a population size of about 300 birds. These numbers and the fact that the Cozumel Curassow is restricted to the island, place this endemic cracid within the conservation status of Critically Endangered. Hunting is likely the main cause of its present conservation status. This curassow showed a greater preference for the tropical semi-deciduous forest than for the low tropical deciduous forest. Likewise, older stands of forest have a positive influence on its distribution. Freshwater sources within the forests have a positive influence on the Cozumel Curassow distribution within a radius of about 2 km. Human settlements and human accesses to the forest interior showed a negative influence on its distribution within a radius of 4.5 km.</t>
  </si>
  <si>
    <t>Univ Cambridge, Dept Anat, Wildlife Res Grp, Cambridge CB2 3DY, England</t>
  </si>
  <si>
    <t>Martínez-Morales, MA (corresponding author), Univ Cambridge, Dept Zool, Downing St, Cambridge CB2 3EJ, England.</t>
  </si>
  <si>
    <t>COOPER ORNITHOLOGICAL SOC</t>
  </si>
  <si>
    <t>ORNITHOLOGICAL SOC NORTH AMER PO BOX 1897, LAWRENCE, KS 66044-8897 USA</t>
  </si>
  <si>
    <t>0010-5422</t>
  </si>
  <si>
    <t>Condor</t>
  </si>
  <si>
    <t>10.2307/1370441</t>
  </si>
  <si>
    <t>169CP</t>
  </si>
  <si>
    <t>WOS:000078730200002</t>
  </si>
  <si>
    <t>Jenkins, MA; Parker, GR</t>
  </si>
  <si>
    <t>Composition and diversity of woody vegetation in silvicultural openings of southern Indiana forests</t>
  </si>
  <si>
    <t>forest succession; uneven-aged management; clear-cutting; regeneration; temperate deciduous forest</t>
  </si>
  <si>
    <t>HARDWOOD FOREST; CLEAR-CUT; CLASSIFICATION; SUCCESSION; ECOSYSTEMS; MICHIGAN; AREA</t>
  </si>
  <si>
    <t>Between 1993 and 1995 we sampled woody vegetation (seedling, sapling, and overstory) on 150 plots in Fagus-Acer-sacchanrm/Arisaema Mesic Slope and Quercus alba-Acer saccharum/Parthenocissus Dry-Mesic Slope forests to determine how species composition and diversity of these forests responded to management. We sampled four different treatments, clearcuts, group selections, single tree selections and uncut 80-100 year-old reference stands. Results suggest that clear-cut and group selection openings greatly increase the importance of Liridodendron tulpifera L. (tulip popular) on both Ecological Landtype Phases (ELTP's, dry and mesic slopes). Single tree selection has accelerated succession by greatly increasing the importance of Acer saccharum Marsh (sugar maple), Quercus sp. were more important in clear-cuts and group selections on dry-mesic slopes than on mesic slopes. The seedling and sapling layers of clear-cuts, group selections and single tree selections on both ELTP's were dominated by A. saccharum, suggesting this species will eventually dominate both ELTP's in the absence of disturbance. Single tree selection openings on both ELTP's had much lower overstory species richness and diversity than clear-cuts, group selections, or reference stands. This suggests that the predominant use of single tree selection harvest will greatly reduce woody species richness and diversity across a forest landscape. A mixture of selection and larger clear-cut openings may be needed to maintain the woody species diversity of forest landscapes in the Central Hardwood Region by creating condition that allow regeneration of both tolerant and intolerant species. (C) 1998 Elsevier Science B.V.</t>
  </si>
  <si>
    <t>Purdue Univ, Dept Forestry &amp; Nat Resources, W Lafayette, IN 47907 USA</t>
  </si>
  <si>
    <t>Jenkins, MA (corresponding author), Purdue Univ, Dept Forestry &amp; Nat Resources, 1159 Forestry Bldg, W Lafayette, IN 47907 USA.</t>
  </si>
  <si>
    <t>SEP 16</t>
  </si>
  <si>
    <t>10.1016/S0378-1127(98)00256-4</t>
  </si>
  <si>
    <t>131TX</t>
  </si>
  <si>
    <t>WOS:000076592300006</t>
  </si>
  <si>
    <t>Lahm, SA; Barnes, RFW; Beardsley, K; Cervinka, P</t>
  </si>
  <si>
    <t>A method for censusing the greater white-nosed monkey in northeastern Gabon using the population density gradient in relation to roads</t>
  </si>
  <si>
    <t>census; forest; Gabon; gradient; methods; monkeys</t>
  </si>
  <si>
    <t>FOREST ELEPHANT</t>
  </si>
  <si>
    <t>This paper-presents a method for estimating monkey numbers in a large area of forest where there is a gradient of monkey densities. The method is illustrated using data collected in the northeastern forests of Gabon during an earlier project. These forests:are sparsely populated and there are few roads. The density of Cercopithecus nictitans increases with distance from the nearest road. A geographic information system (GIS) divided the forest into bands of increasing distance from the nearest road. The number of monkeys in each band is the product of the monkey density in that band and the area of the band. Summing across bands gives the population estimate; the standard error can be estimated by bootstrapping. The optimum sample size can be estimated by simulation. Combining estimates of the density-gradient with a GIS is a cost-effective method of censusing primates in extensive forests.</t>
  </si>
  <si>
    <t>Univ Calif San Diego, Dept Biol 0116, La Jolla, CA 92093 USA; Inst Rech Ecol Trop, Makokou, Gabon; Univ Calif Davis, Dept Environm Sci &amp; Policy, Informat Ctr Environm, Davis, CA 95616 USA; Univ Calif Davis, Dept Agr &amp; Resource Econ, Davis, CA 95616 USA</t>
  </si>
  <si>
    <t>University of California System; University of California San Diego; University of California System; University of California Davis; University of California System; University of California Davis</t>
  </si>
  <si>
    <t>Barnes, RFW (corresponding author), Univ Calif San Diego, Dept Biol 0116, La Jolla, CA 92093 USA.</t>
  </si>
  <si>
    <t>rfbarnes@ucsd.edu</t>
  </si>
  <si>
    <t>10.1017/S0266467498000443</t>
  </si>
  <si>
    <t>139GQ</t>
  </si>
  <si>
    <t>WOS:000077020100005</t>
  </si>
  <si>
    <t>Nehring, S</t>
  </si>
  <si>
    <t>Establishment of thermophilic phytoplankton species in the North Sea: biological indicators of climatic changes?</t>
  </si>
  <si>
    <t>ICES Symposium on Temporal Variability of Plankton and Their Physico-Chemical Environment</t>
  </si>
  <si>
    <t>MAR 19-21, 1997</t>
  </si>
  <si>
    <t>KIEL, GERMANY</t>
  </si>
  <si>
    <t>Int Council Explorat Sea</t>
  </si>
  <si>
    <t>climate change; German Bight; immigrants; North Atlantic Oscillation index; North Sea; phytoplankton; temperature</t>
  </si>
  <si>
    <t>GERMAN BIGHT; RESTING CYSTS; ATLANTIC; ABUNDANCE; HELGOLAND; SKAGERRAK; DIATOMS; TRENDS; WATERS</t>
  </si>
  <si>
    <t>Since the beginning of the 20th century, 16 non-indigenous phytoplankton species have become an integrated part of the pelagic system of the North Sea. Among them, 10 thermophilic species were first recorded during the last decade, assumed transported by currents from southern regions. It is suggested that the relatively mild winters during recent years may have been an important factor for their successful establishment. The permanent colonization of the North Sea by species from lower latitudes may be a biological signal of subtle changes in the climate. This issue may be clarified by the analysis of resting stages of plankton organisms in bottom sediments. (C) 1998 International Council for the Exploration of the Sea.</t>
  </si>
  <si>
    <t>Bundesanstalt Gewasserkunde, D-56068 Koblenz, Germany</t>
  </si>
  <si>
    <t>Nehring, S (corresponding author), Bundesanstalt Gewasserkunde, Kaiserin Augusta Anlagen 15-17, D-56068 Koblenz, Germany.</t>
  </si>
  <si>
    <t>ACADEMIC PRESS LTD</t>
  </si>
  <si>
    <t>10.1006/jmsc.1998.0389</t>
  </si>
  <si>
    <t>134QN</t>
  </si>
  <si>
    <t>WOS:000076754200032</t>
  </si>
  <si>
    <t>Camphuysen, K</t>
  </si>
  <si>
    <t>Beached bird surveys indicate decline in chronic oil pollution in the North Sea</t>
  </si>
  <si>
    <t>trends; power analysis; oil rates; seabirds; strandings; operational oil discharges; spatial variation; temporal variation</t>
  </si>
  <si>
    <t>STATISTICAL POWER</t>
  </si>
  <si>
    <t>Strandings of oiled seabirds have been a signal of the ongoing problem of chronic oil pollution in the North Sea since the beginning of the twentieth century. Overall numbers of beached birds are subject to enormous fluctuations, being the result, for example, of changes in the amount of oil spilled in the marine environment, currents, the frequency of onshore winds and variations in the numbers of seabirds in a given region. In contrast, oil rates, being the fraction of oiled birds of the total stranded, appeared to be relatively constant while specific for different species and regions. These species-specific oil rates are thought to reflect the risk for birds or corpses of birds to become oil fouled at sea and hence to mirror fluctuations in the amount of oil spilled in different regions. High oil rates are typical for mainly swimming, highly exposed seabirds in areas with frequent oil spills (e.g. around shipping lanes and near the major harbours); low oil rates are typical for mainly flying seabirds away from the busiest shipping lanes. A power analysis of the results of beached bird surveys demonstrated the sensitivity of these data as a tool to monitor trends in oil rates of stranded birds. Rather subtle changes in oil rates could be demonstrated, indicating positive results of attempts to protect certain sea areas (e.g. the Wadden Sea) and a decline in oil rates over time. (C) 1998 Elsevier Science Ltd, All rights reserved.</t>
  </si>
  <si>
    <t>Netherlands Inst Sea Res, NL-1790 AB Den Burg, Netherlands</t>
  </si>
  <si>
    <t>Camphuysen, K (corresponding author), Netherlands Inst Sea Res, POB 59, NL-1790 AB Den Burg, Netherlands.</t>
  </si>
  <si>
    <t>camphuys@nioz.nl</t>
  </si>
  <si>
    <t>10.1016/S0025-326X(98)80018-0</t>
  </si>
  <si>
    <t>110JA</t>
  </si>
  <si>
    <t>WOS:000075376600012</t>
  </si>
  <si>
    <t>Philippart, CJM</t>
  </si>
  <si>
    <t>Long-term impact of bottom fisheries on several by-catch species of demersal fish and benthic invertebrates in the south-eastern North Sea</t>
  </si>
  <si>
    <t>Mini-Symposium on Ecosystem Effects of Fishing, at the 1996 ICES Annual Science Conference</t>
  </si>
  <si>
    <t>REYKJAVIK, ICELAND</t>
  </si>
  <si>
    <t>otter trawl catch efficiency; beam trawl catch efficiency; by-catch species; North Sea</t>
  </si>
  <si>
    <t>BUCCINUM-UNDATUM; DISTURBANCE; COMMUNITIES; SEDIMENT; FAUNA</t>
  </si>
  <si>
    <t>Within the last few decades. the main bottom fishery in the south-eastern North Sea has changed from otter to beam trawling with beam trawling effort increasing from 1960 onwards. During this period, the Zoological Station in Dm Helder (The Netherlands) has collected and registered by-catch species caught by commercial fishermen. The annual numbers of registered specimens were used to estimate the species-specific catch efficiencies of otter and beam trawlers between 1945 and 1983. This analysis was restricted to fishes (sharks, rays, skates) and 10 invertebrate species (whelks, urchins, squids, crabs) all of which have a demersal life style and were regularly delivered throughout the study period. For most species. the observed variations in annual numbers of fish and invertebrates delivered to the Zoological Station appeared to be related to the changes in type of gear and fishing effort. Results from the model suggest hat otter trawlers caught relatively more fish than invertebrates. whilst beam trawlers caught proportionally more invertebrate species (i,e. velvet swimming crab, slender spindle shell) that were rarely delivered during periods of greatest otter trawling effort. On average, the catch efficiency of the beam trawl;I fleer appeared to be IO times higher than that of the otter trawl fleet. Furthermore, the trends shown by the model in species delivered suggested that bottom fisheries had a considerable impact on several demersal fish and benthic invertebrates. (C) 1998 International Council for the Exploration of the Sea.</t>
  </si>
  <si>
    <t>Netherlands Inst Sea Res, Dept Marine Ecol, NL-1790 AB Den Burg, Texel, Netherlands</t>
  </si>
  <si>
    <t>Philippart, CJM (corresponding author), Netherlands Inst Sea Res, Dept Marine Ecol, POB 59, NL-1790 AB Den Burg, Texel, Netherlands.</t>
  </si>
  <si>
    <t>10.1006/jmsc.1997.0321</t>
  </si>
  <si>
    <t>101KH</t>
  </si>
  <si>
    <t>WOS:000074867800003</t>
  </si>
  <si>
    <t>Hall, JS; White, LJT; Inogwabini, BI; Omari, I; Morland, HS; Williamson, EA; Saltonstall, K; Walsh, P; Sikubwabo, C; Bonny, D; Kiswele, KP; Vedder, A; Freeman, K</t>
  </si>
  <si>
    <t>Survey of Grauer's gorillas (Gorilla gorilla graueri) and eastern chimpanzees (Pan troglodytes schweinfurthi) in the Kahuzi-Biega National Park lowland sector and adjacent forest in eastern Democratic Republic of Congo</t>
  </si>
  <si>
    <t>Grauer's gorilla; chimpanzee; survey; conservation; Democratic Republic of Congo</t>
  </si>
  <si>
    <t>CENSUS; REGION; UGANDA; GABON</t>
  </si>
  <si>
    <t>We describe the distribution and estimate densities of Grauer's gorillas (Gorilla gorilla graueri) and eastern chimpanzees (Pan troglodytes schweinfurthi) in a 12,770-km(2) area of lowland forest between the Lowa, Luka, Lugula, and Oku rivers in eastern Democratic Republic of Congo, the site of the largest continuous population of Grauer's gorillas. The survey included a total of 480 km of transects completed within seven sampling zones in the Kahuzi-Biega National park lowland sector and adjacent Kasese regions and approximately 1100 km of footpath and forest reconnaissance. We estimate total populations of 7670 (4180-10,830) weaned gorillas within the Kahuzi-Biega lowland sector and 3350 (1420-5950) individuals in the Kasese survey areas. Within the same area, we estimate a population of 2600 (1620-4500) chimpanzees. Ape nest site densities are significantly higher within the Kahuzi-Biega lowland sector than in the more remote Kasese survey area in spite of a significantly higher encounter rate of human sign within the lowland sector of the park. Comparison of our data with information obtained by Emlen and Schaller during the first rangewide survey of Grauer's gorillas in 1959 suggests that gorilla populations have remained stable in protected areas but declined in adjacent forest. These findings underscore the key role played by national parks in protecting biological resources in spite of the recent political and economic turmoil in the region. We also show that forest reconnaissance is a reliable and cost-effective method to assess gorilla densities in remote forested areas.</t>
  </si>
  <si>
    <t>Yale Univ, Sch Forestry &amp; Environm Studies, New Haven, CT 06511 USA; Wildlife Conservat Soc, Bronx, NY 10460 USA; Inst Congolais Conservat Nat, Kinshasa, DEM REP CONGO; Univ Stirling, Dept Psychol, Stirling FK9 4LA, Scotland; Amer Museum Nat Hist, Dept Entomol, New York, NY 10024 USA; Ctr Rech Sci Nat, Dept Biol, Lab Mammal, Lwiro, DEM REP CONGO</t>
  </si>
  <si>
    <t>Yale University; Wildlife Conservation Society; University of Stirling; American Museum of Natural History (AMNH)</t>
  </si>
  <si>
    <t>Hall, JS (corresponding author), Yale Univ, Sch Forestry &amp; Environm Studies, Marsh Hall,360 Prospect St, New Haven, CT 06511 USA.</t>
  </si>
  <si>
    <t>jefferson.hall@yale.edu</t>
  </si>
  <si>
    <t>; Williamson, Elizabeth/N-8958-2019</t>
  </si>
  <si>
    <t>Inogwabini, Bila-Isia/0000-0002-6897-2477; Williaon, Elizabeth/0000-0001-6848-9154</t>
  </si>
  <si>
    <t>10.1023/A:1020375430965</t>
  </si>
  <si>
    <t>ZH745</t>
  </si>
  <si>
    <t>WOS:000073143400002</t>
  </si>
  <si>
    <t>Saetersdal, M; Birks, HJB; Peglar, SM</t>
  </si>
  <si>
    <t>Predicting changes in Fennoscandian vascular-plant species richness as a result of future climatic change</t>
  </si>
  <si>
    <t>climate change; Fennoscandia; greenhouse effect; species richness; vascular plants</t>
  </si>
  <si>
    <t>RESPONSE SURFACES; NUMERICAL-ANALYSIS; FALLOPIA-JAPONICA; RESERVE SELECTION; WESTERN NORWAY; DIVERSITY; PATTERNS; NORTH; FORESTS; SCALE</t>
  </si>
  <si>
    <t>It's is anticipated that future climatic warming following the currently enhanced greenhouse effect will change the distribution limits of many vascular plant species. Using annual accumulated respiration equivalents. calculated from January and July mean temperatures and total annual precipitation. simple presence-absence response surface plots are constructed for 1521 native vascular-plant species in 229 75 x 75-km grid squares within Fennoscandia. The contemporary occurrences in relation to present-day climate and to predicted changes in climate land hence annual accumulated respiration equivalents) are used to predict possible Future immigrations and extinctions within each grid square. The percentage of potential change in species richness for each grid square is estimated from these predictions. Results from this study suggest a mean increase in species richness per grid square of 26%. Increases in species richness are greatest in the southern parts of the alpine/boreal regions in Fennoscandia. There are ten species that potentially may become extinct in Fennoscandia as a result of predicted climatic warming. Possible conservation strategies to protect such endangered species are outlined.</t>
  </si>
  <si>
    <t>Univ Bergen, Inst Bot, N-5007 Bergen, Norway; UCL, Environm Change Res Ctr, London WC1H 0AP, England</t>
  </si>
  <si>
    <t>University of Bergen; University of London; University College London</t>
  </si>
  <si>
    <t>Saetersdal, M (corresponding author), Norwegian Forest Res Inst, Fanaflaten 4, N-5047 Fana, Norway.</t>
  </si>
  <si>
    <t>magne.setersdal@nisk.no</t>
  </si>
  <si>
    <t>Birks, H John B/C-3103-2008; Birks, John/C-3103-2008</t>
  </si>
  <si>
    <t>Birks, H John B/0000-0002-5891-9859;</t>
  </si>
  <si>
    <t>10.1046/j.1365-2699.1998.251192.x</t>
  </si>
  <si>
    <t>ZK939</t>
  </si>
  <si>
    <t>WOS:000073382800011</t>
  </si>
  <si>
    <t>Hill, K; Padwe, J; Bejyvagi, C; Bepurangi, A; Jakugi, F; Tykuarangi, R; Tykuarangi, T</t>
  </si>
  <si>
    <t>Impact of hunting on large vertebrates in the Mbaracayu reserve, Paraguay</t>
  </si>
  <si>
    <t>Over 1,400,000 m of line transect data were collected in collaboration with Ache Indians to determine encounter rates with all large vertebrates in the Mbaracayu Reserve Paraguay. The data were analyzed using logistic regression in order to determine the impact of human hunting on animal encounter rates in the reserve. The method controlled for effects of season, weather, time of day, and habitat in order to statistically isolate the human predation effect. Encounters with the animals themselves ns well as fresh signs of their activity allowed us to determine whether lower encounter rates in hunted zones are simply due to increased wariness by target species. Our results show that areas near hunters are hunted more frequently, and that Dasypus novemcinctus, Cebus apella, Tapirus terrestris, and Mazama spp. are all encountered at lower rates in those areas than in unhunted zones. We were unable to show that encounter rates with other important game species have been affected by human hunting. Demonstration of local depletion by central place foragers is expected, however and cannot be used to conclude that prey species are in danger of regional extirpation.</t>
  </si>
  <si>
    <t>MBARACAYU FOREST RESERVE, CANINDEYU, PARAGUAY</t>
  </si>
  <si>
    <t>Hill, K (corresponding author), UNIV NEW MEXICO, DEPT ANTHROPOL, ALBUQUERQUE, NM 87131 USA.</t>
  </si>
  <si>
    <t>Padwe, Jonathan/F-5495-2011</t>
  </si>
  <si>
    <t>Padwe, Jonathan/0000-0002-7357-7439</t>
  </si>
  <si>
    <t>10.1046/j.1523-1739.1997.96048.x</t>
  </si>
  <si>
    <t>YK806</t>
  </si>
  <si>
    <t>WOS:A1997YK80600014</t>
  </si>
  <si>
    <t>Johnston, KM; Schmitz, OJ</t>
  </si>
  <si>
    <t>Wildlife and climate change:: Assessing the sensitivity of selected species to simulated doubling of atmospheric CO2</t>
  </si>
  <si>
    <t>chipmunk; climate change; elk; ground squirrel; habitat association; species distributions; white-tailed deer</t>
  </si>
  <si>
    <t>WHITE-TAILED DEER; SCALE; CONSTRAINTS; VEGETATION; ECOLOGY; MODELS</t>
  </si>
  <si>
    <t>We explored, using computer simulations, the sensitivity of four mammal species (elk, Cervus canadensis; white-tailed deer, Odocoileus virginianus; Columbian ground squirrel, Spermophilus columbianus; and chipmunk, Tamias striatus) within the continental USA to the effect of anticipated levels of global climate change brought about by a doubling of atmospheric CO2. Sensitivity to the direct effects of climate change were evaluated using a climate-space approach to delineate the range of thermal conditions tolerable by each species. Sensitivity to indirect effects were evaluated by quantifying the association of each species to the current vegetation distribution within the continental USA and using this association to assess whether wildlife species distributions might shift in response to vegetation shifts under climate change. Results indicate that altered thermal conditions alone should have little or no effect on the wildlife species' distributions as physiological tolerance to heat load would allow them to survive. Analyses of the effects of vegetation change indicate that deer and chipmunks should retain their current distributions and possibly expand westward in the USA. For Elk and ground squirrels, there is a possibility that their current distributions would shrink and there is little possibility that each species would spread to new regions. This work emphasizes that the distributions of the four mammalian species are likely to be influenced more by vegetation changes than by thermal conditions. Future efforts to understand the effects of global change on wildlife species should focus on animal-habitat and climate-vegetation linkages.</t>
  </si>
  <si>
    <t>Yale Univ, Sch Forestry &amp; Environm Studies, New Haven, CT 06511 USA; Ctr Computat Ecol, New Haven, CT 06511 USA</t>
  </si>
  <si>
    <t>Yale University</t>
  </si>
  <si>
    <t>Schmitz, OJ (corresponding author), Yale Univ, Sch Forestry &amp; Environm Studies, 370 Prospect St, New Haven, CT 06511 USA.</t>
  </si>
  <si>
    <t>GLOB CHANGE BIOL</t>
  </si>
  <si>
    <t>10.1046/j.1365-2486.1997.00093.x</t>
  </si>
  <si>
    <t>YN906</t>
  </si>
  <si>
    <t>WOS:000071220600007</t>
  </si>
  <si>
    <t>Hall, JS; Inogwabini, BI; Williamson, EA; Omari, I; Sikubwabo, C; White, LJT</t>
  </si>
  <si>
    <t>A survey of elephants (Loxodonta africana) in the Kahuzi-Biega National Park lowland sector and adjacent forest in eastern Zaire</t>
  </si>
  <si>
    <t>conservation; elephant; forest; poaching; survey; Zaire</t>
  </si>
  <si>
    <t>DUNG PILES; GABON; CYCLOTIS; NUMBERS; RESERVE</t>
  </si>
  <si>
    <t>There has been considerable uncertainty about the abundance estimation of Loxodonta africana within tropical lowland moist forests in Zaire. We surveyed a 15,570 km(2) area within the forests of eastern Zaire using transect sampling methods and estimated the elephant population to be 3720 (range 2300-5000) individuals. Dung pile densities were significantly different between adjacent settlement, deep forest, and deep forest core strata, with the most remote area harbouring the highest density. Evidence of elephant poaching was encountered throughout the survey area suggesting that elephant populations continue to be at severe risk.</t>
  </si>
  <si>
    <t>Wildlife Conservat Soc, Bronx, NY 10460 USA; Univ Stirling, Dept Psychol, Stirling FK9 4LA, Scotland; Inst Zairois Conservat Nat, Kinshasa, DEM REP CONGO</t>
  </si>
  <si>
    <t>Wildlife Conservation Society; University of Stirling</t>
  </si>
  <si>
    <t>Williamson, Elizabeth/N-8958-2019</t>
  </si>
  <si>
    <t>Williaon, Elizabeth/0000-0001-6848-9154; Inogwabini, Bila-Isia/0000-0002-6897-2477</t>
  </si>
  <si>
    <t>10.1111/j.1365-2028.1997.088-89088.x</t>
  </si>
  <si>
    <t>YY773</t>
  </si>
  <si>
    <t>WOS:000072183400004</t>
  </si>
  <si>
    <t>Baker, MD; Lacki, MJ</t>
  </si>
  <si>
    <t>Short-term changes in bird communities in response to silvicultural prescriptions</t>
  </si>
  <si>
    <t>clearcut; deferment cut; fragmentation; harvesting; neotropical migratory birds; residual trees</t>
  </si>
  <si>
    <t>MIGRATORY BIRDS; BREEDING BIRDS; FOREST FRAGMENTATION; AVIAN COMMUNITIES; DIVERSITY; MANAGEMENT; LANDSCAPE; ABUNDANCE; DECLINE; SUCCESS</t>
  </si>
  <si>
    <t>Bird communities were surveyed on the Daniel Boone National Forest, Kentucky, using point-counts in May and June of 1993, 1994, and 1995. Sixteen stands were surveyed among four silvicultural prescriptions, including no-harvest, two-age high-leave harvest (i.e. 7 m(2) residual basal area ha(-1)), two-age low-leave harvest (i.e. 3.5 m(2) residual basal area ha(-1)) and clearcut harvest. Data were collected for 1 year preharvest (1993) and 2 years post-harvest (1994 and 1995). Pre-harvest surveys revealed no differences in abundance, richness or diversity of bird communities among stands. After harvest, all indices were higher for bird communities in harvested stands than in no-harvest stands, with no difference among clearcut or two-age stands. Two forest interior species and one interior edge species were negatively affected by timber harvest in some stands, whereas Hooded warblers (Wilsonia citrina) were detected most frequently in low-leave and high-leave harvested stands. Three shrub-scrub species were positively affected by timber harvest. The Brown-headed cowbird (Molothrus ater) was the most commonly detected species in all harvested stands after harvest. These data indicate that a shift to two-age harvest prescriptions on the Daniel Boone National Forest will not alleviate the negative short-term responses associated with fragmentation on forest interior species, and will continue to enhance conditions for species preferring early successional habitat. (C) 1997 Elsevier Science B.V.</t>
  </si>
  <si>
    <t>UNIV KENTUCKY,DEPT FORESTRY,LEXINGTON,KY 40546</t>
  </si>
  <si>
    <t>University of Kentucky</t>
  </si>
  <si>
    <t>10.1016/S0378-1127(97)00052-2</t>
  </si>
  <si>
    <t>XV220</t>
  </si>
  <si>
    <t>WOS:A1997XV22000003</t>
  </si>
  <si>
    <t>Annand, EM; Thompson, FR</t>
  </si>
  <si>
    <t>Forest bird response to regeneration practices in central hardwood forests</t>
  </si>
  <si>
    <t>JOURNAL OF WILDLIFE MANAGEMENT</t>
  </si>
  <si>
    <t>central hardwoods forest; clearcut; group selection; Missouri Ozarks; nesting success; shelterwood; single-tree selection; songbirds</t>
  </si>
  <si>
    <t>BREEDING BIRDS; POPULATION; MANAGEMENT; DIVERSITY; SUCCESS</t>
  </si>
  <si>
    <t>We studied breeding songbird populations in a managed, predominantly forested landscape, in southeastern Missouri. We determined differences in the relative abundance of breeding birds in forest stands that had been harvested by the clearcut (n = 12), shelterwood (n = 12), group selection (n = 12), and single-tree selection (n = 10) forest regeneration methods, and mature even-aged stands (n = 12). Five migrant songbirds, the blue-winged warbler (Vermivora pinus), prairie warbler (Dendroica discolor), rufous-sided towhee (Pipilo erythrophthalmus), white-eyed vireo (Vireo griseus), and yellow-breasted chat (Icteria virens), were more abundant in clearcut treatments than other treatments (P &lt; 0.001). Indigo buntings (Passerina cyanea) and field sparrows (Spizella pusilla) were more abundant in clearcut and shelterwood treatments than other treatments (P &lt; 0.001). Hooded warblers (Wilsonia citrina) and northern parulas (Parula americana) were more abundant in the selection treatments than other treatments (P &lt; 0.001). Ovenbirds (Seiurus aurocapillus) and wood thrushes (Hylocichla mustelina) were most abundant in mature sites (P &lt; 0.001). Acadian flycatchers (Empidonax virescens) and red-eyed vireos (Vireo olivaceus) were more abundant in group and single-tree selection treatments and mature stands than in clearcut or shelterwood treatments (P &lt; 0.02). Numbers of brown-headed cowbirds (Molothrus ater) were greater in clearcut treatments than in other treatments (P &lt; 0.001). The abundances of 2 avian nest predators, the blue lay (Cyanocitta cristata), and the American crow (Corvus brachyrhyches), were not significantly greater in any of the 5 treatments (P &gt; 0.30). Nest success of species nesting in clearcut and shelterwood treatments was 18-50%. The percent of the sire in gaps, shrub stem density, and tree-diameter distribution differed among forest regeneration methods (P &lt; 0.001). We believe habitat requirements of birds in managed forests can be best met by a mixture of even- and uneven-aged forest management that creates a range of disturbance sizes.</t>
  </si>
  <si>
    <t>UNIV MISSOURI, N CENT FOREST EXPT STN, COLUMBIA, MO 65211 USA</t>
  </si>
  <si>
    <t>United States Department of Agriculture (USDA); United States Forest Service; University of Missouri System; University of Missouri Columbia</t>
  </si>
  <si>
    <t>Annand, EM (corresponding author), UNIV MISSOURI, SCH NAT RESOURCES, 112 STEPHENS HALL, COLUMBIA, MO 65211 USA.</t>
  </si>
  <si>
    <t>0022-541X</t>
  </si>
  <si>
    <t>1937-2817</t>
  </si>
  <si>
    <t>J WILDLIFE MANAGE</t>
  </si>
  <si>
    <t>J. Wildl. Manage.</t>
  </si>
  <si>
    <t>10.2307/3802425</t>
  </si>
  <si>
    <t>WL788</t>
  </si>
  <si>
    <t>WOS:A1997WL78800017</t>
  </si>
  <si>
    <t>Greve, W; Reiners, F; Nast, J</t>
  </si>
  <si>
    <t>Biocoenotic changes of the zooplankton in the German Bight: The possible effects of eutrophication and climate</t>
  </si>
  <si>
    <t>ICES International Symposium on changes in the North Sea Ecosystem and Their Causes - Arhus 1975 Revisited</t>
  </si>
  <si>
    <t>JUL 11-14, 1995</t>
  </si>
  <si>
    <t>AARHUS, DENMARK</t>
  </si>
  <si>
    <t>ICES</t>
  </si>
  <si>
    <t>biocoenotic changes; German bight; Helgoland Roads; immigrants; time series; zooplankton</t>
  </si>
  <si>
    <t>NORTH-SEA; COPEPODS; TIME</t>
  </si>
  <si>
    <t>Meso- and macrozooplankton have been sampled in the German Eight since 1974. Inter-annual changes in the dynamics of selected species have been analysed in terms of mean annual abundance and timing of abundance maxima. Information on new immigrants is also presented. Possible causes of the observed changes, particularly in relation to nutrient availability and climatic signals, are discussed. (C) 1996 International Council for the Exploration of the Sea</t>
  </si>
  <si>
    <t>Greve, W (corresponding author), BIOL ANSTALT HELGOLAND, NOTKESTR 31, D-22607 HAMBURG, GERMANY.</t>
  </si>
  <si>
    <t>10.1006/jmsc.1996.0117</t>
  </si>
  <si>
    <t>VZ689</t>
  </si>
  <si>
    <t>WOS:A1996VZ68900009</t>
  </si>
  <si>
    <t>Rijnsdorp, AD; vanLeeuwen, PI</t>
  </si>
  <si>
    <t>Changes in growth of North Sea plaice since 1950 in relation to density, eutrophication, beam-trawl effort, and temperature</t>
  </si>
  <si>
    <t>beam trawling; density-dependence; eutrophication; growth</t>
  </si>
  <si>
    <t>PLEURONECTES-PLATESSA L; LONG-TERM CHANGES; BACK-CALCULATION; GERMAN BIGHT; WADDEN SEA; OTOLITHS</t>
  </si>
  <si>
    <t>Annual length increments of female North Sea plaice were back-calculated from distances between rings in otoliths. Growth of the smaller size classes (&lt;25 cm) increased from the mid-1950s and decreased in the 1980s. Length increments of intermediate size classes varied more or less randomly, and those of the larger size classes (&gt;35 cm) increased from 1970. Growth changes of the smaller size classes were significantly correlated with indices of plaice density, eutrophication, and seabed disturbance by beam trawling. Moreover, they could be related to spatial and temporal patterns in variations in eutrophication and beam trawling. No correlation was observed with temperature. The analysis led to a consistent interpretation suggesting that eutrophication and beam trawling have both affected the growth rate of plaice. The contributions of these factors differed in space. Effects of eutrophication dominated in the shallow coastal waters, whereas beam trawling dominated in the waters further offshore. (C) 1996 International Council for the Exploration of the Sea</t>
  </si>
  <si>
    <t>Rijnsdorp, AD (corresponding author), NETHERLANDS INST FISHERIES RES,POB 68,NL-1970 AB IJMUIDEN,NETHERLANDS.</t>
  </si>
  <si>
    <t>Rijnsdorp, Adriaan/A-4217-2008</t>
  </si>
  <si>
    <t>Rijnsdorp, Aiaan D/0000-0003-0785-9662</t>
  </si>
  <si>
    <t>24-28 OVAL RD, LONDON, ENGLAND NW1 7DX</t>
  </si>
  <si>
    <t>10.1006/jmsc.1996.0145</t>
  </si>
  <si>
    <t>WOS:A1996VZ68900037</t>
  </si>
  <si>
    <t>VanderVoet, E; Kleijn, R; DeHaes, HAU</t>
  </si>
  <si>
    <t>Nitrogen pollution in the European Union - An economy-environment confrontation</t>
  </si>
  <si>
    <t>ENVIRONMENTAL CONSERVATION</t>
  </si>
  <si>
    <t>nitrogen compounds; European Union; North Sea; solutions; materials balances; environmental policy</t>
  </si>
  <si>
    <t>SUSTAINABLE AGRICULTURE</t>
  </si>
  <si>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</si>
  <si>
    <t>VanderVoet, E (corresponding author), LEIDEN UNIV,CTR ENVIRONM SCI,POB 9518,NL-2300 RA LEIDEN,NETHERLANDS.</t>
  </si>
  <si>
    <t>Kleijn, Rene/K-7901-2013; de Haes, Helias/M-4004-2013; van der Voet, Ester/K-8210-2013</t>
  </si>
  <si>
    <t>Kleijn, Rene/0000-0001-5227-5119;</t>
  </si>
  <si>
    <t>40 WEST 20TH STREET, NEW YORK, NY 10011-4211</t>
  </si>
  <si>
    <t>0376-8929</t>
  </si>
  <si>
    <t>ENVIRON CONSERV</t>
  </si>
  <si>
    <t>Environ. Conserv.</t>
  </si>
  <si>
    <t>10.1017/S0376892900038819</t>
  </si>
  <si>
    <t>WL656</t>
  </si>
  <si>
    <t>WOS:A1996WL65600004</t>
  </si>
  <si>
    <t>Eaton, JG; Scheller, RM</t>
  </si>
  <si>
    <t>Effects of climate warming on fish thermal habitat in streams of the United States</t>
  </si>
  <si>
    <t>LIMNOLOGY AND OCEANOGRAPHY</t>
  </si>
  <si>
    <t>Symposium on Regional Assessment of Freshwater Ecosystems and Climate Change in North America</t>
  </si>
  <si>
    <t>OCT 24-26, 1994</t>
  </si>
  <si>
    <t>LEESBURG, VA</t>
  </si>
  <si>
    <t>Amer Soc Limnol &amp; Oceanog,N Amer Benthol Soc,US EPA,US Geol Survey</t>
  </si>
  <si>
    <t>FRESH-WATER; TEMPERATURE; BASS; PH</t>
  </si>
  <si>
    <t>The effects of climate warming on the thermal habitat of 57 species of fish of the U.S. were estimated using results for a doubling of atmospheric carbon dioxide that were predicted by the Canadian Climate Center general circulation model. Baseline water temperature conditions were calculated from data collected at 1,700 U.S. Geological Survey stream monitoring stations across the U.S. Water temperatures after predicted climate change were obtained by multiplying air temperature changes by 0.9, a factor based on several field studies, and adding them to baseline water temperatures at stations in corresponding grid cells. Results indicated that habitat for cold and cool water fish would be reduced by similar to 50%, and that this effect would be distributed throughout the existing range of these species. Habitat losses were greater among species with smaller initial distributions and in geographic regions with the greatest warming (e.g, the central Midwest). Results for warm water fish habitat were less certain because of the poor state of knowledge regarding their high and low temperature tolerances; however, the habitat of many species of this thermal guild likely will also be substantially reduced by climate warming, whereas the habitat of other species will be increased.</t>
  </si>
  <si>
    <t>DYNTEL CORP,DULUTH,MN</t>
  </si>
  <si>
    <t>Eaton, JG (corresponding author), US EPA,MID CONTINENT ECOL DIV,6201 CONGDON BLVD,DULUTH,MN 55804, USA.</t>
  </si>
  <si>
    <t>Scheller, Robert/B-3135-2009</t>
  </si>
  <si>
    <t>Scheller, Robert/0000-0002-7507-4499</t>
  </si>
  <si>
    <t>AMER SOC LIMNOLOGY OCEANOGRAPH</t>
  </si>
  <si>
    <t>810 EAST 10TH ST, LAWRENCE, KS 66044-8897</t>
  </si>
  <si>
    <t>0024-3590</t>
  </si>
  <si>
    <t>LIMNOL OCEANOGR</t>
  </si>
  <si>
    <t>Limnol. Oceanogr.</t>
  </si>
  <si>
    <t>10.4319/lo.1996.41.5.1109</t>
  </si>
  <si>
    <t>Limnology; Oceanography</t>
  </si>
  <si>
    <t>VN458</t>
  </si>
  <si>
    <t>WOS:A1996VN45800034</t>
  </si>
  <si>
    <t>Nemani, RR; Running, SW; Pielke, RA; CHase, TN</t>
  </si>
  <si>
    <t>Global vegetation cover changes from coarse resolution satellite data</t>
  </si>
  <si>
    <t>JOURNAL OF GEOPHYSICAL RESEARCH-ATMOSPHERES</t>
  </si>
  <si>
    <t>LEAF-AREA INDEX; LAND-COVER; TROPICAL DEFORESTATION; AMAZON DEFORESTATION; SURFACE-TEMPERATURE; CLIMATE; CLASSIFICATION; SIMULATION; FORESTS; LANDSCAPE</t>
  </si>
  <si>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</si>
  <si>
    <t>UNIV MONTANA, MONTANA FOREST &amp; CONSERVAT EXPT STN, SCH FORESTRY, MISSOULA, MT 59812 USA</t>
  </si>
  <si>
    <t>University of Montana System; University of Montana</t>
  </si>
  <si>
    <t>Nemani, RR (corresponding author), COLORADO STATE UNIV, DEPT ATMOSPHER SCI, FT COLLINS, CO 80523 USA.</t>
  </si>
  <si>
    <t>Pielke, Roger/A-5015-2009</t>
  </si>
  <si>
    <t>2169-897X</t>
  </si>
  <si>
    <t>J GEOPHYS RES-ATMOS</t>
  </si>
  <si>
    <t>J. Geophys. Res.-Atmos.</t>
  </si>
  <si>
    <t>D3</t>
  </si>
  <si>
    <t>10.1029/95JD02138</t>
  </si>
  <si>
    <t>UB986</t>
  </si>
  <si>
    <t>WOS:A1996UB98600039</t>
  </si>
  <si>
    <t>Hughes, L; Cawsey, EM; Westoby, M</t>
  </si>
  <si>
    <t>Climatic range sizes of Eucalyptus species in relation to future climate change</t>
  </si>
  <si>
    <t>GLOBAL ECOLOGY AND BIOGEOGRAPHY LETTERS</t>
  </si>
  <si>
    <t>Australia; climate change; climatic range; Eucalyptus</t>
  </si>
  <si>
    <t>AUSTRALIA</t>
  </si>
  <si>
    <t>We present data on the climatic ranges of 819 species of Eucalyptus L'Herit in Australia, in terms of mean annual temperature and rainfall. 53% of species currently have ranges spanning less than 3 degrees C of mean annual temperature, with 41% having a range of less than 2 degrees C, and 25% with less than 1 degrees C. 23% of species have ranges of mean annual rainfall that span less than 20% variation. Unless current projections greatly overestimate future climate change in Australia, within the next few decades many eucalypt species will have their entire present day populations exposed to temperatures and rainfalls under which no individuals currently exist. While we recognize that the actual climatic tolerances of many species are wider than the climatic envelope they currently occupy, the data indicate that if even a moderate proportion of present day boundaries actually reflect thermal or rainfall tolerances, substantial changes in the tree flora of Australia may be expected.</t>
  </si>
  <si>
    <t>MACQUARIE UNIV,SCH BIOL SCI,N RYDE,NSW 2109,AUSTRALIA; MACQUARIE UNIV,RES UNIT BIODIVERS &amp; BIORESOURCES,N RYDE,NSW 2109,AUSTRALIA; CSIRO,DIV WILDLIFE &amp; ECOL,LYNEHAM,ACT 2606,AUSTRALIA</t>
  </si>
  <si>
    <t>Macquarie University; Macquarie University; Commonwealth Scientific &amp; Industrial Research Organisation (CSIRO)</t>
  </si>
  <si>
    <t>; Cawsey, Edith/C-9594-2011</t>
  </si>
  <si>
    <t>Hughes, Lesley/0000-0003-0313-9780; Westoby, Mark/0000-0001-7690-4530;</t>
  </si>
  <si>
    <t>OSNEY MEAD, OXFORD, OXON, ENGLAND OX2 0EL</t>
  </si>
  <si>
    <t>0960-7447</t>
  </si>
  <si>
    <t>Glob. Ecol. Biogeogr. Lett.</t>
  </si>
  <si>
    <t>10.2307/2997467</t>
  </si>
  <si>
    <t>UF435</t>
  </si>
  <si>
    <t>WOS:A1996UF43500005</t>
  </si>
  <si>
    <t>Oomes, MJM; VanderWerf, A</t>
  </si>
  <si>
    <t>Restoration of species diversity in grasslands: The effect of grassland management and changes in ground water level</t>
  </si>
  <si>
    <t>ACTA BOTANICA GALLICA</t>
  </si>
  <si>
    <t>grassland production; nutrient yield; species replacement; rewetting; sod stripping</t>
  </si>
  <si>
    <t>VEGETATION; MEADOWS; ENGLAND; YIELD; SEED</t>
  </si>
  <si>
    <t>Results are presented of a grassland restoration experiment on a humic sandy soil and on a nutrient rich humic clay. The effect of cutting time and frequency, sod stripping and a rise in ground water level is studied on the decrease in dry matter and nutrient yield and changes in botanical composition. When the annual production is lower than 6 tonnes a second cut hardly contributes to a faster soil impoverishment. But a second cut creates a favourable vegetation structure for seedling establishment. Sod stripping to 5 cm caused only for a short period a lower production, but it stimulates the establishment of species from the soil seedbank. The yield of N and P is lower in the longer run, that of K is very low with and without scd stripping. The changes in yield and concentration of K in the biomass show that the availability of K is very low and possibly limits the further decrease in the dry matter production. Establishment and generative spread of plant species in the undisturbed sward are low, but can be stimulated by cutting after their seed production. Rising the ground water level in a productive system hardly lowers the production on the short term, but it stimulates the replacement by species indicative for wet growing conditions. The results show that alter the first phase of restoration management, which is aimed at a decrease in production, other factors become limiting for the increase in diversity: presence of seeds, favourable conditions for seedling establishment and co-limitation of nutrients.</t>
  </si>
  <si>
    <t>Oomes, MJM (corresponding author), DLO, AB, RES INST AGROBIOL &amp; SOIL FERTIL, POB 14, NL-6700 AA WAGENINGEN, NETHERLANDS.</t>
  </si>
  <si>
    <t>SOC BOTANIQUE FRANCE</t>
  </si>
  <si>
    <t>CHATENAY-MALABRY CEDEX</t>
  </si>
  <si>
    <t>RUE J B CLEMENT, 92296 CHATENAY-MALABRY CEDEX, FRANCE</t>
  </si>
  <si>
    <t>1253-8078</t>
  </si>
  <si>
    <t>ACTA BOT GALLICA</t>
  </si>
  <si>
    <t>Acta Bot. Gall.</t>
  </si>
  <si>
    <t>4-5</t>
  </si>
  <si>
    <t>10.1080/12538078.1996.10515741</t>
  </si>
  <si>
    <t>XZ617</t>
  </si>
  <si>
    <t>WOS:A1996XZ61700023</t>
  </si>
  <si>
    <t>DRINKWATER, LE; LETOURNEAU, DK; WORKNEH, F; VANBRUGGEN, AHC; SHENNAN, C</t>
  </si>
  <si>
    <t>FUNDAMENTAL DIFFERENCES BETWEEN CONVENTIONAL AND ORGANIC TOMATO AGROECOSYSTEMS IN CALIFORNIA</t>
  </si>
  <si>
    <t>CALIFORNIA AGRICULTURE; CANONICAL DISCRIMINANT ANALYSIS; FRESH MARKET TOMATOES; INSECT ABUNDANCE AND DIVERSITY; NITROGEN; ORGANIC AGRICULTURE; PRINCIPAL COMPONENTS ANALYSIS; PYRENOCHAETA LYCOPERSICI; ROOT PATHOGENS; SOIL QUALITY</t>
  </si>
  <si>
    <t>SOIL MICROBIAL BIOMASS; PREDICTING SUPPRESSIVENESS; SUSTAINABLE AGRICULTURE; FLUORESCEIN DIACETATE; CROPPING SYSTEMS; NITROGEN-CONTENT; CONTAINER MEDIA; PYTHIUM-ULTIMUM; FARMING SYSTEMS; POTTING MIXES</t>
  </si>
  <si>
    <t>In an integrated, multidisciplinary study we compared ecological characteristics and productivity of commercial farms categorized as either organic (ORG) or conventional (CNV) based on their use of synthetic fertilizers and pesticides or reliance on organic soil amendments and biological pest control. We measured belowground parameters: various soil chemical and biological properties and root disease severity; common agronomic indicators: biomass, fruit yield and insect pest damage; and community level indicators, including arthropod diversity and soil microbial activity and diversity. CNV and ORG production systems could not be distinguished based on agronomic criteria such as fruit yield and arthropod pest damage levels. However, differences were demonstrated in many soil, plant, disease, and diversity indicators suggesting that the ecological processes determining yields and pest levels in these two management systems are distinct. In particular, nitrogen mineralization potential and microbial and parasitoid abundance and diversity were higher in ORG farms. Differences between the agroecosystems were sufficiently robust to be distinguished from environmental variation and suggest that biological processes compensated for reductions in the use of synthetic fertilizers and pesticides.</t>
  </si>
  <si>
    <t>UNIV CALIF DAVIS,DEPT VEGETABLE CROPS,DAVIS,CA 95616; UNIV CALIF SANTA CRUZ,BOARD ENVIRONM STUDIES,SANTA CRUZ,CA 95064; UNIV CALIF DAVIS,DEPT PLANT PATHOL,DAVIS,CA 95616</t>
  </si>
  <si>
    <t>University of California System; University of California Davis; University of California System; University of California Santa Cruz; University of California System; University of California Davis</t>
  </si>
  <si>
    <t>Drinkwater, Laurie/AEG-7189-2022; Shennan, Carol/I-1694-2013; Letourneau, Deborah/G-3694-2011</t>
  </si>
  <si>
    <t>inkwater, Laurie/0000-0002-0746-6765; Shennan, Carol/0000-0001-6401-5007;</t>
  </si>
  <si>
    <t>TEMPE</t>
  </si>
  <si>
    <t>ARIZONA STATE UNIV CENTER ENVIRONMENTAL STUDIES, TEMPE, AZ 85287</t>
  </si>
  <si>
    <t>10.2307/2269357</t>
  </si>
  <si>
    <t>TF375</t>
  </si>
  <si>
    <t>WOS:A1995TF37500022</t>
  </si>
  <si>
    <t>Huntley, B; Berry, PM; Cramer, W; McDonald, AP</t>
  </si>
  <si>
    <t>Modelling present and potential future ranges of some European higher plants using climate response surfaces</t>
  </si>
  <si>
    <t>climate response surfaces; global change; phytogeography; conservation</t>
  </si>
  <si>
    <t>SPECIES RESPONSE; BRITISH-ISLES; NORTH-AMERICA; TILIA-CORDATA; GRADIENTS; REGRESSION; VEGETATION; MIGRATION; POLLEN</t>
  </si>
  <si>
    <t>It is hypothesized that the principal features of higher plant distributions at continental scales are determined by the macroclimate. Bioclimate data have been computed on a 50 km grid across Europe. Along with published maps of higher plant distributions based upon the same grid, these data have been used to derive climate response surfaces that model the relationship between a species' distribution and the present climate. Eight species representative of a variety of phytogeographic patterns have been investigated. The results support the hypothesis that the European distributions of all eight species are principally determined by macroclimate and illustrate the nature of the climatic constraints upon each species. Simulated future distributions in equilibrium with 2 x CO2 climate scenarios derived from two alternative GCMs show that all of the species are likely to experience major shifts in their potential range if such climatic changes take place. Some species may suffer substantial range and population reductions and others may face the threat of extinction. The rate of the forecast climate changes is such that few, if any, species may be able to maintain their ranges in equilibrium with the changing climate. In consequence, the transient impacts upon ecosystems will be varied but often may lead to a period of dominance by opportunist, early-successional species. Our simulations of potential ranges take no account of such factors as photoperiod or the direct effects of CO2, both of which may substantially alter the realized future equilibrium.</t>
  </si>
  <si>
    <t>UNIV OXFORD, ENVIRONM CHANGE UNIT, OXFORD OX1 3TB, ENGLAND; POTSDAM INST CLIMATE IMPACT RES, D-14473 POTSDAM, GERMANY</t>
  </si>
  <si>
    <t>University of Oxford; Potsdam Institut fur Klimafolgenforschung</t>
  </si>
  <si>
    <t>Huntley, B (corresponding author), UNIV DURHAM, DEPT BIOL SCI, ENVIRONM RES CTR, SOUTH RD, DURHAM DH1 3HP, ENGLAND.</t>
  </si>
  <si>
    <t>Cramer, Wolfgang/B-8221-2008</t>
  </si>
  <si>
    <t>Cramer, Wolfgang/0000-0002-9205-5812; Berry, Pam/0000-0002-1201-072X</t>
  </si>
  <si>
    <t>10.2307/2845830</t>
  </si>
  <si>
    <t>UL129</t>
  </si>
  <si>
    <t>WOS:A1995UL12900002</t>
  </si>
  <si>
    <t>GREENBERG, CH; THOMAS, MC</t>
  </si>
  <si>
    <t>EFFECTS OF FOREST MANAGEMENT-PRACTICES ON TERRESTRIAL COLEOPTERAN ASSEMBLAGES IN SAND PINE SCRUB</t>
  </si>
  <si>
    <t>FLORIDA ENTOMOLOGIST</t>
  </si>
  <si>
    <t>BEETLE ASSEMBLAGE; CLEARCUTTING; WILDFIRE</t>
  </si>
  <si>
    <t>CARABID BEETLES; GROUND BEETLES; CONSERVATION; DIVERSITY; FRAGMENTS; FLORIDA</t>
  </si>
  <si>
    <t>Coleopteran assemblages were sampled monthly for one year using pitfall traps in replicated sites of three 5- to 7-year-old disturbance treatments and mature forested sand pine scrub in the Ocala National Forest, Marion County, Florida. Disturbance treatments were (1) burning at high-intensity and salvage-logging; (2) clearcutting, roller-chopping and broadcast seeding, and; (3) clearcutting and bracke-seeding. Community similarity of coleopterans was high. No differences in species richness, diversity, density, or evenness were detected. Of 40 species captured, only seven were common (n &gt; 50). Predaceous beetles were numerically dominant followed by scavengers. Few xylophagous or herbivorous coleopterans were captured, probably due to trap bias. Peaks of annual above-ground terrestrial activity varied among species. An absence of differences among treatments may reflect similar plant communities or structural habitat features. Additionally, a dearth of mature forest specialists might be predicted in systems where mature forest was historically rare due to large-scale, high-intensity, and low-frequency wildfire.</t>
  </si>
  <si>
    <t>UNIV FLORIDA,DEPT WILDLIFE &amp; RANGE SCI,GAINESVILLE,FL 32604; FLORIDA DEPT AGR &amp; CONSUMER SERV,DIV PLANT IND,FLORIDA STATE COLLECT ARTHROPODS,GAINESVILLE,FL 32614</t>
  </si>
  <si>
    <t>GREENBERG, CH (corresponding author), US FOREST SERV,SE FOREST EXPT STN,118 NEWINS ZEIGLER HALL,POB 14524,GAINESVILLE,FL 32604, USA.</t>
  </si>
  <si>
    <t>FLORIDA ENTOMOLOGICAL SOC</t>
  </si>
  <si>
    <t>GAINESVILLE</t>
  </si>
  <si>
    <t>BOX GAINESVILLE, FL 32604</t>
  </si>
  <si>
    <t>0015-4040</t>
  </si>
  <si>
    <t>FLA ENTOMOL</t>
  </si>
  <si>
    <t>Fla. Entomol.</t>
  </si>
  <si>
    <t>10.2307/3495900</t>
  </si>
  <si>
    <t>Entomology</t>
  </si>
  <si>
    <t>RF564</t>
  </si>
  <si>
    <t>WOS:A1995RF56400007</t>
  </si>
  <si>
    <t>BRERETON, R; BENNETT, S; MANSERGH, I</t>
  </si>
  <si>
    <t>ENHANCED GREENHOUSE CLIMATE-CHANGE AND ITS POTENTIAL EFFECT ON SELECTED FAUNA OF SOUTH-EASTERN AUSTRALIA - A TREND ANALYSIS</t>
  </si>
  <si>
    <t>ENHANCED GREENHOUSE CLIMATE CHANGE; FAUNA; BIOCLIM; SOUTH-EASTERN AUSTRALIA; MODELING</t>
  </si>
  <si>
    <t>CARBON-DIOXIDE; VEGETATION; VICTORIA; RECORD</t>
  </si>
  <si>
    <t>It has been predicted that enhanced greenhouse climate change will modify the global climate and consequently cause large-scale changes to the distribution of flora and fauna. This study examined the potential effect of enhanced greenhouse climate change on the distribution of 42 species of fauna of south-eastern Australia. The best available information regarding faunal distributions and predictive models for bioclimatic ranges was used in conjunction with the accepted enhanced greenhouse climate scenarios for 1990. Move recent developments that refine the potential climatic changes are discussed in I elation to the analysis. The 42 species of fauna were selected from the major Victorian bioclimatic regions and ecosystems and from species considered most at risk from enhanced greenhouse climate change. Most were species with a threatened conservation status. The results indicate that 41 undergo a reduction in bioclimatic range in response to climatic warming, the most extreme response being the extinction of bioclimatic range. A broadscale subcontinental analysis of the potential effects on faunal distribution is presented.</t>
  </si>
  <si>
    <t>DEPT CONSERVAT &amp; NAT RESOURCES,FLORA &amp; FAUNA BRANCH,HEIDELBERG,VIC 3084,AUSTRALIA</t>
  </si>
  <si>
    <t>THE BOULEVARD, LANGFORD LANE, KIDLINGTON, OXFORD, OXON, ENGLAND OX5 1GB</t>
  </si>
  <si>
    <t>10.1016/0006-3207(94)00016-J</t>
  </si>
  <si>
    <t>RA242</t>
  </si>
  <si>
    <t>WOS:A1995RA24200001</t>
  </si>
  <si>
    <t>SMITH, RS; RUSHTON, SP</t>
  </si>
  <si>
    <t>THE EFFECTS OF GRAZING MANAGEMENT ON THE VEGETATION OF MESOTROPHIC (MEADOW) GRASSLAND IN NORTHERN ENGLAND</t>
  </si>
  <si>
    <t>CATTLE; PLANT SPECIES DIVERSITY; SHEEP; VEGETATION DYNAMICS</t>
  </si>
  <si>
    <t>SPECIES-RICHNESS; PLANT; COMMUNITIES; SUCCESSION</t>
  </si>
  <si>
    <t>1. Haymeadows in the Yorkshire Dales and the North Pennines in Northern England are grazed with cattle and sheep outside the 2-3-month summer period, when a hay or silage crop is grown. Experimental exclosures were used from August 1987 to June 1991 to prevent this grazing for various periods in the year in a meadow at Ravenstonedale, Cumbria. Vegetation change was investigated using biomass samples taken in June of each year. 2. Experimental treatments were: (i) no grazing at any time of the year, (ii) no grazing from the time of the hay cut until 1 January; (iii) no grazing from 1 January to the time of the hay cut; (iv) control plots in which the normal grazing regime was followed each year. All other management factors were kept constant. 3. All plots showed vegetation changes related to treatment and to time. The main trend was the treatment effect, with the greatest reduction in species richness occurring in the ungrazed plots. Changes in the species composition of the plots were associated with species' strategies (sensu Grime 1979) in the established and regenerative phase. 4. The results are discussed in the context of management designed to manipulate plant species composition in old meadowland.</t>
  </si>
  <si>
    <t>SMITH, RS (corresponding author), UNIV NEWCASTLE UPON TYNE,DEPT AGR &amp; ENVIRONM SCI,NEWCASTLE TYNE NE1 7RU,TYNE &amp; WEAR,ENGLAND.</t>
  </si>
  <si>
    <t>10.2307/2404595</t>
  </si>
  <si>
    <t>ND763</t>
  </si>
  <si>
    <t>WOS:A1994ND76300002</t>
  </si>
  <si>
    <t>GISLASON, H</t>
  </si>
  <si>
    <t>ECOSYSTEM EFFECTS OF FISHING ACTIVITIES IN THE NORTH-SEA</t>
  </si>
  <si>
    <t>MACROBENTHOS; MACROFAUNA; ECOLOGY</t>
  </si>
  <si>
    <t>The North Sea harbours an intensive fishery which removes between 30 and 40% of the biomass of exploited fish species each year, In addition fishing causes mortality of non-target species of benthos, fish, seabirds and mammals, Heavy towed gears disturb the uppermost layer of the seabed and cause mortality of benthos, while gillnets accidentally entangle seabirds and marine mammals. Unwanted catch is usually returned to the sea where it is eaten by scavenging species, such as seabirds. Since the North Sea ecosystem is highly complex and exhibits a high natural variability, it has proved difficult to isolate the longer term consequences of these impacts. Until more is known about the environmental impact of fisheries management, action (or no action) will have to be agreed upon in the light of considerable scientific uncertainty.</t>
  </si>
  <si>
    <t>GISLASON, H (corresponding author), DANISH INST FISHERIES &amp; MARINE RES, CHARLOTTENLUND CASTLE, DK-2920 CHARLOTTENLUND, DENMARK.</t>
  </si>
  <si>
    <t>6-12</t>
  </si>
  <si>
    <t>10.1016/0025-326X(94)90680-7</t>
  </si>
  <si>
    <t>RC984</t>
  </si>
  <si>
    <t>WOS:A1994RC98400049</t>
  </si>
  <si>
    <t>HICKEL, W; MANGELSDORF, P; BERG, J</t>
  </si>
  <si>
    <t>THE HUMAN IMPACT IN THE GERMAN BIGHT - EUTROPHICATION DURING 3 DECADES (1962-1991)</t>
  </si>
  <si>
    <t>HELGOLANDER MEERESUNTERSUCHUNGEN</t>
  </si>
  <si>
    <t>NORTH-SEA; PHYTOPLANKTON; HELGOLAND</t>
  </si>
  <si>
    <t>The human impact in the German Bight, in the form of anthropogenic eutrophication, has been documented by a 30-year time-series measurement near the island of Helgoland. Since 1962, the Biologische Anstalt Helgoland has measured inorganic nutrients and phytoplankton abundance from daily samples at Helgoland Roads, a position 60 km off the main source of eutrophication, the River Elbe. Since the early 'sixties, phosphate concentrations rose for about a decade, levelling off to about twice the former concentrations for another decade, and then decreasing (since 1982) as a result of phosphate-reducing measures. Nitrate concentrations, however, have only increased since 1980/81, following Elbe river flood events. In 1987, three times the former concentrations were reached. A decrease has been observed only since 1991. This different development of phosphorus and nitrogen eutrophication led to a shift of inorganic N/P-ratios in the German Bight. The phosphate increase was more pronounced in the late summer ''regeneration made'' conditions, the nitrate increase in the winter months. The eutrophication is not restricted to the inner German Bight and coastal waters of a salinity of &lt; 33, but has also occurred in more saline waters at S &gt; 33 psu (practical salinity unit), as characteristic for the outer German Bight. In this more saline water, phosphate and nitrate maximum levels occurred three years later, compared with the average Helgoland data, which are more representative of the inner German Bight. It is suggested that suspended particulate organic matter, as a long-distance carrier of nutrients, might have caused this delayed eutrophication in the outer German Bight waters. While the human impact is obvious as to nutrient concentrations, it is less obvious in phytoplankton stock enhancement. A general increase in phytoplankton biomass (about 3-4 times) was found, but this was mainly due to unidentified nanoflagellates of unknown trophic state, and subject to methodological errors. The causal relationships of phytoplankton stocks and eutrophication are not clearly understood, as natural variability is large and hydrographical factors possibly dominate. Additional nutrient input by Elbe river floods did not always result in elevated phytoplankton stocks near Helgoland, while extended periods of vertical density stratification of the German Bight water caused large plankton blooms.</t>
  </si>
  <si>
    <t>HICKEL, W (corresponding author), BIOL ANSTALT HELGOLAND,NOTKESTR 31,D-22607 HAMBURG,GERMANY.</t>
  </si>
  <si>
    <t>BIOLOGISCHE ANSTALT HELGOLAND</t>
  </si>
  <si>
    <t>HAMBURG</t>
  </si>
  <si>
    <t>NOTKESTRASSE 31, 22607 HAMBURG, GERMANY</t>
  </si>
  <si>
    <t>0174-3597</t>
  </si>
  <si>
    <t>HELGOLANDER MEERESUN</t>
  </si>
  <si>
    <t>Helgol. Meeresunters.</t>
  </si>
  <si>
    <t>10.1007/BF02367167</t>
  </si>
  <si>
    <t>MT334</t>
  </si>
  <si>
    <t>WOS:A1993MT33400001</t>
  </si>
  <si>
    <t>CHAPMAN, PM</t>
  </si>
  <si>
    <t>POLLUTION STATUS OF NORTH-SEA SEDIMENTS - AN INTERNATIONAL INTEGRATIVE STUDY</t>
  </si>
  <si>
    <t>INFAUNAL COMMUNITY COMPOSITION; QUALITY TRIAD; CRITERIA; TOXICITY; CONTAMINATION; EXAMPLE; BAY</t>
  </si>
  <si>
    <t>This paper describes the pollution status of North Sea sediments, and is based on results of sediment testing conducted during the Bremerhaven Workshop designed to test various methods (chemical and biological) for assessing the status of North Sea waters, sediments and biota. Testing comprised 2 transects, one down current from an abandoned drilling site, and the other across the German Bight from the mouth of the Elbe northwest. Sediment methods focused on toxicity testing, chemical analyses, and measures of in situ benthic community structure. Together these 3 methods comprise the Sediment Quality Triad. Using the Triad in a burden-of-evidence approach, it was determined that sediments nearest the Elbe are moderately polluted (pollution is defined as contamination, toxicity and benthic community alteration), and that sediments offshore and at Dogger Bank are unpolluted. Sediments nearest the drilling site show evidence of relatively low level toxicity and benthic community alteration. Limited chemical measurements did not indicate contamination. Observed laboratory toxicity and alterations in benthic infauna community structure may be due to unmeasured toxic chemicals. Anticipated effects due to drilling were not observed and appear to have been ameliorated by natural deposition of clean sediment. North Sea sediments away from point sources of pollution (e.g. coastal areas, drilling platforms) are expected to be unpolluted. Lesions in bottom fish in such offshore areas (e.g. the Dogger Bank) cannot be attributed to sediment pollution in these areas, but if they are truly indicative of anthropogenic pollution, could be due to other factor(s) such as exposure of planktonic larvae to sea surface microlayer chemical contamination and toxicity. Integrative assessments such as the Triad are essential for adequately assessing the status of European marine ecosystems. Although relatively expensive, such complete studies determine and prioritise problem areas such that managers, regulators and the public have access to the best possible information for decision-making and resource allocation.</t>
  </si>
  <si>
    <t>CHAPMAN, PM (corresponding author), EVS CONSULTANTS LTD, 195 PEMBERTON AVE, N VANCOUVER V7P 2R4, BC, CANADA.</t>
  </si>
  <si>
    <t>10.3354/meps091313</t>
  </si>
  <si>
    <t>LL064</t>
  </si>
  <si>
    <t>WOS:A1992LL06400040</t>
  </si>
  <si>
    <t>MCDONALD, KA; BROWN, JH</t>
  </si>
  <si>
    <t>USING MONTANE MAMMALS TO MODEL EXTINCTIONS DUE TO GLOBAL CHANGE</t>
  </si>
  <si>
    <t>We use data on the species-area relationship and the nested subset structure of the boreal mammal faunas inhabiting isolated mountaintops in the Great Basin to develop a simple quantitative model that predicts the number and identity of species that would go extinct under an assumed scenario of changing climate and vegetation Global warming of 3-degrees-C is predicted to cause the loss of 9-62% of the species inhabiting each mountain range and the extinction of three of fourteen species throughout the region. These results suggest (1) that it is possible to make highly plausible predictions about the susceptibility of species to extinction without detailed information about their population biology, and (2) that global and regional environmental changes seriously threaten the survival of species that are restricted in distribution to both natural habitat islands and biological reserves.</t>
  </si>
  <si>
    <t>UNIV NEW MEXICO,DEPT BIOL,ALBUQUERQUE,NM 87131</t>
  </si>
  <si>
    <t>University of New Mexico</t>
  </si>
  <si>
    <t>350 MAIN ST, MALDEN, MA 02148</t>
  </si>
  <si>
    <t>10.1046/j.1523-1739.1992.06030409.x</t>
  </si>
  <si>
    <t>JM322</t>
  </si>
  <si>
    <t>WOS:A1992JM32200013</t>
  </si>
  <si>
    <t>FAY, JM; AGNAGNA, M</t>
  </si>
  <si>
    <t>A POPULATION SURVEY OF FOREST ELEPHANTS (LOXODONTA-AFRICANA-CYCLOTIS) IN NORTHERN CONGO</t>
  </si>
  <si>
    <t>ELEPHANT; CONGO; CYCLOTIS; DUNG; COUNTING; FORESTS</t>
  </si>
  <si>
    <t>From February to April of 1989 transects were run in four forested areas of northern Congo (Brazzaville) to census elephant populations using dung counts. A total of 401.0 km of line transects was completed during the survey. An overall extrapolated density of 0.7 elephants/km2 was obtained with a variation from 0.3 to 0.9 elephants/km2. This study shows for the first time that elephants occur in high densities in a number of sites in northern Congo. When elephant dung density is plotted against distance from the nearest village for each transect a significant positive linear correlation results. Based on this correlation we hypothesize that the population of elephants in much of northern Congo is high. Local reports and our own observations indicate that elephant poaching is heavy in northern Congo and that the CITES ban on trade in African elephant ivory has had a limited effect on the level of poaching.</t>
  </si>
  <si>
    <t>MINIST ECON FORESTIERE, Brazzaville, REP CONGO</t>
  </si>
  <si>
    <t>FAY, JM (corresponding author), WILDLIFE CONSERVAT INT, NEW YORK ZOOL SOC, BRONX, NY 10460 USA.</t>
  </si>
  <si>
    <t>10.1111/j.1365-2028.1991.tb01000.x</t>
  </si>
  <si>
    <t>HC738</t>
  </si>
  <si>
    <t>WOS:A1991HC73800001</t>
  </si>
  <si>
    <t>BARNES, RFW; BARNES, KL; ALERS, MPT; BLOM, A</t>
  </si>
  <si>
    <t>MAN DETERMINES THE DISTRIBUTION OF ELEPHANTS IN THE RAIN-FORESTS OF NORTHEASTERN GABON</t>
  </si>
  <si>
    <t>ELEPHANTS; DROPPING COUNTS; FOREST; ROADS; VILLAGES</t>
  </si>
  <si>
    <t>LOXODONTA-AFRICANA-CYCLOTIS; NATIONAL-PARK; POPULATIONS; DROPPINGS</t>
  </si>
  <si>
    <t>Dropping counts were used to assess elephant abundance in the remote forests of northeastern Gabon where there are few people and no logging. Elephants prefer the secondary forest which grows on abandoned villages and plantations, but avoid roads and villages. Thus elephant distribution is governed by the distribution of both past and present human settlement, even in the remotest and least disturbed forests of equatorial Africa.</t>
  </si>
  <si>
    <t>10.1111/j.1365-2028.1991.tb00820.x</t>
  </si>
  <si>
    <t>FW498</t>
  </si>
  <si>
    <t>WOS:A1991FW49800007</t>
  </si>
  <si>
    <t>FAY, JM</t>
  </si>
  <si>
    <t>AN ELEPHANT (LOXODONTA-AFRICANA) SURVEY USING DUNG COUNTS IN THE FORESTS OF THE CENTRAL-AFRICAN-REPUBLIC</t>
  </si>
  <si>
    <t>CENTRAL-AFRICAN-REPUBLIC; DUNG COUNTS; ELEPHANTS; FOREST; LOXODONTA-AFRICANA; SURVEY</t>
  </si>
  <si>
    <t>In May and June of 1989 data on elephant (Loxodonta africana) dung density were collected in the main forested areas of the Central African Republic. A total of 147.0 km of line transects (N = 14 transects, xBAR = 10.50 km, SD = 3.79) was completed. Dung was recorded in 37.4% of the 294 sectors of 0.5 km each. The overall dung density was estimated to be 266 piles km-2 (xBAR = 382, SD = 383.7). The highest dung density was found in the proposed Dzanga-Sangha Reserve in the extreme south-west with 1166 piles km-2 (N = 12 sectors of 0.5 km). The south-eastern forests were found to have an intermediate dung density of 336 piles km-2 (N = 215 sectors of 0.5 km, xBAR = 419, SD = 308). In the eastern section of the south-western forests no dung was recorded along survey transects (N = 67 sectors of 0.5 km). These data indicate that elephant populations are still relatively high in the forests of south-western and south-eastern Central African Republic, while the population in the eastern section of the south-western forests has diminished to a very low level.</t>
  </si>
  <si>
    <t>FAY, JM (corresponding author), WASHINGTON UNIV,DEPT ANTHROPOL,ST LOUIS,MO 63130, USA.</t>
  </si>
  <si>
    <t>10.1017/S0266467400005022</t>
  </si>
  <si>
    <t>FE807</t>
  </si>
  <si>
    <t>WOS:A1991FE80700002</t>
  </si>
  <si>
    <t>GRAY, JS; CLARKE, KR; WARWICK, RM; HOBBS, G</t>
  </si>
  <si>
    <t>DETECTION OF INITIAL EFFECTS OF POLLUTION ON MARINE BENTHOS - AN EXAMPLE FROM THE EKOFISK AND ELDFISK OILFIELDS, NORTH-SEA</t>
  </si>
  <si>
    <t>Reductions in number of species and diversity and increased dominance of opportunistic species occurred late in the sequence of response to oil as a stress factor (within 500 to 1000 m of discharge sources). However, multivariate analyses, (classification analysis using the Bray-Curtis dissimilarity index) and ordination (multi-dimensional scaling) clearly distinguished site groupings related to oil activities at distances of up to 2 to 3 km from the Ekofish pollution source and up to 1.5 km from the Eldfisk source. The first recorded changes in benthic communities in response to oil were increased abundance patterns of some species and changes in the presence and absence patterns of rare species, with species being mostly present in one site group and mostly absent in another site group. Only under severe pollution did the opportunistic species, which have often been suggested as universal indicators of pollution, dominate. The major site groupings could still be distinguished after aggregation to higher taxa (families and even phyla) when using multivariate anlyses. If this finding proves to be a general one then great savings in time and effort, with little or no loss of precision, will be possible in environmental monitoring.</t>
  </si>
  <si>
    <t>PLYMOUTH MARINE LAB, PLYMOUTH PL1 3DH, ENGLAND; FIELD STUDIES COUNCIL RES CTR, OIL POLLUT RES UNIT, PEMBROKE SA71 5AD, DYFED, WALES</t>
  </si>
  <si>
    <t>GRAY, JS (corresponding author), UNIV OSLO, DEPT MARINE BIOL &amp; CHEM, N-0316 BLINDERN OSLO 3, NORWAY.</t>
  </si>
  <si>
    <t>10.3354/meps066285</t>
  </si>
  <si>
    <t>DZ033</t>
  </si>
  <si>
    <t>WOS:A1990DZ03300009</t>
  </si>
  <si>
    <t>RADACH, G; BERG, J; HAGMEIER, E</t>
  </si>
  <si>
    <t>LONG-TERM CHANGES OF THE ANNUAL CYCLES OF METEOROLOGICAL, HYDROGRAPHIC, NUTRIENT AND PHYTOPLANKTON TIME-SERIES AT HELGOLAND AND AT LV ELBE 1 IN THE GERMAN BIGHT</t>
  </si>
  <si>
    <t>CONTINENTAL SHELF RESEARCH</t>
  </si>
  <si>
    <t>BUNDESFORSCH ANSTALT FISCHEREI,W-2000 HAMBURG 50,GERMANY; BIOL ANSTALT HELGOLAND,W-2192 HELGOLAND,GERMANY</t>
  </si>
  <si>
    <t>RADACH, G (corresponding author), UNIV HAMBURG,INST MEERESKUNDE,TROPLOWITZSTR 7,W-2000 HAMBURG 54,GERMANY.</t>
  </si>
  <si>
    <t>THE BOULEVARD, LANGFORD LANE, KIDLINGTON, OXFORD, ENGLAND OX5 1GB</t>
  </si>
  <si>
    <t>0278-4343</t>
  </si>
  <si>
    <t>CONT SHELF RES</t>
  </si>
  <si>
    <t>Cont. Shelf Res.</t>
  </si>
  <si>
    <t>10.1016/0278-4343(90)90054-P</t>
  </si>
  <si>
    <t>DF517</t>
  </si>
  <si>
    <t>WOS:A1990DF51700001</t>
  </si>
  <si>
    <t>WILKIE, DS; FINN, JT</t>
  </si>
  <si>
    <t>SLASH BURN CULTIVATION AND MAMMAL ABUNDANCE IN THE ITURI FOREST, ZAIRE</t>
  </si>
  <si>
    <t>UNIV UTAH,DEPT ANTHROPOL,SALT LAKE CITY,UT 84112; UNIV MASSACHUSETTS,DEPT FORESTRY &amp; WILDLIFE,AMHERST,MA 01003</t>
  </si>
  <si>
    <t>Utah System of Higher Education; University of Utah; University of Massachusetts System; University of Massachusetts Amherst</t>
  </si>
  <si>
    <t>ASSN TROP BIOL</t>
  </si>
  <si>
    <t>MISSOURI BOTANICAL GARDEN 2345 TOWER GROVE AVE, ST LOUIS, MO 63110</t>
  </si>
  <si>
    <t>10.2307/2388723</t>
  </si>
  <si>
    <t>DL161</t>
  </si>
  <si>
    <t>WOS:A1990DL16100011</t>
  </si>
  <si>
    <t>LAWRENCE, GB; FULLER, RD; DRISCOLL, CT</t>
  </si>
  <si>
    <t>RELEASE OF ALUMINUM FOLLOWING WHOLE-TREE HARVESTING AT THE HUBBARD-BROOK-EXPERIMENTAL-FOREST, NEW-HAMPSHIRE</t>
  </si>
  <si>
    <t>JOURNAL OF ENVIRONMENTAL QUALITY</t>
  </si>
  <si>
    <t>From fall, 1983, through spring, 1984, an experimental watershed at the Hubbard Brook Experimental Forest in New Hampshire was commercially whole-tree harvested. Stream chemistry was monitored along an elevational gradient for approximately 1 yr prior to and 2 yr following the treatment in both the experimental watershed and an adjacent reference watershed. Whole-tree harvesting initially resulted in a large increase in stream NO3- and basic cation (Ca2+, Mg2+, Na+, and K+) concentrations and a decrease in stream sulfate concentrations. A decrease in pH and increase in Al concentrations followed. Elevational trends in stream chemistry were qualitatively similar before and after the cut, although the absolute concentrations of solutes changed markedly. These responses are explained by increased soil nitrification coupled with decreased vegetative uptake following the whole-tree harvest. Acidity generated by nitrification facilitated the mobilization of basic cations and increased anion adsorption. When NO3- production exceeded the release of basic cations, stream pH declined and Al concentrations increased. Aluminum was released in an entirely inorganic form resulting in potentially toxic concentrations in streamwater.</t>
  </si>
  <si>
    <t>SUNY COLL PLATTSBURGH, CTR EARTH &amp; ENVIRONM SCI, PLATTSBURGH, NY 12901 USA; SYRACUSE UNIV, DEPT CIVIL ENGN, SYRACUSE, NY 13210 USA</t>
  </si>
  <si>
    <t>State University of New York (SUNY) System; SUNY Plattsburgh; Syracuse University</t>
  </si>
  <si>
    <t>LAWRENCE, GB (corresponding author), UNIV MAINE, DEPT PLANT &amp; SOIL SCI, ORONO, ME 04469 USA.</t>
  </si>
  <si>
    <t>iscoll, Charles T/F-9832-2014; Driscoll, Charles/F-9832-2014</t>
  </si>
  <si>
    <t>iscoll, Charles T/0000-0003-2692-2890;</t>
  </si>
  <si>
    <t>0047-2425</t>
  </si>
  <si>
    <t>1537-2537</t>
  </si>
  <si>
    <t>J ENVIRON QUAL</t>
  </si>
  <si>
    <t>J. Environ. Qual.</t>
  </si>
  <si>
    <t>10.2134/jeq1987.00472425001600040016x</t>
  </si>
  <si>
    <t>K9002</t>
  </si>
  <si>
    <t>WOS:A1987K900200016</t>
  </si>
  <si>
    <t>EMMONS, LH</t>
  </si>
  <si>
    <t>GEOGRAPHIC-VARIATION IN DENSITIES AND DIVERSITIES OF NON-FLYING MAMMALS IN AMAZONIA</t>
  </si>
  <si>
    <t>Non-flying mammals were surveyed by trapping and transect census at 7 localities in Peru, Ecuador and Brazil. Relative numbers of individuals of smaller species varied dramatically from site to site while those of large species tended to be quite constant. The observed pattern of variation in numbers of individuals is mirrored by species richness differences between western Amazonia and the Guiana Shield region of Brazil, suggesting that similar environmental factors may regulate both the numbers of individuals and species in a locality. Soil fertility and undergrowth density are positively correlated with the density and species richness of mammals in the locality but quantity or pattern of rainfall does not seem to account for any of the observed differences. Competition, home range size and diet are discussed as possible causes of the differential reduction in density and species richness of small, compared to large species in unfavorable habitats. Hunting has extirpated or severely reduced populations of large mammals, especially primates, at 5 of the 7 localities surveyed.</t>
  </si>
  <si>
    <t>EMMONS, LH (corresponding author), SMITHSONIAN INST, DIV MAMMALS, NHB 390, WASHINGTON, DC 20560 USA.</t>
  </si>
  <si>
    <t>10.2307/2388054</t>
  </si>
  <si>
    <t>TR492</t>
  </si>
  <si>
    <t>WOS:A1984TR49200005</t>
  </si>
  <si>
    <t>Nunez-Iturri, G (corresponding author), Univ Illinois, Dept Biol Sci, 845 W Taylor St M-C 066, Chicago, IL 60607 USA.</t>
  </si>
  <si>
    <t>Beckmen (#75)</t>
  </si>
  <si>
    <t>lopez (#52)</t>
  </si>
  <si>
    <t>ipbes (#96)</t>
  </si>
  <si>
    <t>jaure (#128)</t>
  </si>
  <si>
    <t>moullec (#37)</t>
  </si>
  <si>
    <t>urban (#109)</t>
  </si>
  <si>
    <t>DT=(Article)</t>
  </si>
  <si>
    <t>AND WC=(</t>
  </si>
  <si>
    <t>Biodiversity Conservation OR</t>
  </si>
  <si>
    <t>Ecology OR</t>
  </si>
  <si>
    <t>Environmental Sciences OR</t>
  </si>
  <si>
    <t>Environmental Studies OR</t>
  </si>
  <si>
    <t>Marine &amp; Freshwater Biology OR</t>
  </si>
  <si>
    <t>Fisheries OR</t>
  </si>
  <si>
    <t>Oceanography OR</t>
  </si>
  <si>
    <t>Forestry OR</t>
  </si>
  <si>
    <t>Water Resources OR</t>
  </si>
  <si>
    <t>Agronomy OR</t>
  </si>
  <si>
    <t>Geosciences, Multidisciplinary OR</t>
  </si>
  <si>
    <t>Meteorology &amp; Atmospheric Sciences OR</t>
  </si>
  <si>
    <t>Plant Sciences OR</t>
  </si>
  <si>
    <t>Zoology OR</t>
  </si>
  <si>
    <t>Remote Sensing OR</t>
  </si>
  <si>
    <t>)</t>
  </si>
  <si>
    <t>AND TS=(</t>
  </si>
  <si>
    <t>(</t>
  </si>
  <si>
    <t>loss* NEAR/3 (habitat* OR biodiversit* OR species OR population*</t>
  </si>
  <si>
    <t>OR "ecosystem service*" OR ecosystem* OR forest* OR coral*</t>
  </si>
  <si>
    <t>OR mangrove* OR reef* OR wetland* OR bird* OR mammal* OR plant*)</t>
  </si>
  <si>
    <t>OR</t>
  </si>
  <si>
    <t>change* OR reference*   OR indicator* OR impact* OR effect*  OR pressure* OR trend* OR response* OR status  OR pattern* OR assessment* OR monitor*  OR risk* OR driver*</t>
  </si>
  <si>
    <t>AND</t>
  </si>
  <si>
    <t>(“land use chang*” OR “land cover chang*” OR “land* system* chang*” OR “land*</t>
  </si>
  <si>
    <t>chang*” OR “land* degradation” OR “land* conversion” OR “land management”) OR</t>
  </si>
  <si>
    <t>((marine OR ocean OR sea*) AND use AND change*) OR (“habitat loss*” OR “habitat</t>
  </si>
  <si>
    <t>degradation*” OR “habitat chang*” OR “habitat conversion” OR “habitat modification*” OR</t>
  </si>
  <si>
    <t>“habitat fragmentation” OR “habitat management”) OR (biofuel* OR biogas*) OR</t>
  </si>
  <si>
    <t>((residential OR urban* OR cities OR housing OR commercial OR industrial OR touris* OR</t>
  </si>
  <si>
    <t>recreation*) AND (extent OR area OR cover* OR proportion* OR percentage*) AND</t>
  </si>
  <si>
    <t>(develop* OR expan* OR increas*)) OR (deforestation OR afforestation OR “wood</t>
  </si>
  <si>
    <t>plantation*” OR “forest* plantation*” OR “pulp* plantation*”) OR ((aquaculture* OR</t>
  </si>
  <si>
    <t>agricultur* OR crop* OR “cultivated area*” OR farmland OR pasture) AND (develop* OR</t>
  </si>
  <si>
    <t>expan* OR increas* OR intensification OR extensification OR abandon* OR chang*)) OR</t>
  </si>
  <si>
    <t>(livestock AND (farm* OR ranch* OR graz* OR densit*)) OR (energy AND (drill* OR min*</t>
  </si>
  <si>
    <t>OR quarry*)) OR (((transport* OR service) AND (network* OR corridor* OR</t>
  </si>
  <si>
    <t>infrastructure*)) OR road* OR rail* OR “ship* lane*” OR “flight path*”) OR (“system*</t>
  </si>
  <si>
    <t>modification*” OR (dams OR (water AND (management OR use))))</t>
  </si>
  <si>
    <t>((((natur* AND resource*) OR material* OR (biomass OR “fossil fuel*” OR ore* OR</t>
  </si>
  <si>
    <t>mineral*)) OR ((biological AND resource*) OR wildlife OR animal* OR plant* OR</t>
  </si>
  <si>
    <t>population*) OR water) AND ((overextraction OR overexploitation) OR (extraction OR</t>
  </si>
  <si>
    <t>exploitation OR withdraw*) OR depletion OR (hunting OR collect* OR gather* OR poaching</t>
  </si>
  <si>
    <t>OR “bush meat*”))) OR ((forest* OR wood OR timber*) AND (harvest* OR logging*)) OR</t>
  </si>
  <si>
    <t>(soil* AND (erosion OR acidification OR degradation)) OR (fisher* OR fishing OR (bycatch</t>
  </si>
  <si>
    <t>OR by-catch))</t>
  </si>
  <si>
    <t>“climat* change” OR “chang* climat*” OR (“increase* temperature*” OR “thermal</t>
  </si>
  <si>
    <t>alteration” OR “global warming”) OR (chang* AND precipitation*) OR ((extreme OR</t>
  </si>
  <si>
    <t>severe) AND (weather OR temperature OR precipitation OR climat*)) OR heatwave* OR</t>
  </si>
  <si>
    <t>drought* OR storm* OR flood* OR (UV OR ultraviolet) OR “sea level rise” OR “soil</t>
  </si>
  <si>
    <t>salinization” OR (“habitat shift*” AND climate) OR (“habitat alteration” AND climate) OR</t>
  </si>
  <si>
    <t>((consumptive OR human OR agricultural) AND “water stress”)</t>
  </si>
  <si>
    <t>(pollut* OR contamin* OR emission* OR spill-over* OR disposal* OR deposition* OR</t>
  </si>
  <si>
    <t>load* OR dump* OR discharge*) OR ((noise OR light OR gas* OR particle* OR particulate*</t>
  </si>
  <si>
    <t>OR nitrogen OR sulphur* OR phosphor* OR waste* OR garbage OR sewage OR pesticide*</t>
  </si>
  <si>
    <t>OR fertilizer* OR nutrient* OR “oil spill*” OR metal OR salinization OR salinisation OR</t>
  </si>
  <si>
    <t>acidification OR solid OR plastic OR mercury OR nutrient* OR pollutant*) AND (soil OR</t>
  </si>
  <si>
    <t>water OR ocean OR marine OR atmosphere OR air)) OR ((industrial OR military OR</t>
  </si>
  <si>
    <t>agricultur* OR forest*) AND effluent*)</t>
  </si>
  <si>
    <t>((invasive OR invasion) AND (alien OR exotic OR non-native OR pest* OR disease) AND</t>
  </si>
  <si>
    <t>species) OR “biological invasion*” OR (introduc* AND (species OR material))</t>
  </si>
  <si>
    <t>AND (</t>
  </si>
  <si>
    <t>DO = (</t>
  </si>
  <si>
    <t>10.1007/978-90-481-2795-5_16 OR</t>
  </si>
  <si>
    <t>10.1007/s00374-009-0370-2 OR</t>
  </si>
  <si>
    <t>10.1007/s00442-013-2722-8 OR</t>
  </si>
  <si>
    <t>10.1007/s10310-011-0316-z OR</t>
  </si>
  <si>
    <t>10.1007/s10342-007-0173-7 OR</t>
  </si>
  <si>
    <t>10.1007/s10457-012-9566-9 OR</t>
  </si>
  <si>
    <t>10.1007/s10457-013-9595-z OR</t>
  </si>
  <si>
    <t>10.1007/s10531-006-9146-2 OR</t>
  </si>
  <si>
    <t>10.1007/s10531-007-9267-2 OR</t>
  </si>
  <si>
    <t>10.1007/s10531-007-9276-1 OR</t>
  </si>
  <si>
    <t>10.1007/s10841-006-9065-2 OR</t>
  </si>
  <si>
    <t>10.1007/s11258-008-9490-2 OR</t>
  </si>
  <si>
    <t>10.1007/s11258-012-0100-y OR</t>
  </si>
  <si>
    <t>10.1007/s11284-007-0423-7 OR</t>
  </si>
  <si>
    <t>10.1007/s12224-010-9062-9 OR</t>
  </si>
  <si>
    <t>10.1007/s13593-011-0008-2 OR</t>
  </si>
  <si>
    <t>10.1007/s13595-013-0323-7 OR</t>
  </si>
  <si>
    <t>10.1007/s40333-013-0202-y OR</t>
  </si>
  <si>
    <t>10.1016/j.agee.2003.09.014 OR</t>
  </si>
  <si>
    <t>10.1016/j.agee.2006.05.028 OR</t>
  </si>
  <si>
    <t>10.1016/j.agee.2008.01.005 OR</t>
  </si>
  <si>
    <t>10.1016/j.agee.2009.02.005 OR</t>
  </si>
  <si>
    <t>10.1016/j.agee.2010.09.018 OR</t>
  </si>
  <si>
    <t>10.1016/j.agee.2011.06.009 OR</t>
  </si>
  <si>
    <t>10.1016/j.baae.2008.10.004 OR</t>
  </si>
  <si>
    <t>10.1016/j.baae.2009.09.001 OR</t>
  </si>
  <si>
    <t>10.1016/j.baae.2013.06.001 OR</t>
  </si>
  <si>
    <t>10.1016/j.biocon.2003.12.007 OR</t>
  </si>
  <si>
    <t>10.1016/j.biocon.2010.08.011 OR</t>
  </si>
  <si>
    <t>10.1016/j.cropro.2010.05.001 OR</t>
  </si>
  <si>
    <t>10.1016/j.cropro.2011.09.016 OR</t>
  </si>
  <si>
    <t>10.1016/j.foreco.2006.03.034 OR</t>
  </si>
  <si>
    <t>10.1016/j.foreco.2006.12.019 OR</t>
  </si>
  <si>
    <t>10.1016/j.foreco.2007.08.005 OR</t>
  </si>
  <si>
    <t>10.1016/j.foreco.2008.01.069 OR</t>
  </si>
  <si>
    <t>10.1016/j.foreco.2010.01.028 OR</t>
  </si>
  <si>
    <t>10.1016/j.foreco.2011.02.012 OR</t>
  </si>
  <si>
    <t>10.1016/j.foreco.2011.08.014 OR</t>
  </si>
  <si>
    <t>10.1016/j.foreco.2011.08.032 OR</t>
  </si>
  <si>
    <t>10.1016/j.foreco.2012.04.021 OR</t>
  </si>
  <si>
    <t>10.1016/j.foreco.2012.05.027 OR</t>
  </si>
  <si>
    <t>10.1016/j.foreco.2013.03.018 OR</t>
  </si>
  <si>
    <t>10.1016/j.soilbio.2005.12.019 OR</t>
  </si>
  <si>
    <t>10.1016/S0006-3207(01)00079-9 OR</t>
  </si>
  <si>
    <t>10.1016/S0006-3207(02)00097-6 OR</t>
  </si>
  <si>
    <t>10.1016/S0038-0717(99)00089-9 OR</t>
  </si>
  <si>
    <t>10.1016/S0167-1987(99)00017-3 OR</t>
  </si>
  <si>
    <t>10.1016/S0167-8809(00)00158-4 OR</t>
  </si>
  <si>
    <t>10.1016/S0167-8809(02)00204-9 OR</t>
  </si>
  <si>
    <t>10.1016/S0378-1127(00)00463-1 OR</t>
  </si>
  <si>
    <t>10.1016/S0378-1127(01)00758-7 OR</t>
  </si>
  <si>
    <t>10.1016/S0378-1127(01)00775-7 OR</t>
  </si>
  <si>
    <t>10.1016/S0378-1127(02)00331-6 OR</t>
  </si>
  <si>
    <t>10.1016/S0378-1127(03)00012-4 OR</t>
  </si>
  <si>
    <t>10.1016/S0378-1127(03)00333-5 OR</t>
  </si>
  <si>
    <t>10.1016/S0378-1127(97)00052-2 OR</t>
  </si>
  <si>
    <t>10.1016/S0378-1127(98)00256-4 OR</t>
  </si>
  <si>
    <t>10.1017/S1742170511000111 OR</t>
  </si>
  <si>
    <t>10.1023/A:1008949407385 OR</t>
  </si>
  <si>
    <t>10.1023/A:1014812701423 OR</t>
  </si>
  <si>
    <t>10.1023/A:1023603813163 OR</t>
  </si>
  <si>
    <t>10.1038/nature13014 OR</t>
  </si>
  <si>
    <t>10.1046/j.1365-2664.2000.00566.x OR</t>
  </si>
  <si>
    <t>10.1046/j.1365-2664.2003.00794.x OR</t>
  </si>
  <si>
    <t>10.1051/forest:2006087 OR</t>
  </si>
  <si>
    <t>10.1071/RJ05012 OR</t>
  </si>
  <si>
    <t>10.1073/pnas.1210590110 OR</t>
  </si>
  <si>
    <t>10.1080/00288233.2011.558904 OR</t>
  </si>
  <si>
    <t>10.1080/12538078.1996.10515741 OR</t>
  </si>
  <si>
    <t>10.1098/rstb.2012.0302 OR</t>
  </si>
  <si>
    <t>10.1111/1365-2664.12035 OR</t>
  </si>
  <si>
    <t>10.1111/avsc.12001 OR</t>
  </si>
  <si>
    <t>10.1111/j.0021-8901.2004.00960.x OR</t>
  </si>
  <si>
    <t>10.1111/j.1365-2028.2009.01084.x OR</t>
  </si>
  <si>
    <t>10.1111/j.1365-2494.2009.00709.x OR</t>
  </si>
  <si>
    <t>10.1111/j.1365-2494.2009.00713.x OR</t>
  </si>
  <si>
    <t>10.1111/j.1365-2664.2012.02144.x OR</t>
  </si>
  <si>
    <t>10.1111/j.1445-6664.2011.00430.x OR</t>
  </si>
  <si>
    <t>10.1111/j.1523-1739.2004.00199.x OR</t>
  </si>
  <si>
    <t>10.1111/j.1523-1739.2005.00170.x OR</t>
  </si>
  <si>
    <t>10.1111/j.1523-1739.2012.01904.x OR</t>
  </si>
  <si>
    <t>10.1139/X05-133 OR</t>
  </si>
  <si>
    <t>10.1139/X05-200 OR</t>
  </si>
  <si>
    <t>10.1139/X05-208 OR</t>
  </si>
  <si>
    <t>10.1371/journal.pone.0051520 OR</t>
  </si>
  <si>
    <t>10.1371/journal.pone.0054818 OR</t>
  </si>
  <si>
    <t>10.1371/journal.pone.0055461 OR</t>
  </si>
  <si>
    <t>10.15666/aeer/1101_123136 OR</t>
  </si>
  <si>
    <t>10.1614/0043-1745(2002)050[0196:LTEOHA]2.0.CO;2 OR</t>
  </si>
  <si>
    <t>10.1658/1100-9233(2007)18[625:FEOFEO]2.0.CO;2 OR</t>
  </si>
  <si>
    <t>10.1890/10-0715.1 OR</t>
  </si>
  <si>
    <t>10.1890/1051-0761(2001)011[1151:SSASMI]2.0.CO;2 OR</t>
  </si>
  <si>
    <t>10.1890/1051-0761(2002)012[0820:EOTHOF]2.0.CO;2 OR</t>
  </si>
  <si>
    <t>10.1890/11-1362.1 OR</t>
  </si>
  <si>
    <t>10.1894/CLG-10.1 OR</t>
  </si>
  <si>
    <t>10.2307/2269357 OR</t>
  </si>
  <si>
    <t>10.2307/2404595 OR</t>
  </si>
  <si>
    <t>10.2307/3495900 OR</t>
  </si>
  <si>
    <t>10.2307/3802425 OR</t>
  </si>
  <si>
    <t>10.3832/ifor0470-0010145 OR</t>
  </si>
  <si>
    <t>10.1046/j.1523-1739.2003.01413.x OR</t>
  </si>
  <si>
    <t>10.15517/rbt.v56i3.5727 OR</t>
  </si>
  <si>
    <t>10.1371/journal.pbio.0050111 OR</t>
  </si>
  <si>
    <t>10.1111/j.1365-2028.2007.00881.x OR</t>
  </si>
  <si>
    <t>10.1023/A:1020305903156 OR</t>
  </si>
  <si>
    <t>10.1016/j.biocon.2009.02.032 OR</t>
  </si>
  <si>
    <t>10.1371/journal.pone.0010294 OR</t>
  </si>
  <si>
    <t>10.1016/j.biocon.2005.06.024 OR</t>
  </si>
  <si>
    <t>10.22386/ca.v4i2.78 OR</t>
  </si>
  <si>
    <t>10.1111/j.1469-1795.2011.00437.x OR</t>
  </si>
  <si>
    <t>10.1111/j.1365-2028.1991.tb00820.x OR</t>
  </si>
  <si>
    <t>10.1017/S0030605300030106 OR</t>
  </si>
  <si>
    <t>10.1111/acv.12012 OR</t>
  </si>
  <si>
    <t>10.1111/j.0141-6707.2004.00441.x OR</t>
  </si>
  <si>
    <t>10.1017/S0030605305001080 OR</t>
  </si>
  <si>
    <t>10.1016/S0006-3207(01)00182-3 OR</t>
  </si>
  <si>
    <t>10.1046/j.1523-1739.2000.99103.x OR</t>
  </si>
  <si>
    <t>10.1016/S0006-3207(98)00130-X OR</t>
  </si>
  <si>
    <t>10.2981/wlb.00095 OR</t>
  </si>
  <si>
    <t>10.1098/rspb.2013.0246 OR</t>
  </si>
  <si>
    <t>10.1111/j.1600-0587.2013.00359.x OR</t>
  </si>
  <si>
    <t>10.2307/2388054 OR</t>
  </si>
  <si>
    <t>10.1111/j.1744-7429.2009.00546.x OR</t>
  </si>
  <si>
    <t>10.1111/j.1365-2028.1991.tb01000.x OR</t>
  </si>
  <si>
    <t>10.1017/S0266467400005022 OR</t>
  </si>
  <si>
    <t>10.1111/j.1365-2028.1997.088-89088.x OR</t>
  </si>
  <si>
    <t>10.1023/A:1020375430965 OR</t>
  </si>
  <si>
    <t>10.3957/056.039.0108 OR</t>
  </si>
  <si>
    <t>10.1017/S0030605315000836 OR</t>
  </si>
  <si>
    <t>10.1111/j.1365-2028.2010.01239.x OR</t>
  </si>
  <si>
    <t>10.1046/j.1523-1739.1997.96048.x OR</t>
  </si>
  <si>
    <t>10.1016/S0006-3207(03)00167-8 OR</t>
  </si>
  <si>
    <t>10.14989/68121 OR</t>
  </si>
  <si>
    <t>10.1111/1365-2664.12798 OR</t>
  </si>
  <si>
    <t>10.1177/194008291400700209 OR</t>
  </si>
  <si>
    <t>10.1007/s10764-008-9254-9 OR</t>
  </si>
  <si>
    <t>10.1002/ajp.22243 OR</t>
  </si>
  <si>
    <t>10.1017/S0266467498000443 OR</t>
  </si>
  <si>
    <t>10.1111/j.1523-1739.2006.00420.x OR</t>
  </si>
  <si>
    <t>10.1007/BF03195197 OR</t>
  </si>
  <si>
    <t>10.1111/j.1365-2028.2006.00629.x OR</t>
  </si>
  <si>
    <t>10.1007/s10531-008-9481-6 OR</t>
  </si>
  <si>
    <t>10.1007/s10764-005-0011-z OR</t>
  </si>
  <si>
    <t>10.1016/j.biocon.2005.11.025 OR</t>
  </si>
  <si>
    <t>10.2307/1370441 OR</t>
  </si>
  <si>
    <t>10.1046/j.1523-1739.1999.013002385.x OR</t>
  </si>
  <si>
    <t>10.1016/j.biocon.2005.10.017 OR</t>
  </si>
  <si>
    <t>10.1111/j.1523-1739.2009.01224.x OR</t>
  </si>
  <si>
    <t>10.1007/s10531-005-5406-9 OR</t>
  </si>
  <si>
    <t>10.1016/0006-3207(90)90041-M OR</t>
  </si>
  <si>
    <t>10.1016/0006-3207(96)00010-9 OR</t>
  </si>
  <si>
    <t>10.1890/10-1083.1 OR</t>
  </si>
  <si>
    <t>10.1017/S0030605300030908 OR</t>
  </si>
  <si>
    <t>10.1111/j.1365-2028.2010.01229.x OR</t>
  </si>
  <si>
    <t>10.1896/044.020.0105 OR</t>
  </si>
  <si>
    <t>10.1016/j.biocon.2011.09.017 OR</t>
  </si>
  <si>
    <t>10.1111/j.1469-1795.2012.00592.x OR</t>
  </si>
  <si>
    <t>10.1007/s10531-004-8412-4 OR</t>
  </si>
  <si>
    <t>10.1017/S0030605305000384 OR</t>
  </si>
  <si>
    <t>10.1177/194008290900200108 OR</t>
  </si>
  <si>
    <t>10.1111/j.1469-1795.2010.00426.x OR</t>
  </si>
  <si>
    <t>10.1007/s10531-007-9300-5 OR</t>
  </si>
  <si>
    <t>10.1111/j.1744-7429.2007.00275.x OR</t>
  </si>
  <si>
    <t>10.1046/j.1523-1739.2000.98333.x OR</t>
  </si>
  <si>
    <t>10.1016/j.biocon.2010.10.023 OR</t>
  </si>
  <si>
    <t>10.1016/j.biocon.2008.03.020 OR</t>
  </si>
  <si>
    <t>10.1111/j.1744-7429.2007.00276.x OR</t>
  </si>
  <si>
    <t>10.1016/j.jaridenv.2012.11.004 OR</t>
  </si>
  <si>
    <t>10.1007/s10531-005-6198-7 OR</t>
  </si>
  <si>
    <t>10.2307/2388723 OR</t>
  </si>
  <si>
    <t>10.1016/S0006-3207(00)00011-2 OR</t>
  </si>
  <si>
    <t>10.1111/j.1469-7998.2011.00826.x OR</t>
  </si>
  <si>
    <t>10.1175/BAMS-D-17-0116.1 OR</t>
  </si>
  <si>
    <t>10.1088/1748-9326/10/9/094015 OR</t>
  </si>
  <si>
    <t>10.1126/sciadv.1500052 OR</t>
  </si>
  <si>
    <t>10.1016/j.scitotenv.2013.05.057 OR</t>
  </si>
  <si>
    <t>10.1016/j.jclepro.2015.06.100 OR</t>
  </si>
  <si>
    <t>10.1023/A:1013806223310 OR</t>
  </si>
  <si>
    <t>10.1073/pnas.1621517114 OR</t>
  </si>
  <si>
    <t>10.1126/science.1180568 OR</t>
  </si>
  <si>
    <t>10.1641/0006-3568(2002)052[0143:PCAUDF]2.0.CO;2 OR</t>
  </si>
  <si>
    <t>10.1162/REST_a_00438 OR</t>
  </si>
  <si>
    <t>10.1016/S2095-6339(15)30021-6 OR</t>
  </si>
  <si>
    <t>10.1111/j.1728-4457.2013.00561.x OR</t>
  </si>
  <si>
    <t>10.1111/j.1757-1707.2012.01172.x OR</t>
  </si>
  <si>
    <t>10.1126/science.1192321 OR</t>
  </si>
  <si>
    <t>10.1073/pnas.1716222114 OR</t>
  </si>
  <si>
    <t>10.1126/sciadv.1600821 OR</t>
  </si>
  <si>
    <t>10.5670/oceanog.2015.29 OR</t>
  </si>
  <si>
    <t>10.1038/NCLIMATE2492 OR</t>
  </si>
  <si>
    <t>10.1016/j.rse.2012.05.019 OR</t>
  </si>
  <si>
    <t>10.1016/j.pce.2007.07.033 OR</t>
  </si>
  <si>
    <t>10.1038/s41559-017-0186 OR</t>
  </si>
  <si>
    <t>10.5670/oceanog.2016.36 OR</t>
  </si>
  <si>
    <t>10.1023/B:NHAZ.0000020259.58716.0d OR</t>
  </si>
  <si>
    <t>10.1038/NCLIMATE1597 OR</t>
  </si>
  <si>
    <t>10.1016/j.ecolind.2011.04.023 OR</t>
  </si>
  <si>
    <t>10.1023/A:1025548518991 OR</t>
  </si>
  <si>
    <t>10.1016/j.marpolbul.2015.10.042 OR</t>
  </si>
  <si>
    <t>10.1016/j.scitotenv.2014.06.081 OR</t>
  </si>
  <si>
    <t>10.1007/s11625-008-0042-4 OR</t>
  </si>
  <si>
    <t>10.1126/science.1149345 OR</t>
  </si>
  <si>
    <t>10.1016/j.gloplacha.2006.04.001 OR</t>
  </si>
  <si>
    <t>10.1675/1524-4695(2002)025[0173:GCCASL]2.0.CO;2 OR</t>
  </si>
  <si>
    <t>10.1641/0006-3568(2001)051[0180:ADITNU]2.0.CO;2 OR</t>
  </si>
  <si>
    <t>10.1016/j.scitotenv.2017.05.039 OR</t>
  </si>
  <si>
    <t>10.1007/s10336-015-1155-z OR</t>
  </si>
  <si>
    <t>10.1016/j.dsr2.2010.02.018 OR</t>
  </si>
  <si>
    <t>10.1126/sciadv.1700782 OR</t>
  </si>
  <si>
    <t>10.1126/science.aaa8913 OR</t>
  </si>
  <si>
    <t>10.1016/j.aquatox.2010.05.019 OR</t>
  </si>
  <si>
    <t>10.1002/joc.1276 OR</t>
  </si>
  <si>
    <t>10.1073/pnas.1719429115 OR</t>
  </si>
  <si>
    <t>10.1175/BAMS-D-16-0009.1 OR</t>
  </si>
  <si>
    <t>10.1038/srep38402 OR</t>
  </si>
  <si>
    <t>10.1016/j.ocecoaman.2015.05.021 OR</t>
  </si>
  <si>
    <t>10.1371/journal.pone.0014327 OR</t>
  </si>
  <si>
    <t>10.1073/pnas.0910275107 OR</t>
  </si>
  <si>
    <t>10.1126/science.1173146 OR</t>
  </si>
  <si>
    <t>10.1038/ncomms15611 OR</t>
  </si>
  <si>
    <t>10.1038/ncomms14435 OR</t>
  </si>
  <si>
    <t>10.1371/journal.pone.0111913 OR</t>
  </si>
  <si>
    <t>10.1016/j.jaridenv.2004.03.022 OR</t>
  </si>
  <si>
    <t>10.1111/brv.12207 OR</t>
  </si>
  <si>
    <t>10.1073/pnas.1504345112 OR</t>
  </si>
  <si>
    <t>10.1016/j.amepre.2008.08.021 OR</t>
  </si>
  <si>
    <t>10.1007/s10021-008-9146-z OR</t>
  </si>
  <si>
    <t>10.1016/j.gloenvcha.2004.04.008 OR</t>
  </si>
  <si>
    <t>10.1002/2017GL075888 OR</t>
  </si>
  <si>
    <t>10.1007/s11270-014-2186-4 OR</t>
  </si>
  <si>
    <t>10.3389/fmars.2014.00004 OR</t>
  </si>
  <si>
    <t>10.1289/ehp.0901623 OR</t>
  </si>
  <si>
    <t>10.1016/S0147-6513(03)00141-6 OR</t>
  </si>
  <si>
    <t>10.1038/416808a OR</t>
  </si>
  <si>
    <t>10.1371/journal.pone.0127533 OR</t>
  </si>
  <si>
    <t>10.1021/es500371t OR</t>
  </si>
  <si>
    <t>10.1525/bio.2010.60.11.5 OR</t>
  </si>
  <si>
    <t>10.1073/pnas.0914471107 OR</t>
  </si>
  <si>
    <t>10.1098/rsta.2006.1816 OR</t>
  </si>
  <si>
    <t>10.1126/science.1097329 OR</t>
  </si>
  <si>
    <t>10.1126/science.1260352 OR</t>
  </si>
  <si>
    <t>10.1073/pnas.1321082111 OR</t>
  </si>
  <si>
    <t>10.1016/j.apgeog.2008.10.004 OR</t>
  </si>
  <si>
    <t>10.1038/nature06949 OR</t>
  </si>
  <si>
    <t>10.1016/j.biocon.2015.10.023 OR</t>
  </si>
  <si>
    <t>10.1038/NGEO1057 OR</t>
  </si>
  <si>
    <t>10.1021/es062147h OR</t>
  </si>
  <si>
    <t>10.1111/fwb.12864 OR</t>
  </si>
  <si>
    <t>10.1126/sciadv.1501923 OR</t>
  </si>
  <si>
    <t>10.1038/ncomms8615 OR</t>
  </si>
  <si>
    <t>10.1038/nature08649 OR</t>
  </si>
  <si>
    <t>10.1890/03-0564 OR</t>
  </si>
  <si>
    <t>10.1016/j.gloenvcha.2015.08.011 OR</t>
  </si>
  <si>
    <t>10.1038/srep14340 OR</t>
  </si>
  <si>
    <t>10.1073/pnas.1500232112 OR</t>
  </si>
  <si>
    <t>10.1088/1748-9326/7/4/044009 OR</t>
  </si>
  <si>
    <t>10.1016/j.gloenvcha.2011.10.009 OR</t>
  </si>
  <si>
    <t>10.1073/pnas.1111374109 OR</t>
  </si>
  <si>
    <t>10.1016/j.ecss.2016.01.036 OR</t>
  </si>
  <si>
    <t>10.1038/nature15725 OR</t>
  </si>
  <si>
    <t>10.1038/nature15371 OR</t>
  </si>
  <si>
    <t>10.1016/j.gloenvcha.2013.09.008 OR</t>
  </si>
  <si>
    <t>10.1371/journal.pone.0062374 OR</t>
  </si>
  <si>
    <t>10.1088/1748-9326/8/1/014003 OR</t>
  </si>
  <si>
    <t>10.1002/wcc.160 OR</t>
  </si>
  <si>
    <t>10.1088/1748-9326/6/4/045201 OR</t>
  </si>
  <si>
    <t>10.1098/rstb.2008.0205 OR</t>
  </si>
  <si>
    <t>10.1016/j.envint.2006.05.002 OR</t>
  </si>
  <si>
    <t>10.1126/science.1071828 OR</t>
  </si>
  <si>
    <t>10.1016/S0308-521X(00)00031-7 OR</t>
  </si>
  <si>
    <t>10.1016/j.foodpol.2010.11.015 OR</t>
  </si>
  <si>
    <t>10.1073/pnas.0609568104 OR</t>
  </si>
  <si>
    <t>10.2134/jeq1987.00472425001600040016x OR</t>
  </si>
  <si>
    <t>10.1038/sdata.2016.67 OR</t>
  </si>
  <si>
    <t>10.1098/rsbl.2016.0774 OR</t>
  </si>
  <si>
    <t>10.1126/sciadv.1500965 OR</t>
  </si>
  <si>
    <t>10.1002/2015WR017349 OR</t>
  </si>
  <si>
    <t>10.1126/science.1187512 OR</t>
  </si>
  <si>
    <t>10.1038/ngeo838 OR</t>
  </si>
  <si>
    <t>10.1038/nature01359 OR</t>
  </si>
  <si>
    <t>10.1038/NCLIMATE1981 OR</t>
  </si>
  <si>
    <t>10.1073/pnas.1305618110 OR</t>
  </si>
  <si>
    <t>10.1038/44114 OR</t>
  </si>
  <si>
    <t>10.1162/jiec.2006.10.4.133 OR</t>
  </si>
  <si>
    <t>10.1016/j.landusepol.2014.12.005 OR</t>
  </si>
  <si>
    <t>10.1038/ncomms12485 OR</t>
  </si>
  <si>
    <t>10.3390/su7022086 OR</t>
  </si>
  <si>
    <t>10.1073/pnas.1222475110 OR</t>
  </si>
  <si>
    <t>10.1073/pnas.1211349110 OR</t>
  </si>
  <si>
    <t>10.1073/pnas.1100480108 OR</t>
  </si>
  <si>
    <t>10.1046/j.1365-2699.1999.00123.x OR</t>
  </si>
  <si>
    <t>10.5343/bms.2017.1061 OR</t>
  </si>
  <si>
    <t>10.5194/bg-14-2387-2017 OR</t>
  </si>
  <si>
    <t>10.3390/rs9060525 OR</t>
  </si>
  <si>
    <t>10.3390/rs5084125 OR</t>
  </si>
  <si>
    <t>10.3390/f7120305 OR</t>
  </si>
  <si>
    <t>10.3354/meps12462 OR</t>
  </si>
  <si>
    <t>10.3354/meps12221 OR</t>
  </si>
  <si>
    <t>10.3354/meps08592 OR</t>
  </si>
  <si>
    <t>10.1890/07-1254.1 OR</t>
  </si>
  <si>
    <t>10.15517/rbt.v62i0.15922 OR</t>
  </si>
  <si>
    <t>10.1371/journal.pone.0135152 OR</t>
  </si>
  <si>
    <t>10.1371/journal.pone.0120198 OR</t>
  </si>
  <si>
    <t>10.1371/journal.pone.0113934 OR</t>
  </si>
  <si>
    <t>10.1371/journal.pone.0081292 OR</t>
  </si>
  <si>
    <t>10.1371/journal.pone.0039825 OR</t>
  </si>
  <si>
    <t>10.1371/journal.pone.0027785 OR</t>
  </si>
  <si>
    <t>10.1371/journal.pone.0010095 OR</t>
  </si>
  <si>
    <t>10.1371/journal.pone.0003039 OR</t>
  </si>
  <si>
    <t>10.1186/1746-4269-2-24 OR</t>
  </si>
  <si>
    <t>10.1177/1940082918769460 OR</t>
  </si>
  <si>
    <t>10.1111/jvs.12579 OR</t>
  </si>
  <si>
    <t>10.1111/jvs.12423 OR</t>
  </si>
  <si>
    <t>10.1111/jofo.12204 OR</t>
  </si>
  <si>
    <t>10.1111/jbi.12808 OR</t>
  </si>
  <si>
    <t>10.1111/jbi.12105 OR</t>
  </si>
  <si>
    <t>10.1111/j.1600-0706.2012.20696.x OR</t>
  </si>
  <si>
    <t>10.1111/j.1600-0706.2012.19858.x OR</t>
  </si>
  <si>
    <t>10.1111/j.1472-4642.2009.00633.x OR</t>
  </si>
  <si>
    <t>10.1111/j.1469-1795.2010.00369.x OR</t>
  </si>
  <si>
    <t>10.1111/j.1466-8238.2010.00575.x OR</t>
  </si>
  <si>
    <t>10.1111/j.1442-9993.2009.01979.x OR</t>
  </si>
  <si>
    <t>10.1111/j.1365-2745.2006.01140.x OR</t>
  </si>
  <si>
    <t>10.1111/j.1365-2486.2012.02662.x OR</t>
  </si>
  <si>
    <t>10.1111/j.1365-2486.2011.02540.x OR</t>
  </si>
  <si>
    <t>10.1111/gfs.12073 OR</t>
  </si>
  <si>
    <t>10.1111/geb.12690 OR</t>
  </si>
  <si>
    <t>10.1111/gcb.13714 OR</t>
  </si>
  <si>
    <t>10.1111/gcb.13091 OR</t>
  </si>
  <si>
    <t>10.1111/gcb.12993 OR</t>
  </si>
  <si>
    <t>10.1111/gcb.12795 OR</t>
  </si>
  <si>
    <t>10.1111/gcb.12588 OR</t>
  </si>
  <si>
    <t>10.1111/fwb.12929 OR</t>
  </si>
  <si>
    <t>10.1111/fwb.12380 OR</t>
  </si>
  <si>
    <t>10.1111/fwb.12353 OR</t>
  </si>
  <si>
    <t>10.1111/fog.12246 OR</t>
  </si>
  <si>
    <t>10.1111/ddi.12693 OR</t>
  </si>
  <si>
    <t>10.1111/conl.12258 OR</t>
  </si>
  <si>
    <t>10.1111/cobi.12576 OR</t>
  </si>
  <si>
    <t>10.1111/1365-2664.13137 OR</t>
  </si>
  <si>
    <t>10.1098/rstb.2011.0116 OR</t>
  </si>
  <si>
    <t>10.1098/rspb.2009.1020 OR</t>
  </si>
  <si>
    <t>10.1093/icesjms/fst222 OR</t>
  </si>
  <si>
    <t>10.1093/icesjms/fss072 OR</t>
  </si>
  <si>
    <t>10.1093/icb/icq072 OR</t>
  </si>
  <si>
    <t>10.1088/1748-9326/aacd1c OR</t>
  </si>
  <si>
    <t>10.1088/1748-9326/aac331 OR</t>
  </si>
  <si>
    <t>10.1088/1748-9326/8/2/024034 OR</t>
  </si>
  <si>
    <t>10.1080/14634980701350686 OR</t>
  </si>
  <si>
    <t>10.1080/02705060.2017.1319431 OR</t>
  </si>
  <si>
    <t>10.1073/pnas.1711122115 OR</t>
  </si>
  <si>
    <t>10.1071/MU10009 OR</t>
  </si>
  <si>
    <t>10.1046/j.1365-2486.2002.00482.x OR</t>
  </si>
  <si>
    <t>10.1038/s41467-017-01997-0 OR</t>
  </si>
  <si>
    <t>10.1038/nature25139 OR</t>
  </si>
  <si>
    <t>10.1029/95JD02138 OR</t>
  </si>
  <si>
    <t>10.1029/2011JG001930 OR</t>
  </si>
  <si>
    <t>10.1029/2010GB003838 OR</t>
  </si>
  <si>
    <t>10.1023/A:1024147529295 OR</t>
  </si>
  <si>
    <t>10.1023/A:1011185409347 OR</t>
  </si>
  <si>
    <t>10.1021/acs.est.6b05296 OR</t>
  </si>
  <si>
    <t>10.1017/S0959270912000020 OR</t>
  </si>
  <si>
    <t>10.1017/S0959270908000439 OR</t>
  </si>
  <si>
    <t>10.1017/S0266467404001683 OR</t>
  </si>
  <si>
    <t>10.1017/S0030605311000937 OR</t>
  </si>
  <si>
    <t>10.1017/S0030605307001883 OR</t>
  </si>
  <si>
    <t>10.1016/S0006-3207(03)00051-X OR</t>
  </si>
  <si>
    <t>10.1016/j.scitotenv.2017.02.210 OR</t>
  </si>
  <si>
    <t>10.1016/j.scitotenv.2016.03.055 OR</t>
  </si>
  <si>
    <t>10.1016/j.scitotenv.2013.10.128 OR</t>
  </si>
  <si>
    <t>10.1016/j.rsma.2016.09.001 OR</t>
  </si>
  <si>
    <t>10.1016/j.rsma.2015.06.001 OR</t>
  </si>
  <si>
    <t>10.1016/j.rama.2018.02.008 OR</t>
  </si>
  <si>
    <t>10.1016/j.orggeochem.2016.06.001 OR</t>
  </si>
  <si>
    <t>10.1016/j.marpolbul.2018.04.065 OR</t>
  </si>
  <si>
    <t>10.1016/j.marpolbul.2017.06.054 OR</t>
  </si>
  <si>
    <t>10.1016/j.marenvres.2018.05.008 OR</t>
  </si>
  <si>
    <t>10.1016/j.landusepol.2017.09.045 OR</t>
  </si>
  <si>
    <t>10.1016/j.jglr.2015.11.006 OR</t>
  </si>
  <si>
    <t>10.1016/j.jglr.2012.09.022 OR</t>
  </si>
  <si>
    <t>10.1016/j.jenvman.2014.01.020 OR</t>
  </si>
  <si>
    <t>10.1016/j.jclepro.2012.06.016 OR</t>
  </si>
  <si>
    <t>10.1016/j.gloplacha.2014.07.007 OR</t>
  </si>
  <si>
    <t>10.1016/j.gloplacha.2013.06.007 OR</t>
  </si>
  <si>
    <t>10.1016/j.foreco.2018.04.012 OR</t>
  </si>
  <si>
    <t>10.1016/j.foreco.2013.10.039 OR</t>
  </si>
  <si>
    <t>10.1016/j.foreco.2009.07.013 OR</t>
  </si>
  <si>
    <t>10.1016/j.flora.2015.09.013 OR</t>
  </si>
  <si>
    <t>10.1016/j.fishres.2017.10.012 OR</t>
  </si>
  <si>
    <t>10.1016/j.fishres.2016.01.005 OR</t>
  </si>
  <si>
    <t>10.1016/j.fishres.2014.12.016 OR</t>
  </si>
  <si>
    <t>10.1016/j.envres.2015.09.002 OR</t>
  </si>
  <si>
    <t>10.1016/j.ecss.2006.08.018 OR</t>
  </si>
  <si>
    <t>10.1016/j.ecolmodel.2013.11.004 OR</t>
  </si>
  <si>
    <t>10.1016/j.ecolmodel.2011.03.042 OR</t>
  </si>
  <si>
    <t>10.1016/j.ecolind.2018.03.004 OR</t>
  </si>
  <si>
    <t>10.1016/j.catena.2016.11.014 OR</t>
  </si>
  <si>
    <t>10.1016/j.biocon.2017.08.032 OR</t>
  </si>
  <si>
    <t>10.1016/j.biocon.2016.05.031 OR</t>
  </si>
  <si>
    <t>10.1016/j.biocon.2016.04.013 OR</t>
  </si>
  <si>
    <t>10.1016/j.biocon.2013.07.012 OR</t>
  </si>
  <si>
    <t>10.1016/j.biocon.2012.01.062 OR</t>
  </si>
  <si>
    <t>10.1016/j.biocon.2008.04.024 OR</t>
  </si>
  <si>
    <t>10.1016/j.apgeog.2018.03.006 OR</t>
  </si>
  <si>
    <t>10.1016/j.agrformet.2014.01.002 OR</t>
  </si>
  <si>
    <t>10.1016/j.agrformet.2012.07.007 OR</t>
  </si>
  <si>
    <t>10.1016/j.agee.2005.10.019 OR</t>
  </si>
  <si>
    <t>10.1016/j.actao.2013.12.006 OR</t>
  </si>
  <si>
    <t>10.1016/B978-012088449-0.50007-8 OR</t>
  </si>
  <si>
    <t>10.1016/B978-0-12-385140-6.00064-5 OR</t>
  </si>
  <si>
    <t>10.1007/s40333-013-0181-z OR</t>
  </si>
  <si>
    <t>10.1007/s12665-013-2547-0 OR</t>
  </si>
  <si>
    <t>10.1007/s12665-011-1046-4 OR</t>
  </si>
  <si>
    <t>10.1007/s12237-012-9506-y OR</t>
  </si>
  <si>
    <t>10.1007/s11707-012-0335-x OR</t>
  </si>
  <si>
    <t>10.1007/s11270-014-1925-x OR</t>
  </si>
  <si>
    <t>10.1007/s10584-015-1448-5 OR</t>
  </si>
  <si>
    <t>10.1007/s10531-016-1172-0 OR</t>
  </si>
  <si>
    <t>10.1007/s10531-016-1141-7 OR</t>
  </si>
  <si>
    <t>10.1007/s10531-015-1036-z OR</t>
  </si>
  <si>
    <t>10.1007/s10530-007-9138-5 OR</t>
  </si>
  <si>
    <t>10.1007/s00442-006-0655-1 OR</t>
  </si>
  <si>
    <t>10.1002/wene.41 OR</t>
  </si>
  <si>
    <t>10.1002/eap.1755 OR</t>
  </si>
  <si>
    <t>10.1002/aqc.2850 OR</t>
  </si>
  <si>
    <t>10.1002/aqc.2345 OR</t>
  </si>
  <si>
    <t>10.1002/aqc.1079 OR</t>
  </si>
  <si>
    <t>10.1006/jmsc.1996.0117 OR</t>
  </si>
  <si>
    <t>10.1006/jmsc.1996.0145 OR</t>
  </si>
  <si>
    <t>10.1006/jmsc.1997.0321 OR</t>
  </si>
  <si>
    <t>10.1006/jmsc.1998.0389 OR</t>
  </si>
  <si>
    <t>10.1007/BF02367167 OR</t>
  </si>
  <si>
    <t>10.1007/s00227-002-0905-7 OR</t>
  </si>
  <si>
    <t>10.1007/s10152-004-0202-6 OR</t>
  </si>
  <si>
    <t>10.1007/s10236-008-0141-x OR</t>
  </si>
  <si>
    <t>10.1007/s10750-004-4671-z OR</t>
  </si>
  <si>
    <t>10.1016/0025-326X(94)90680-7 OR</t>
  </si>
  <si>
    <t>10.1016/0278-4343(90)90054-P OR</t>
  </si>
  <si>
    <t>10.1016/j.ecolind.2014.10.019 OR</t>
  </si>
  <si>
    <t>10.1016/j.envpol.2011.06.008 OR</t>
  </si>
  <si>
    <t>10.1016/j.fishres.2006.12.009 OR</t>
  </si>
  <si>
    <t>10.1016/j.fishres.2016.05.002 OR</t>
  </si>
  <si>
    <t>10.1016/j.icesjms.2004.08.020 OR</t>
  </si>
  <si>
    <t>10.1016/j.icesjms.2005.01.023 OR</t>
  </si>
  <si>
    <t>10.1016/j.jmarsys.2014.03.012 OR</t>
  </si>
  <si>
    <t>10.1016/j.marenvres.2013.12.008 OR</t>
  </si>
  <si>
    <t>10.1016/j.marpolbul.2009.03.009 OR</t>
  </si>
  <si>
    <t>10.1016/j.marpolbul.2010.03.012 OR</t>
  </si>
  <si>
    <t>10.1016/j.scitotenv.2009.12.031 OR</t>
  </si>
  <si>
    <t>10.1016/j.seares.2005.01.002 OR</t>
  </si>
  <si>
    <t>10.1016/S0006-3207(00)00035-5 OR</t>
  </si>
  <si>
    <t>10.1016/S0025-326X(98)80018-0 OR</t>
  </si>
  <si>
    <t>10.1016/S1146-609X(03)00009-2 OR</t>
  </si>
  <si>
    <t>10.1017/S0376892900038819 OR</t>
  </si>
  <si>
    <t>10.1021/es400931b OR</t>
  </si>
  <si>
    <t>10.1029/2006GB002825 OR</t>
  </si>
  <si>
    <t>10.1093/plankt/fbq100 OR</t>
  </si>
  <si>
    <t>10.1111/gcb.12513 OR</t>
  </si>
  <si>
    <t>10.1111/gcb.13316 OR</t>
  </si>
  <si>
    <t>10.1111/gcb.13916 OR</t>
  </si>
  <si>
    <t>10.1111/gcb.14785 OR</t>
  </si>
  <si>
    <t>10.1111/gcb.14810 OR</t>
  </si>
  <si>
    <t>10.1111/j.1365-2664.2008.01488.x OR</t>
  </si>
  <si>
    <t>10.1111/jbi.12847 OR</t>
  </si>
  <si>
    <t>10.3354/meps066285 OR</t>
  </si>
  <si>
    <t>10.3354/meps07138 OR</t>
  </si>
  <si>
    <t>10.3354/meps091313 OR</t>
  </si>
  <si>
    <t>10.3354/meps239001 OR</t>
  </si>
  <si>
    <t>10.3354/meps286013 OR</t>
  </si>
  <si>
    <t>10.3354/meps336063 OR</t>
  </si>
  <si>
    <t>10.3389/fmars.2019.00370 OR</t>
  </si>
  <si>
    <t>10.3391/ai.2011.6.3.05 OR</t>
  </si>
  <si>
    <t>10.3391/ai.2012.7.2.002  OR</t>
  </si>
  <si>
    <t>10.1111/gcb.12289 OR</t>
  </si>
  <si>
    <t>10.1111/j.1461-0248.2011.01689.x OR</t>
  </si>
  <si>
    <t>10.1111/j.1365-2486.2010.02393.x OR</t>
  </si>
  <si>
    <t>10.1098/rspb.2008.1681 OR</t>
  </si>
  <si>
    <t>10.3170/2008-7-18348 OR</t>
  </si>
  <si>
    <t>10.1111/j.1365-2486.2007.01527.x OR</t>
  </si>
  <si>
    <t>10.1016/j.foreco.2007.07.023 OR</t>
  </si>
  <si>
    <t>10.1007/s10531-007-9181-7 OR</t>
  </si>
  <si>
    <t>10.1111/j.1523-1739.2007.00719.x OR</t>
  </si>
  <si>
    <t>10.1098/rspb.2002.2134 OR</t>
  </si>
  <si>
    <t>10.1111/j.1366-9516.2006.00273.x OR</t>
  </si>
  <si>
    <t>10.1007/s10113-013-0425-7 OR</t>
  </si>
  <si>
    <t>10.1046/j.1365-2486.2003.00616.x OR</t>
  </si>
  <si>
    <t>10.1046/j.1365-2486.2002.00490.x OR</t>
  </si>
  <si>
    <t>10.1111/jbi.12289 OR</t>
  </si>
  <si>
    <t>10.1098/rsbl.2008.0231 OR</t>
  </si>
  <si>
    <t>10.1371/journal.pone.0002502 OR</t>
  </si>
  <si>
    <t>10.1111/j.1365-2486.2008.01559.x OR</t>
  </si>
  <si>
    <t>10.1046/j.1523-1739.1992.06030409.x OR</t>
  </si>
  <si>
    <t>10.1098/rspb.2003.2464 OR</t>
  </si>
  <si>
    <t>10.1038/NCLIMATE1514 OR</t>
  </si>
  <si>
    <t>10.1111/j.1365-2486.2006.01231.x OR</t>
  </si>
  <si>
    <t>10.1111/j.1365-2486.2006.01115.x OR</t>
  </si>
  <si>
    <t>10.1038/nature02121 OR</t>
  </si>
  <si>
    <t>10.1023/A:1024847723344 OR</t>
  </si>
  <si>
    <t>10.1111/j.1365-2427.2011.02631.x OR</t>
  </si>
  <si>
    <t>10.1007/s00027-009-9159-5 OR</t>
  </si>
  <si>
    <t>10.1016/j.jnc.2006.09.001 OR</t>
  </si>
  <si>
    <t>10.1073/pnas.0501427102 OR</t>
  </si>
  <si>
    <t>10.1046/j.1365-2699.1998.251192.x OR</t>
  </si>
  <si>
    <t>10.1111/j.1365-2486.2008.01766.x OR</t>
  </si>
  <si>
    <t>10.1111/j.1600-0587.2009.05789.x OR</t>
  </si>
  <si>
    <t>10.1371/journal.pone.0001439 OR</t>
  </si>
  <si>
    <t>10.1016/j.gloenvcha.2005.11.001 OR</t>
  </si>
  <si>
    <t>10.1073/pnas.0409902102 OR</t>
  </si>
  <si>
    <t>10.1111/j.0269-8463.2004.00903.x OR</t>
  </si>
  <si>
    <t>10.1073/pnas.1103097108 OR</t>
  </si>
  <si>
    <t>10.1111/j.1523-1739.2007.00852.x OR</t>
  </si>
  <si>
    <t>10.1111/j.0906-7590.2004.03823.x OR</t>
  </si>
  <si>
    <t>10.1007/s10113-012-0344-z OR</t>
  </si>
  <si>
    <t>10.1371/journal.pone.0063883 OR</t>
  </si>
  <si>
    <t>10.1111/j.1365-2486.2012.02641.x OR</t>
  </si>
  <si>
    <t>10.1016/j.foreco.2011.03.036 OR</t>
  </si>
  <si>
    <t>10.1111/j.1472-4642.2009.00623.x OR</t>
  </si>
  <si>
    <t>10.1890/08-0134.1 OR</t>
  </si>
  <si>
    <t>10.1086/523949 OR</t>
  </si>
  <si>
    <t>10.1007/s10531-007-9152-z OR</t>
  </si>
  <si>
    <t>10.2989/00306520409485458 OR</t>
  </si>
  <si>
    <t>10.1071/MF10286 OR</t>
  </si>
  <si>
    <t>10.1890/07-1748.1 OR</t>
  </si>
  <si>
    <t>10.1007/s10531-005-1345-8 OR</t>
  </si>
  <si>
    <t>10.1111/j.1474-919X.2006.00523.x OR</t>
  </si>
  <si>
    <t>10.1111/jbi.12013 OR</t>
  </si>
  <si>
    <t>10.1073/pnas.1116791109 OR</t>
  </si>
  <si>
    <t>10.1111/j.1749-4877.2010.00198.x OR</t>
  </si>
  <si>
    <t>10.1126/science.1184695 OR</t>
  </si>
  <si>
    <t>10.1126/science.1162547 OR</t>
  </si>
  <si>
    <t>10.1046/j.1365-2656.2001.00480.x OR</t>
  </si>
  <si>
    <t>10.1016/0006-3207(94)00016-J OR</t>
  </si>
  <si>
    <t>10.1371/journal.pone.0052574 OR</t>
  </si>
  <si>
    <t>10.1371/journal.pone.0029507 OR</t>
  </si>
  <si>
    <t>10.1111/j.1365-2486.2009.02021.x OR</t>
  </si>
  <si>
    <t>10.1007/s10531-011-0140-y OR</t>
  </si>
  <si>
    <t>10.1111/j.1366-9516.2005.00153.x OR</t>
  </si>
  <si>
    <t>10.1046/j.1365-2486.1997.00093.x OR</t>
  </si>
  <si>
    <t>10.1111/j.1365-2486.2011.02614.x OR</t>
  </si>
  <si>
    <t>10.1111/j.1472-4642.2011.00827.x OR</t>
  </si>
  <si>
    <t>10.1086/588171 OR</t>
  </si>
  <si>
    <t>10.1111/j.1365-2745.2008.01369.x OR</t>
  </si>
  <si>
    <t>10.1016/j.biocon.2008.03.007 OR</t>
  </si>
  <si>
    <t>10.1046/j.1365-2486.2002.00502.x OR</t>
  </si>
  <si>
    <t>10.4319/lo.1996.41.5.1109 OR</t>
  </si>
  <si>
    <t>10.1016/S0006-3207(02)00414-7 OR</t>
  </si>
  <si>
    <t>10.1016/j.biocon.2013.02.001 OR</t>
  </si>
  <si>
    <t>10.1111/j.1366-9516.2006.00216.x OR</t>
  </si>
  <si>
    <t>10.1139/Z04-064 OR</t>
  </si>
  <si>
    <t>10.1111/j.1365-2486.2011.02623.x OR</t>
  </si>
  <si>
    <t>10.1111/j.1461-0248.2011.01681.x OR</t>
  </si>
  <si>
    <t>10.1111/j.1365-2486.2006.01191.x OR</t>
  </si>
  <si>
    <t>10.1016/j.biocon.2005.04.003 OR</t>
  </si>
  <si>
    <t>10.1007/s00114-013-1088-4 OR</t>
  </si>
  <si>
    <t>10.1371/journal.pone.0054216 OR</t>
  </si>
  <si>
    <t>10.1111/j.1523-1739.2007.00814.x OR</t>
  </si>
  <si>
    <t>10.1111/j.1523-1739.2006.00364.x OR</t>
  </si>
  <si>
    <t>10.1371/journal.pone.0080531 OR</t>
  </si>
  <si>
    <t>10.1016/j.envsci.2005.11.005 OR</t>
  </si>
  <si>
    <t>10.1111/j.1365-2486.2005.00997.x OR</t>
  </si>
  <si>
    <t>10.1111/ddi.12011 OR</t>
  </si>
  <si>
    <t>10.1111/j.1466-822X.2004.00105.x OR</t>
  </si>
  <si>
    <t>10.1046/j.1466-822X.2002.00307.x OR</t>
  </si>
  <si>
    <t>10.1023/A:1005483507351 OR</t>
  </si>
  <si>
    <t>10.1038/NCLIMATE1887 OR</t>
  </si>
  <si>
    <t>10.1371/journal.pone.0065427 OR</t>
  </si>
  <si>
    <t>10.1111/j.1365-2486.2007.01357.x OR</t>
  </si>
  <si>
    <t>10.1016/j.ecolmodel.2003.07.012 OR</t>
  </si>
  <si>
    <t>10.1111/j.1365-2486.2008.01596.x OR</t>
  </si>
  <si>
    <t>10.1111/j.1744-7429.2005.00027.x OR</t>
  </si>
  <si>
    <t>10.1111/j.1365-2486.2004.00828.x OR</t>
  </si>
  <si>
    <t>10.1016/j.actao.2013.02.007 OR</t>
  </si>
  <si>
    <t>10.1038/NCLIMATE1191 OR</t>
  </si>
  <si>
    <t>10.1111/gcb.12107 OR</t>
  </si>
  <si>
    <t>10.1007/s10531-009-9728-x OR</t>
  </si>
  <si>
    <t>10.1016/j.agee.2008.01.013 OR</t>
  </si>
  <si>
    <t>10.1371/journal.pbio.0050157 OR</t>
  </si>
  <si>
    <t>10.1111/j.1466-8238.2010.00646.x OR</t>
  </si>
  <si>
    <t>10.1016/j.ecolmodel.2005.01.030 OR</t>
  </si>
  <si>
    <t>10.1038/416626a OR</t>
  </si>
  <si>
    <t>10.1007/s10584-005-9014-1 OR</t>
  </si>
  <si>
    <t>10.1016/j.envsci.2005.11.003 OR</t>
  </si>
  <si>
    <t>10.2307/2997467 OR</t>
  </si>
  <si>
    <t>OR TI = (</t>
  </si>
  <si>
    <t>Effects of Mulching Blueberry Plants With Cranberry Fruits and Leaves On Yield, Nutrient Uptake and Weed Suppression OR</t>
  </si>
  <si>
    <t>Sustainable Management of Nardus stricta L. Grasslands in Romania's Carpathians OR</t>
  </si>
  <si>
    <t>Beetle diversity in timberline forests: a comparison between old-growth and regeneration areas in Finnish Lapland OR</t>
  </si>
  <si>
    <t>Semi-natural grasslands: The effects of cutting frequency on long-term changes of floristic composition OR</t>
  </si>
  <si>
    <t>Effects of management on the composition and structure of northern hardwood forests in Upper Michigan OR</t>
  </si>
  <si>
    <t>Habitat preferences and activity patterns of the larger mammal community in Phnom Prich Wildlife Sanctuary OR</t>
  </si>
  <si>
    <t>Differential effects of hunting on populations of hornbills and imperial pigeons in the rainforests of the Eastern Indian Himalaya OR</t>
  </si>
  <si>
    <t>Effects of habitat disturbance and hunting on the density and the biomass of the endemic Hose’s leaf monkey Presbytis hosei OR</t>
  </si>
  <si>
    <t>Raptor community structure of a primary rain forest in French Guiana and effect of human hunting pressure OR</t>
  </si>
  <si>
    <t>The sustainability of duiker (Cephalophus spp.) hunting for the Baka hunter gatherers in southeastern Cameroon OR</t>
  </si>
  <si>
    <t>Ecological consequences of hunting in Atlantic forest patches, Saƒ o Paulo, Brazil OR</t>
  </si>
  <si>
    <t>POPULATION STATUS AND CONSERVATION REQUIREMENT OF SOME ENDANGERED PLANTS GROWING IN DAYALBAGH EDUCATIONAL INSTITUTE, AGRA OR</t>
  </si>
  <si>
    <t>The Impact of Global Change on the Dynamics of Marine Living Resources OR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</si>
</sst>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Arial"/>
    </font>
    <font>
      <sz val="9.0"/>
      <color theme="1"/>
      <name val="Arial"/>
    </font>
    <font/>
    <font>
      <color theme="1"/>
      <name val="Arial"/>
      <scheme val="minor"/>
    </font>
    <font>
      <u/>
      <color rgb="FF0000FF"/>
    </font>
    <font>
      <u/>
      <color rgb="FF0000FF"/>
    </font>
    <font>
      <u/>
      <color rgb="FF0000FF"/>
    </font>
    <font>
      <b/>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CE5CD"/>
        <bgColor rgb="FFFCE5CD"/>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0" fontId="2" numFmtId="0" xfId="0" applyAlignment="1" applyBorder="1" applyFont="1">
      <alignment readingOrder="0" shrinkToFit="0" vertical="bottom" wrapText="1"/>
    </xf>
    <xf borderId="2" fillId="0" fontId="3" numFmtId="0" xfId="0" applyBorder="1" applyFont="1"/>
    <xf borderId="3" fillId="0" fontId="3" numFmtId="0" xfId="0" applyBorder="1" applyFont="1"/>
    <xf borderId="4" fillId="3" fontId="4" numFmtId="0" xfId="0" applyAlignment="1" applyBorder="1" applyFill="1" applyFont="1">
      <alignment readingOrder="0"/>
    </xf>
    <xf borderId="1" fillId="0" fontId="4" numFmtId="0" xfId="0" applyAlignment="1" applyBorder="1" applyFont="1">
      <alignment readingOrder="0" shrinkToFit="0" wrapText="1"/>
    </xf>
    <xf borderId="4" fillId="0" fontId="5" numFmtId="0" xfId="0" applyAlignment="1" applyBorder="1" applyFont="1">
      <alignment readingOrder="0"/>
    </xf>
    <xf borderId="4" fillId="0" fontId="4" numFmtId="0" xfId="0" applyAlignment="1" applyBorder="1" applyFont="1">
      <alignment readingOrder="0"/>
    </xf>
    <xf borderId="4" fillId="0" fontId="4" numFmtId="10" xfId="0" applyBorder="1" applyFont="1" applyNumberFormat="1"/>
    <xf borderId="4" fillId="2" fontId="6" numFmtId="0" xfId="0" applyAlignment="1" applyBorder="1" applyFont="1">
      <alignment readingOrder="0"/>
    </xf>
    <xf borderId="4" fillId="2" fontId="4" numFmtId="0" xfId="0" applyAlignment="1" applyBorder="1" applyFont="1">
      <alignment readingOrder="0"/>
    </xf>
    <xf borderId="4" fillId="2" fontId="4" numFmtId="0" xfId="0" applyBorder="1" applyFont="1"/>
    <xf borderId="4" fillId="2" fontId="4" numFmtId="10" xfId="0" applyBorder="1" applyFont="1" applyNumberFormat="1"/>
    <xf borderId="0" fillId="0" fontId="4" numFmtId="0" xfId="0" applyFont="1"/>
    <xf borderId="0" fillId="0" fontId="7" numFmtId="0" xfId="0" applyFont="1"/>
    <xf borderId="0" fillId="0" fontId="4"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 customWidth="1" min="2" max="2" width="20.38"/>
    <col customWidth="1" min="3" max="3" width="24.75"/>
    <col customWidth="1" min="5" max="5" width="17.13"/>
    <col hidden="1" min="9" max="27" width="12.63"/>
  </cols>
  <sheetData>
    <row r="2">
      <c r="B2" s="1" t="s">
        <v>0</v>
      </c>
      <c r="C2" s="2" t="s">
        <v>1</v>
      </c>
      <c r="D2" s="3"/>
      <c r="E2" s="3"/>
      <c r="F2" s="3"/>
      <c r="G2" s="4"/>
    </row>
    <row r="4">
      <c r="B4" s="5" t="s">
        <v>2</v>
      </c>
      <c r="C4" s="6" t="s">
        <v>3</v>
      </c>
      <c r="D4" s="3"/>
      <c r="E4" s="3"/>
      <c r="F4" s="3"/>
      <c r="G4" s="4"/>
    </row>
    <row r="5">
      <c r="B5" s="5" t="s">
        <v>4</v>
      </c>
      <c r="C5" s="6" t="s">
        <v>5</v>
      </c>
      <c r="D5" s="3"/>
      <c r="E5" s="3"/>
      <c r="F5" s="3"/>
      <c r="G5" s="4"/>
    </row>
    <row r="6">
      <c r="B6" s="5" t="s">
        <v>6</v>
      </c>
      <c r="C6" s="6" t="s">
        <v>7</v>
      </c>
      <c r="D6" s="3"/>
      <c r="E6" s="3"/>
      <c r="F6" s="3"/>
      <c r="G6" s="4"/>
    </row>
    <row r="9">
      <c r="B9" s="5" t="s">
        <v>8</v>
      </c>
      <c r="C9" s="5" t="s">
        <v>9</v>
      </c>
      <c r="D9" s="5" t="s">
        <v>10</v>
      </c>
      <c r="E9" s="5" t="s">
        <v>11</v>
      </c>
      <c r="F9" s="5" t="s">
        <v>12</v>
      </c>
    </row>
    <row r="10">
      <c r="B10" s="7" t="s">
        <v>13</v>
      </c>
      <c r="C10" s="8" t="s">
        <v>14</v>
      </c>
      <c r="D10" s="8">
        <v>46.0</v>
      </c>
      <c r="E10" s="8">
        <v>37.0</v>
      </c>
      <c r="F10" s="9">
        <f t="shared" ref="F10:F16" si="1">E10/D10</f>
        <v>0.8043478261</v>
      </c>
    </row>
    <row r="11">
      <c r="B11" s="7" t="s">
        <v>15</v>
      </c>
      <c r="C11" s="8" t="s">
        <v>16</v>
      </c>
      <c r="D11" s="8">
        <v>139.0</v>
      </c>
      <c r="E11" s="8">
        <v>128.0</v>
      </c>
      <c r="F11" s="9">
        <f t="shared" si="1"/>
        <v>0.9208633094</v>
      </c>
    </row>
    <row r="12">
      <c r="B12" s="7" t="s">
        <v>17</v>
      </c>
      <c r="C12" s="8" t="s">
        <v>18</v>
      </c>
      <c r="D12" s="8">
        <v>119.0</v>
      </c>
      <c r="E12" s="8">
        <v>96.0</v>
      </c>
      <c r="F12" s="9">
        <f t="shared" si="1"/>
        <v>0.8067226891</v>
      </c>
    </row>
    <row r="13">
      <c r="B13" s="7" t="s">
        <v>19</v>
      </c>
      <c r="C13" s="8" t="s">
        <v>20</v>
      </c>
      <c r="D13" s="8">
        <v>105.0</v>
      </c>
      <c r="E13" s="8">
        <v>75.0</v>
      </c>
      <c r="F13" s="9">
        <f t="shared" si="1"/>
        <v>0.7142857143</v>
      </c>
    </row>
    <row r="14">
      <c r="B14" s="7" t="s">
        <v>21</v>
      </c>
      <c r="C14" s="8" t="s">
        <v>22</v>
      </c>
      <c r="D14" s="8">
        <v>60.0</v>
      </c>
      <c r="E14" s="8">
        <v>52.0</v>
      </c>
      <c r="F14" s="9">
        <f t="shared" si="1"/>
        <v>0.8666666667</v>
      </c>
    </row>
    <row r="15">
      <c r="B15" s="7" t="s">
        <v>23</v>
      </c>
      <c r="C15" s="8" t="s">
        <v>24</v>
      </c>
      <c r="D15" s="8">
        <v>112.0</v>
      </c>
      <c r="E15" s="8">
        <v>109.0</v>
      </c>
      <c r="F15" s="9">
        <f t="shared" si="1"/>
        <v>0.9732142857</v>
      </c>
    </row>
    <row r="16">
      <c r="B16" s="10" t="s">
        <v>4</v>
      </c>
      <c r="C16" s="11" t="s">
        <v>25</v>
      </c>
      <c r="D16" s="11">
        <v>581.0</v>
      </c>
      <c r="E16" s="12">
        <f>SUM(E10:E15)</f>
        <v>497</v>
      </c>
      <c r="F16" s="13">
        <f t="shared" si="1"/>
        <v>0.8554216867</v>
      </c>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sheetData>
  <mergeCells count="4">
    <mergeCell ref="C2:G2"/>
    <mergeCell ref="C4:G4"/>
    <mergeCell ref="C5:G5"/>
    <mergeCell ref="C6:G6"/>
  </mergeCells>
  <hyperlinks>
    <hyperlink display="Moullec et al" location="'Moullec et al (46)'!A1" ref="B10"/>
    <hyperlink display="Jaureguiberry et al" location="'Jaureguiberry et al (139)'!A1" ref="B11"/>
    <hyperlink display="IPBES 2.1.12-2.1.17 " location="'IPBES 2.1.12-2.1.17 (119)'!A1" ref="B12"/>
    <hyperlink display="Beckmen et al " location="'Beckmen et al (105)'!A1" ref="B13"/>
    <hyperlink display="Benitez lopez et al" location="'Benitez lopez et al (60)'!A1" ref="B14"/>
    <hyperlink display="Urban Et al" location="'Urban Et al (112)'!A1" ref="B15"/>
    <hyperlink display="Final Test List" location="'Test List (581)'!A1" ref="B1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98</v>
      </c>
      <c r="C2" s="14" t="s">
        <v>99</v>
      </c>
      <c r="D2" s="14" t="s">
        <v>99</v>
      </c>
      <c r="E2" s="14" t="s">
        <v>99</v>
      </c>
      <c r="F2" s="14" t="s">
        <v>100</v>
      </c>
      <c r="G2" s="14" t="s">
        <v>99</v>
      </c>
      <c r="H2" s="14" t="s">
        <v>99</v>
      </c>
      <c r="I2" s="14" t="s">
        <v>101</v>
      </c>
      <c r="J2" s="14" t="s">
        <v>102</v>
      </c>
      <c r="K2" s="14" t="s">
        <v>99</v>
      </c>
      <c r="L2" s="14" t="s">
        <v>99</v>
      </c>
      <c r="M2" s="14" t="s">
        <v>103</v>
      </c>
      <c r="N2" s="14" t="s">
        <v>104</v>
      </c>
      <c r="O2" s="14" t="s">
        <v>99</v>
      </c>
      <c r="P2" s="14" t="s">
        <v>99</v>
      </c>
      <c r="Q2" s="14" t="s">
        <v>99</v>
      </c>
      <c r="R2" s="14" t="s">
        <v>99</v>
      </c>
      <c r="S2" s="14" t="s">
        <v>99</v>
      </c>
      <c r="T2" s="14" t="s">
        <v>105</v>
      </c>
      <c r="U2" s="14" t="s">
        <v>106</v>
      </c>
      <c r="V2" s="14" t="s">
        <v>107</v>
      </c>
      <c r="W2" s="14" t="s">
        <v>108</v>
      </c>
      <c r="X2" s="14" t="s">
        <v>99</v>
      </c>
      <c r="Y2" s="14" t="s">
        <v>109</v>
      </c>
      <c r="Z2" s="14" t="s">
        <v>110</v>
      </c>
      <c r="AA2" s="14" t="s">
        <v>111</v>
      </c>
      <c r="AB2" s="14" t="s">
        <v>99</v>
      </c>
      <c r="AC2" s="14" t="s">
        <v>112</v>
      </c>
      <c r="AD2" s="14" t="s">
        <v>112</v>
      </c>
      <c r="AE2" s="14" t="s">
        <v>113</v>
      </c>
      <c r="AF2" s="14" t="s">
        <v>99</v>
      </c>
      <c r="AG2" s="14">
        <v>36.0</v>
      </c>
      <c r="AH2" s="14">
        <v>58.0</v>
      </c>
      <c r="AI2" s="14">
        <v>79.0</v>
      </c>
      <c r="AJ2" s="14">
        <v>1.0</v>
      </c>
      <c r="AK2" s="14">
        <v>88.0</v>
      </c>
      <c r="AL2" s="14" t="s">
        <v>114</v>
      </c>
      <c r="AM2" s="14" t="s">
        <v>115</v>
      </c>
      <c r="AN2" s="14" t="s">
        <v>116</v>
      </c>
      <c r="AO2" s="14" t="s">
        <v>117</v>
      </c>
      <c r="AP2" s="14" t="s">
        <v>99</v>
      </c>
      <c r="AQ2" s="14" t="s">
        <v>99</v>
      </c>
      <c r="AR2" s="14" t="s">
        <v>118</v>
      </c>
      <c r="AS2" s="14" t="s">
        <v>119</v>
      </c>
      <c r="AT2" s="14" t="s">
        <v>120</v>
      </c>
      <c r="AU2" s="14">
        <v>2011.0</v>
      </c>
      <c r="AV2" s="14">
        <v>59.0</v>
      </c>
      <c r="AW2" s="14">
        <v>2.0</v>
      </c>
      <c r="AX2" s="14" t="s">
        <v>99</v>
      </c>
      <c r="AY2" s="14" t="s">
        <v>99</v>
      </c>
      <c r="AZ2" s="14" t="s">
        <v>99</v>
      </c>
      <c r="BA2" s="14" t="s">
        <v>99</v>
      </c>
      <c r="BB2" s="14">
        <v>311.0</v>
      </c>
      <c r="BC2" s="14">
        <v>318.0</v>
      </c>
      <c r="BD2" s="14" t="s">
        <v>99</v>
      </c>
      <c r="BE2" s="14" t="s">
        <v>99</v>
      </c>
      <c r="BF2" s="14" t="s">
        <v>99</v>
      </c>
      <c r="BG2" s="14" t="s">
        <v>99</v>
      </c>
      <c r="BH2" s="14" t="s">
        <v>99</v>
      </c>
      <c r="BI2" s="14">
        <v>8.0</v>
      </c>
      <c r="BJ2" s="14" t="s">
        <v>121</v>
      </c>
      <c r="BK2" s="14" t="s">
        <v>122</v>
      </c>
      <c r="BL2" s="14" t="s">
        <v>121</v>
      </c>
      <c r="BM2" s="14" t="s">
        <v>123</v>
      </c>
      <c r="BN2" s="14" t="s">
        <v>99</v>
      </c>
      <c r="BO2" s="14" t="s">
        <v>99</v>
      </c>
      <c r="BP2" s="14" t="s">
        <v>99</v>
      </c>
      <c r="BQ2" s="14" t="s">
        <v>99</v>
      </c>
      <c r="BR2" s="14" t="s">
        <v>124</v>
      </c>
      <c r="BS2" s="14" t="s">
        <v>125</v>
      </c>
      <c r="BT2" s="14" t="str">
        <f>HYPERLINK("https%3A%2F%2Fwww.webofscience.com%2Fwos%2Fwoscc%2Ffull-record%2FWOS:000301312200022","View Full Record in Web of Science")</f>
        <v>View Full Record in Web of Science</v>
      </c>
    </row>
    <row r="3" ht="12.75" customHeight="1">
      <c r="A3" s="14" t="s">
        <v>97</v>
      </c>
      <c r="B3" s="14" t="s">
        <v>126</v>
      </c>
      <c r="C3" s="14" t="s">
        <v>99</v>
      </c>
      <c r="D3" s="14" t="s">
        <v>99</v>
      </c>
      <c r="E3" s="14" t="s">
        <v>99</v>
      </c>
      <c r="F3" s="14" t="s">
        <v>127</v>
      </c>
      <c r="G3" s="14" t="s">
        <v>99</v>
      </c>
      <c r="H3" s="14" t="s">
        <v>99</v>
      </c>
      <c r="I3" s="14" t="s">
        <v>128</v>
      </c>
      <c r="J3" s="14" t="s">
        <v>129</v>
      </c>
      <c r="K3" s="14" t="s">
        <v>99</v>
      </c>
      <c r="L3" s="14" t="s">
        <v>99</v>
      </c>
      <c r="M3" s="14" t="s">
        <v>103</v>
      </c>
      <c r="N3" s="14" t="s">
        <v>104</v>
      </c>
      <c r="O3" s="14" t="s">
        <v>99</v>
      </c>
      <c r="P3" s="14" t="s">
        <v>99</v>
      </c>
      <c r="Q3" s="14" t="s">
        <v>99</v>
      </c>
      <c r="R3" s="14" t="s">
        <v>99</v>
      </c>
      <c r="S3" s="14" t="s">
        <v>99</v>
      </c>
      <c r="T3" s="14" t="s">
        <v>130</v>
      </c>
      <c r="U3" s="14" t="s">
        <v>99</v>
      </c>
      <c r="V3" s="14" t="s">
        <v>131</v>
      </c>
      <c r="W3" s="14" t="s">
        <v>132</v>
      </c>
      <c r="X3" s="14" t="s">
        <v>133</v>
      </c>
      <c r="Y3" s="14" t="s">
        <v>134</v>
      </c>
      <c r="Z3" s="14" t="s">
        <v>135</v>
      </c>
      <c r="AA3" s="14" t="s">
        <v>136</v>
      </c>
      <c r="AB3" s="14" t="s">
        <v>137</v>
      </c>
      <c r="AC3" s="14" t="s">
        <v>99</v>
      </c>
      <c r="AD3" s="14" t="s">
        <v>99</v>
      </c>
      <c r="AE3" s="14" t="s">
        <v>99</v>
      </c>
      <c r="AF3" s="14" t="s">
        <v>99</v>
      </c>
      <c r="AG3" s="14">
        <v>15.0</v>
      </c>
      <c r="AH3" s="14">
        <v>3.0</v>
      </c>
      <c r="AI3" s="14">
        <v>3.0</v>
      </c>
      <c r="AJ3" s="14">
        <v>0.0</v>
      </c>
      <c r="AK3" s="14">
        <v>10.0</v>
      </c>
      <c r="AL3" s="14" t="s">
        <v>138</v>
      </c>
      <c r="AM3" s="14" t="s">
        <v>139</v>
      </c>
      <c r="AN3" s="14" t="s">
        <v>140</v>
      </c>
      <c r="AO3" s="14" t="s">
        <v>141</v>
      </c>
      <c r="AP3" s="14" t="s">
        <v>142</v>
      </c>
      <c r="AQ3" s="14" t="s">
        <v>99</v>
      </c>
      <c r="AR3" s="14" t="s">
        <v>143</v>
      </c>
      <c r="AS3" s="14" t="s">
        <v>144</v>
      </c>
      <c r="AT3" s="14" t="s">
        <v>145</v>
      </c>
      <c r="AU3" s="14">
        <v>2015.0</v>
      </c>
      <c r="AV3" s="14">
        <v>6.0</v>
      </c>
      <c r="AW3" s="14">
        <v>4.0</v>
      </c>
      <c r="AX3" s="14" t="s">
        <v>99</v>
      </c>
      <c r="AY3" s="14" t="s">
        <v>99</v>
      </c>
      <c r="AZ3" s="14" t="s">
        <v>99</v>
      </c>
      <c r="BA3" s="14" t="s">
        <v>99</v>
      </c>
      <c r="BB3" s="14">
        <v>697.0</v>
      </c>
      <c r="BC3" s="14">
        <v>706.0</v>
      </c>
      <c r="BD3" s="14" t="s">
        <v>99</v>
      </c>
      <c r="BE3" s="14" t="s">
        <v>99</v>
      </c>
      <c r="BF3" s="14" t="s">
        <v>99</v>
      </c>
      <c r="BG3" s="14" t="s">
        <v>99</v>
      </c>
      <c r="BH3" s="14" t="s">
        <v>99</v>
      </c>
      <c r="BI3" s="14">
        <v>10.0</v>
      </c>
      <c r="BJ3" s="14" t="s">
        <v>146</v>
      </c>
      <c r="BK3" s="14" t="s">
        <v>147</v>
      </c>
      <c r="BL3" s="14" t="s">
        <v>146</v>
      </c>
      <c r="BM3" s="14" t="s">
        <v>148</v>
      </c>
      <c r="BN3" s="14" t="s">
        <v>99</v>
      </c>
      <c r="BO3" s="14" t="s">
        <v>99</v>
      </c>
      <c r="BP3" s="14" t="s">
        <v>99</v>
      </c>
      <c r="BQ3" s="14" t="s">
        <v>99</v>
      </c>
      <c r="BR3" s="14" t="s">
        <v>124</v>
      </c>
      <c r="BS3" s="14" t="s">
        <v>149</v>
      </c>
      <c r="BT3" s="14" t="str">
        <f>HYPERLINK("https%3A%2F%2Fwww.webofscience.com%2Fwos%2Fwoscc%2Ffull-record%2FWOS:000366349700011","View Full Record in Web of Science")</f>
        <v>View Full Record in Web of Science</v>
      </c>
    </row>
    <row r="4" ht="12.75" customHeight="1">
      <c r="A4" s="14" t="s">
        <v>97</v>
      </c>
      <c r="B4" s="14" t="s">
        <v>150</v>
      </c>
      <c r="C4" s="14" t="s">
        <v>99</v>
      </c>
      <c r="D4" s="14" t="s">
        <v>99</v>
      </c>
      <c r="E4" s="14" t="s">
        <v>99</v>
      </c>
      <c r="F4" s="14" t="s">
        <v>151</v>
      </c>
      <c r="G4" s="14" t="s">
        <v>99</v>
      </c>
      <c r="H4" s="14" t="s">
        <v>99</v>
      </c>
      <c r="I4" s="14" t="s">
        <v>152</v>
      </c>
      <c r="J4" s="14" t="s">
        <v>153</v>
      </c>
      <c r="K4" s="14" t="s">
        <v>99</v>
      </c>
      <c r="L4" s="14" t="s">
        <v>99</v>
      </c>
      <c r="M4" s="14" t="s">
        <v>103</v>
      </c>
      <c r="N4" s="14" t="s">
        <v>104</v>
      </c>
      <c r="O4" s="14" t="s">
        <v>99</v>
      </c>
      <c r="P4" s="14" t="s">
        <v>99</v>
      </c>
      <c r="Q4" s="14" t="s">
        <v>99</v>
      </c>
      <c r="R4" s="14" t="s">
        <v>99</v>
      </c>
      <c r="S4" s="14" t="s">
        <v>99</v>
      </c>
      <c r="T4" s="14" t="s">
        <v>99</v>
      </c>
      <c r="U4" s="14" t="s">
        <v>154</v>
      </c>
      <c r="V4" s="14" t="s">
        <v>155</v>
      </c>
      <c r="W4" s="14" t="s">
        <v>156</v>
      </c>
      <c r="X4" s="14" t="s">
        <v>157</v>
      </c>
      <c r="Y4" s="14" t="s">
        <v>158</v>
      </c>
      <c r="Z4" s="14" t="s">
        <v>99</v>
      </c>
      <c r="AA4" s="14" t="s">
        <v>99</v>
      </c>
      <c r="AB4" s="14" t="s">
        <v>99</v>
      </c>
      <c r="AC4" s="14" t="s">
        <v>159</v>
      </c>
      <c r="AD4" s="14" t="s">
        <v>159</v>
      </c>
      <c r="AE4" s="14" t="s">
        <v>160</v>
      </c>
      <c r="AF4" s="14" t="s">
        <v>99</v>
      </c>
      <c r="AG4" s="14">
        <v>33.0</v>
      </c>
      <c r="AH4" s="14">
        <v>5.0</v>
      </c>
      <c r="AI4" s="14">
        <v>7.0</v>
      </c>
      <c r="AJ4" s="14">
        <v>0.0</v>
      </c>
      <c r="AK4" s="14">
        <v>6.0</v>
      </c>
      <c r="AL4" s="14" t="s">
        <v>161</v>
      </c>
      <c r="AM4" s="14" t="s">
        <v>162</v>
      </c>
      <c r="AN4" s="14" t="s">
        <v>163</v>
      </c>
      <c r="AO4" s="14" t="s">
        <v>164</v>
      </c>
      <c r="AP4" s="14" t="s">
        <v>165</v>
      </c>
      <c r="AQ4" s="14" t="s">
        <v>99</v>
      </c>
      <c r="AR4" s="14" t="s">
        <v>166</v>
      </c>
      <c r="AS4" s="14" t="s">
        <v>167</v>
      </c>
      <c r="AT4" s="14" t="s">
        <v>168</v>
      </c>
      <c r="AU4" s="14">
        <v>2008.0</v>
      </c>
      <c r="AV4" s="14">
        <v>16.0</v>
      </c>
      <c r="AW4" s="14">
        <v>4.0</v>
      </c>
      <c r="AX4" s="14" t="s">
        <v>99</v>
      </c>
      <c r="AY4" s="14" t="s">
        <v>99</v>
      </c>
      <c r="AZ4" s="14" t="s">
        <v>99</v>
      </c>
      <c r="BA4" s="14" t="s">
        <v>99</v>
      </c>
      <c r="BB4" s="14">
        <v>220.0</v>
      </c>
      <c r="BC4" s="14">
        <v>227.0</v>
      </c>
      <c r="BD4" s="14" t="s">
        <v>99</v>
      </c>
      <c r="BE4" s="14" t="s">
        <v>99</v>
      </c>
      <c r="BF4" s="14" t="s">
        <v>99</v>
      </c>
      <c r="BG4" s="14" t="s">
        <v>99</v>
      </c>
      <c r="BH4" s="14" t="s">
        <v>99</v>
      </c>
      <c r="BI4" s="14">
        <v>8.0</v>
      </c>
      <c r="BJ4" s="14" t="s">
        <v>169</v>
      </c>
      <c r="BK4" s="14" t="s">
        <v>122</v>
      </c>
      <c r="BL4" s="14" t="s">
        <v>170</v>
      </c>
      <c r="BM4" s="14" t="s">
        <v>171</v>
      </c>
      <c r="BN4" s="14" t="s">
        <v>99</v>
      </c>
      <c r="BO4" s="14" t="s">
        <v>99</v>
      </c>
      <c r="BP4" s="14" t="s">
        <v>99</v>
      </c>
      <c r="BQ4" s="14" t="s">
        <v>99</v>
      </c>
      <c r="BR4" s="14" t="s">
        <v>124</v>
      </c>
      <c r="BS4" s="14" t="s">
        <v>172</v>
      </c>
      <c r="BT4" s="14" t="str">
        <f>HYPERLINK("https%3A%2F%2Fwww.webofscience.com%2Fwos%2Fwoscc%2Ffull-record%2FWOS:000262214800002","View Full Record in Web of Science")</f>
        <v>View Full Record in Web of Science</v>
      </c>
    </row>
    <row r="5" ht="12.75" customHeight="1">
      <c r="A5" s="14" t="s">
        <v>97</v>
      </c>
      <c r="B5" s="14" t="s">
        <v>173</v>
      </c>
      <c r="C5" s="14" t="s">
        <v>99</v>
      </c>
      <c r="D5" s="14" t="s">
        <v>99</v>
      </c>
      <c r="E5" s="14" t="s">
        <v>99</v>
      </c>
      <c r="F5" s="14" t="s">
        <v>173</v>
      </c>
      <c r="G5" s="14" t="s">
        <v>99</v>
      </c>
      <c r="H5" s="14" t="s">
        <v>99</v>
      </c>
      <c r="I5" s="14" t="s">
        <v>174</v>
      </c>
      <c r="J5" s="14" t="s">
        <v>175</v>
      </c>
      <c r="K5" s="14" t="s">
        <v>99</v>
      </c>
      <c r="L5" s="14" t="s">
        <v>99</v>
      </c>
      <c r="M5" s="14" t="s">
        <v>103</v>
      </c>
      <c r="N5" s="14" t="s">
        <v>104</v>
      </c>
      <c r="O5" s="14" t="s">
        <v>99</v>
      </c>
      <c r="P5" s="14" t="s">
        <v>99</v>
      </c>
      <c r="Q5" s="14" t="s">
        <v>99</v>
      </c>
      <c r="R5" s="14" t="s">
        <v>99</v>
      </c>
      <c r="S5" s="14" t="s">
        <v>99</v>
      </c>
      <c r="T5" s="14" t="s">
        <v>99</v>
      </c>
      <c r="U5" s="14" t="s">
        <v>176</v>
      </c>
      <c r="V5" s="14" t="s">
        <v>177</v>
      </c>
      <c r="W5" s="14" t="s">
        <v>178</v>
      </c>
      <c r="X5" s="14" t="s">
        <v>179</v>
      </c>
      <c r="Y5" s="14" t="s">
        <v>180</v>
      </c>
      <c r="Z5" s="14" t="s">
        <v>99</v>
      </c>
      <c r="AA5" s="14" t="s">
        <v>181</v>
      </c>
      <c r="AB5" s="14" t="s">
        <v>182</v>
      </c>
      <c r="AC5" s="14" t="s">
        <v>99</v>
      </c>
      <c r="AD5" s="14" t="s">
        <v>99</v>
      </c>
      <c r="AE5" s="14" t="s">
        <v>99</v>
      </c>
      <c r="AF5" s="14" t="s">
        <v>99</v>
      </c>
      <c r="AG5" s="14">
        <v>61.0</v>
      </c>
      <c r="AH5" s="14">
        <v>56.0</v>
      </c>
      <c r="AI5" s="14">
        <v>64.0</v>
      </c>
      <c r="AJ5" s="14">
        <v>2.0</v>
      </c>
      <c r="AK5" s="14">
        <v>34.0</v>
      </c>
      <c r="AL5" s="14" t="s">
        <v>183</v>
      </c>
      <c r="AM5" s="14" t="s">
        <v>184</v>
      </c>
      <c r="AN5" s="14" t="s">
        <v>185</v>
      </c>
      <c r="AO5" s="14" t="s">
        <v>186</v>
      </c>
      <c r="AP5" s="14" t="s">
        <v>99</v>
      </c>
      <c r="AQ5" s="14" t="s">
        <v>99</v>
      </c>
      <c r="AR5" s="14" t="s">
        <v>187</v>
      </c>
      <c r="AS5" s="14" t="s">
        <v>188</v>
      </c>
      <c r="AT5" s="14" t="s">
        <v>99</v>
      </c>
      <c r="AU5" s="14">
        <v>2002.0</v>
      </c>
      <c r="AV5" s="14">
        <v>39.0</v>
      </c>
      <c r="AW5" s="14">
        <v>1.0</v>
      </c>
      <c r="AX5" s="14" t="s">
        <v>99</v>
      </c>
      <c r="AY5" s="14" t="s">
        <v>99</v>
      </c>
      <c r="AZ5" s="14" t="s">
        <v>99</v>
      </c>
      <c r="BA5" s="14" t="s">
        <v>99</v>
      </c>
      <c r="BB5" s="14">
        <v>69.0</v>
      </c>
      <c r="BC5" s="14">
        <v>86.0</v>
      </c>
      <c r="BD5" s="14" t="s">
        <v>99</v>
      </c>
      <c r="BE5" s="14" t="s">
        <v>99</v>
      </c>
      <c r="BF5" s="14" t="s">
        <v>99</v>
      </c>
      <c r="BG5" s="14" t="s">
        <v>99</v>
      </c>
      <c r="BH5" s="14" t="s">
        <v>99</v>
      </c>
      <c r="BI5" s="14">
        <v>18.0</v>
      </c>
      <c r="BJ5" s="14" t="s">
        <v>189</v>
      </c>
      <c r="BK5" s="14" t="s">
        <v>122</v>
      </c>
      <c r="BL5" s="14" t="s">
        <v>190</v>
      </c>
      <c r="BM5" s="14" t="s">
        <v>191</v>
      </c>
      <c r="BN5" s="14" t="s">
        <v>99</v>
      </c>
      <c r="BO5" s="14" t="s">
        <v>99</v>
      </c>
      <c r="BP5" s="14" t="s">
        <v>99</v>
      </c>
      <c r="BQ5" s="14" t="s">
        <v>99</v>
      </c>
      <c r="BR5" s="14" t="s">
        <v>124</v>
      </c>
      <c r="BS5" s="14" t="s">
        <v>192</v>
      </c>
      <c r="BT5" s="14" t="str">
        <f>HYPERLINK("https%3A%2F%2Fwww.webofscience.com%2Fwos%2Fwoscc%2Ffull-record%2FWOS:000174479300009","View Full Record in Web of Science")</f>
        <v>View Full Record in Web of Science</v>
      </c>
    </row>
    <row r="6" ht="12.75" customHeight="1">
      <c r="A6" s="14" t="s">
        <v>97</v>
      </c>
      <c r="B6" s="14" t="s">
        <v>193</v>
      </c>
      <c r="C6" s="14" t="s">
        <v>99</v>
      </c>
      <c r="D6" s="14" t="s">
        <v>99</v>
      </c>
      <c r="E6" s="14" t="s">
        <v>99</v>
      </c>
      <c r="F6" s="14" t="s">
        <v>194</v>
      </c>
      <c r="G6" s="14" t="s">
        <v>99</v>
      </c>
      <c r="H6" s="14" t="s">
        <v>99</v>
      </c>
      <c r="I6" s="14" t="s">
        <v>195</v>
      </c>
      <c r="J6" s="14" t="s">
        <v>196</v>
      </c>
      <c r="K6" s="14" t="s">
        <v>99</v>
      </c>
      <c r="L6" s="14" t="s">
        <v>99</v>
      </c>
      <c r="M6" s="14" t="s">
        <v>103</v>
      </c>
      <c r="N6" s="14" t="s">
        <v>104</v>
      </c>
      <c r="O6" s="14" t="s">
        <v>99</v>
      </c>
      <c r="P6" s="14" t="s">
        <v>99</v>
      </c>
      <c r="Q6" s="14" t="s">
        <v>99</v>
      </c>
      <c r="R6" s="14" t="s">
        <v>99</v>
      </c>
      <c r="S6" s="14" t="s">
        <v>99</v>
      </c>
      <c r="T6" s="14" t="s">
        <v>197</v>
      </c>
      <c r="U6" s="14" t="s">
        <v>198</v>
      </c>
      <c r="V6" s="14" t="s">
        <v>199</v>
      </c>
      <c r="W6" s="14" t="s">
        <v>200</v>
      </c>
      <c r="X6" s="14" t="s">
        <v>201</v>
      </c>
      <c r="Y6" s="14" t="s">
        <v>202</v>
      </c>
      <c r="Z6" s="14" t="s">
        <v>203</v>
      </c>
      <c r="AA6" s="14" t="s">
        <v>204</v>
      </c>
      <c r="AB6" s="14" t="s">
        <v>205</v>
      </c>
      <c r="AC6" s="14" t="s">
        <v>99</v>
      </c>
      <c r="AD6" s="14" t="s">
        <v>99</v>
      </c>
      <c r="AE6" s="14" t="s">
        <v>99</v>
      </c>
      <c r="AF6" s="14" t="s">
        <v>99</v>
      </c>
      <c r="AG6" s="14">
        <v>25.0</v>
      </c>
      <c r="AH6" s="14">
        <v>11.0</v>
      </c>
      <c r="AI6" s="14">
        <v>12.0</v>
      </c>
      <c r="AJ6" s="14">
        <v>0.0</v>
      </c>
      <c r="AK6" s="14">
        <v>24.0</v>
      </c>
      <c r="AL6" s="14" t="s">
        <v>206</v>
      </c>
      <c r="AM6" s="14" t="s">
        <v>207</v>
      </c>
      <c r="AN6" s="14" t="s">
        <v>208</v>
      </c>
      <c r="AO6" s="14" t="s">
        <v>209</v>
      </c>
      <c r="AP6" s="14" t="s">
        <v>210</v>
      </c>
      <c r="AQ6" s="14" t="s">
        <v>99</v>
      </c>
      <c r="AR6" s="14" t="s">
        <v>211</v>
      </c>
      <c r="AS6" s="14" t="s">
        <v>212</v>
      </c>
      <c r="AT6" s="14" t="s">
        <v>213</v>
      </c>
      <c r="AU6" s="14">
        <v>2011.0</v>
      </c>
      <c r="AV6" s="14">
        <v>39.0</v>
      </c>
      <c r="AW6" s="14">
        <v>2.0</v>
      </c>
      <c r="AX6" s="14" t="s">
        <v>99</v>
      </c>
      <c r="AY6" s="14" t="s">
        <v>99</v>
      </c>
      <c r="AZ6" s="14" t="s">
        <v>99</v>
      </c>
      <c r="BA6" s="14" t="s">
        <v>99</v>
      </c>
      <c r="BB6" s="14">
        <v>142.0</v>
      </c>
      <c r="BC6" s="14">
        <v>145.0</v>
      </c>
      <c r="BD6" s="14" t="s">
        <v>99</v>
      </c>
      <c r="BE6" s="14" t="s">
        <v>99</v>
      </c>
      <c r="BF6" s="14" t="s">
        <v>99</v>
      </c>
      <c r="BG6" s="14" t="s">
        <v>99</v>
      </c>
      <c r="BH6" s="14" t="s">
        <v>99</v>
      </c>
      <c r="BI6" s="14">
        <v>4.0</v>
      </c>
      <c r="BJ6" s="14" t="s">
        <v>214</v>
      </c>
      <c r="BK6" s="14" t="s">
        <v>122</v>
      </c>
      <c r="BL6" s="14" t="s">
        <v>214</v>
      </c>
      <c r="BM6" s="14" t="s">
        <v>215</v>
      </c>
      <c r="BN6" s="14" t="s">
        <v>99</v>
      </c>
      <c r="BO6" s="14" t="s">
        <v>99</v>
      </c>
      <c r="BP6" s="14" t="s">
        <v>99</v>
      </c>
      <c r="BQ6" s="14" t="s">
        <v>99</v>
      </c>
      <c r="BR6" s="14" t="s">
        <v>124</v>
      </c>
      <c r="BS6" s="14" t="s">
        <v>216</v>
      </c>
      <c r="BT6" s="14" t="str">
        <f>HYPERLINK("https%3A%2F%2Fwww.webofscience.com%2Fwos%2Fwoscc%2Ffull-record%2FWOS:000297659600020","View Full Record in Web of Science")</f>
        <v>View Full Record in Web of Science</v>
      </c>
    </row>
    <row r="7" ht="12.75" customHeight="1">
      <c r="A7" s="14" t="s">
        <v>97</v>
      </c>
      <c r="B7" s="14" t="s">
        <v>217</v>
      </c>
      <c r="C7" s="14" t="s">
        <v>99</v>
      </c>
      <c r="D7" s="14" t="s">
        <v>99</v>
      </c>
      <c r="E7" s="14" t="s">
        <v>99</v>
      </c>
      <c r="F7" s="14" t="s">
        <v>217</v>
      </c>
      <c r="G7" s="14" t="s">
        <v>99</v>
      </c>
      <c r="H7" s="14" t="s">
        <v>99</v>
      </c>
      <c r="I7" s="14" t="s">
        <v>218</v>
      </c>
      <c r="J7" s="14" t="s">
        <v>219</v>
      </c>
      <c r="K7" s="14" t="s">
        <v>99</v>
      </c>
      <c r="L7" s="14" t="s">
        <v>99</v>
      </c>
      <c r="M7" s="14" t="s">
        <v>103</v>
      </c>
      <c r="N7" s="14" t="s">
        <v>104</v>
      </c>
      <c r="O7" s="14" t="s">
        <v>99</v>
      </c>
      <c r="P7" s="14" t="s">
        <v>99</v>
      </c>
      <c r="Q7" s="14" t="s">
        <v>99</v>
      </c>
      <c r="R7" s="14" t="s">
        <v>99</v>
      </c>
      <c r="S7" s="14" t="s">
        <v>99</v>
      </c>
      <c r="T7" s="14" t="s">
        <v>220</v>
      </c>
      <c r="U7" s="14" t="s">
        <v>221</v>
      </c>
      <c r="V7" s="14" t="s">
        <v>222</v>
      </c>
      <c r="W7" s="14" t="s">
        <v>223</v>
      </c>
      <c r="X7" s="14" t="s">
        <v>224</v>
      </c>
      <c r="Y7" s="14" t="s">
        <v>225</v>
      </c>
      <c r="Z7" s="14" t="s">
        <v>226</v>
      </c>
      <c r="AA7" s="14" t="s">
        <v>227</v>
      </c>
      <c r="AB7" s="14" t="s">
        <v>228</v>
      </c>
      <c r="AC7" s="14" t="s">
        <v>99</v>
      </c>
      <c r="AD7" s="14" t="s">
        <v>99</v>
      </c>
      <c r="AE7" s="14" t="s">
        <v>99</v>
      </c>
      <c r="AF7" s="14" t="s">
        <v>99</v>
      </c>
      <c r="AG7" s="14">
        <v>37.0</v>
      </c>
      <c r="AH7" s="14">
        <v>15.0</v>
      </c>
      <c r="AI7" s="14">
        <v>16.0</v>
      </c>
      <c r="AJ7" s="14">
        <v>0.0</v>
      </c>
      <c r="AK7" s="14">
        <v>20.0</v>
      </c>
      <c r="AL7" s="14" t="s">
        <v>229</v>
      </c>
      <c r="AM7" s="14" t="s">
        <v>230</v>
      </c>
      <c r="AN7" s="14" t="s">
        <v>231</v>
      </c>
      <c r="AO7" s="14" t="s">
        <v>232</v>
      </c>
      <c r="AP7" s="14" t="s">
        <v>233</v>
      </c>
      <c r="AQ7" s="14" t="s">
        <v>99</v>
      </c>
      <c r="AR7" s="14" t="s">
        <v>234</v>
      </c>
      <c r="AS7" s="14" t="s">
        <v>235</v>
      </c>
      <c r="AT7" s="14" t="s">
        <v>99</v>
      </c>
      <c r="AU7" s="14">
        <v>2004.0</v>
      </c>
      <c r="AV7" s="14">
        <v>73.0</v>
      </c>
      <c r="AW7" s="14">
        <v>4.0</v>
      </c>
      <c r="AX7" s="14" t="s">
        <v>99</v>
      </c>
      <c r="AY7" s="14" t="s">
        <v>99</v>
      </c>
      <c r="AZ7" s="14" t="s">
        <v>99</v>
      </c>
      <c r="BA7" s="14" t="s">
        <v>99</v>
      </c>
      <c r="BB7" s="14">
        <v>283.0</v>
      </c>
      <c r="BC7" s="14">
        <v>291.0</v>
      </c>
      <c r="BD7" s="14" t="s">
        <v>99</v>
      </c>
      <c r="BE7" s="14" t="s">
        <v>236</v>
      </c>
      <c r="BF7" s="15" t="str">
        <f>HYPERLINK("http://dx.doi.org/10.1163/18759866-07304004","http://dx.doi.org/10.1163/18759866-07304004")</f>
        <v>http://dx.doi.org/10.1163/18759866-07304004</v>
      </c>
      <c r="BG7" s="14" t="s">
        <v>99</v>
      </c>
      <c r="BH7" s="14" t="s">
        <v>99</v>
      </c>
      <c r="BI7" s="14">
        <v>9.0</v>
      </c>
      <c r="BJ7" s="14" t="s">
        <v>121</v>
      </c>
      <c r="BK7" s="14" t="s">
        <v>122</v>
      </c>
      <c r="BL7" s="14" t="s">
        <v>121</v>
      </c>
      <c r="BM7" s="14" t="s">
        <v>237</v>
      </c>
      <c r="BN7" s="14" t="s">
        <v>99</v>
      </c>
      <c r="BO7" s="14" t="s">
        <v>238</v>
      </c>
      <c r="BP7" s="14" t="s">
        <v>99</v>
      </c>
      <c r="BQ7" s="14" t="s">
        <v>99</v>
      </c>
      <c r="BR7" s="14" t="s">
        <v>124</v>
      </c>
      <c r="BS7" s="14" t="s">
        <v>239</v>
      </c>
      <c r="BT7" s="14" t="str">
        <f>HYPERLINK("https%3A%2F%2Fwww.webofscience.com%2Fwos%2Fwoscc%2Ffull-record%2FWOS:000227928800004","View Full Record in Web of Science")</f>
        <v>View Full Record in Web of Science</v>
      </c>
    </row>
    <row r="8" ht="12.75" customHeight="1">
      <c r="A8" s="14" t="s">
        <v>97</v>
      </c>
      <c r="B8" s="14" t="s">
        <v>240</v>
      </c>
      <c r="C8" s="14" t="s">
        <v>99</v>
      </c>
      <c r="D8" s="14" t="s">
        <v>99</v>
      </c>
      <c r="E8" s="14" t="s">
        <v>99</v>
      </c>
      <c r="F8" s="14" t="s">
        <v>241</v>
      </c>
      <c r="G8" s="14" t="s">
        <v>99</v>
      </c>
      <c r="H8" s="14" t="s">
        <v>99</v>
      </c>
      <c r="I8" s="14" t="s">
        <v>242</v>
      </c>
      <c r="J8" s="14" t="s">
        <v>243</v>
      </c>
      <c r="K8" s="14" t="s">
        <v>99</v>
      </c>
      <c r="L8" s="14" t="s">
        <v>99</v>
      </c>
      <c r="M8" s="14" t="s">
        <v>103</v>
      </c>
      <c r="N8" s="14" t="s">
        <v>104</v>
      </c>
      <c r="O8" s="14" t="s">
        <v>99</v>
      </c>
      <c r="P8" s="14" t="s">
        <v>99</v>
      </c>
      <c r="Q8" s="14" t="s">
        <v>99</v>
      </c>
      <c r="R8" s="14" t="s">
        <v>99</v>
      </c>
      <c r="S8" s="14" t="s">
        <v>99</v>
      </c>
      <c r="T8" s="14" t="s">
        <v>244</v>
      </c>
      <c r="U8" s="14" t="s">
        <v>245</v>
      </c>
      <c r="V8" s="14" t="s">
        <v>246</v>
      </c>
      <c r="W8" s="14" t="s">
        <v>247</v>
      </c>
      <c r="X8" s="14" t="s">
        <v>248</v>
      </c>
      <c r="Y8" s="14" t="s">
        <v>249</v>
      </c>
      <c r="Z8" s="14" t="s">
        <v>250</v>
      </c>
      <c r="AA8" s="14" t="s">
        <v>251</v>
      </c>
      <c r="AB8" s="14" t="s">
        <v>252</v>
      </c>
      <c r="AC8" s="14" t="s">
        <v>99</v>
      </c>
      <c r="AD8" s="14" t="s">
        <v>99</v>
      </c>
      <c r="AE8" s="14" t="s">
        <v>99</v>
      </c>
      <c r="AF8" s="14" t="s">
        <v>99</v>
      </c>
      <c r="AG8" s="14">
        <v>37.0</v>
      </c>
      <c r="AH8" s="14">
        <v>20.0</v>
      </c>
      <c r="AI8" s="14">
        <v>21.0</v>
      </c>
      <c r="AJ8" s="14">
        <v>0.0</v>
      </c>
      <c r="AK8" s="14">
        <v>11.0</v>
      </c>
      <c r="AL8" s="14" t="s">
        <v>253</v>
      </c>
      <c r="AM8" s="14" t="s">
        <v>254</v>
      </c>
      <c r="AN8" s="14" t="s">
        <v>255</v>
      </c>
      <c r="AO8" s="14" t="s">
        <v>256</v>
      </c>
      <c r="AP8" s="14" t="s">
        <v>99</v>
      </c>
      <c r="AQ8" s="14" t="s">
        <v>99</v>
      </c>
      <c r="AR8" s="14" t="s">
        <v>257</v>
      </c>
      <c r="AS8" s="14" t="s">
        <v>258</v>
      </c>
      <c r="AT8" s="14" t="s">
        <v>99</v>
      </c>
      <c r="AU8" s="14">
        <v>2008.0</v>
      </c>
      <c r="AV8" s="14">
        <v>56.0</v>
      </c>
      <c r="AW8" s="14">
        <v>1.0</v>
      </c>
      <c r="AX8" s="14" t="s">
        <v>99</v>
      </c>
      <c r="AY8" s="14" t="s">
        <v>99</v>
      </c>
      <c r="AZ8" s="14" t="s">
        <v>99</v>
      </c>
      <c r="BA8" s="14" t="s">
        <v>99</v>
      </c>
      <c r="BB8" s="14">
        <v>33.0</v>
      </c>
      <c r="BC8" s="14">
        <v>43.0</v>
      </c>
      <c r="BD8" s="14" t="s">
        <v>99</v>
      </c>
      <c r="BE8" s="14" t="s">
        <v>99</v>
      </c>
      <c r="BF8" s="14" t="s">
        <v>99</v>
      </c>
      <c r="BG8" s="14" t="s">
        <v>99</v>
      </c>
      <c r="BH8" s="14" t="s">
        <v>99</v>
      </c>
      <c r="BI8" s="14">
        <v>11.0</v>
      </c>
      <c r="BJ8" s="14" t="s">
        <v>259</v>
      </c>
      <c r="BK8" s="14" t="s">
        <v>122</v>
      </c>
      <c r="BL8" s="14" t="s">
        <v>260</v>
      </c>
      <c r="BM8" s="14" t="s">
        <v>261</v>
      </c>
      <c r="BN8" s="14" t="s">
        <v>99</v>
      </c>
      <c r="BO8" s="14" t="s">
        <v>99</v>
      </c>
      <c r="BP8" s="14" t="s">
        <v>99</v>
      </c>
      <c r="BQ8" s="14" t="s">
        <v>99</v>
      </c>
      <c r="BR8" s="14" t="s">
        <v>124</v>
      </c>
      <c r="BS8" s="14" t="s">
        <v>262</v>
      </c>
      <c r="BT8" s="14" t="str">
        <f>HYPERLINK("https%3A%2F%2Fwww.webofscience.com%2Fwos%2Fwoscc%2Ffull-record%2FWOS:000254107400003","View Full Record in Web of Science")</f>
        <v>View Full Record in Web of Science</v>
      </c>
    </row>
    <row r="9" ht="12.75" customHeight="1">
      <c r="A9" s="14" t="s">
        <v>97</v>
      </c>
      <c r="B9" s="14" t="s">
        <v>263</v>
      </c>
      <c r="C9" s="14" t="s">
        <v>99</v>
      </c>
      <c r="D9" s="14" t="s">
        <v>99</v>
      </c>
      <c r="E9" s="14" t="s">
        <v>99</v>
      </c>
      <c r="F9" s="14" t="s">
        <v>263</v>
      </c>
      <c r="G9" s="14" t="s">
        <v>99</v>
      </c>
      <c r="H9" s="14" t="s">
        <v>99</v>
      </c>
      <c r="I9" s="14" t="s">
        <v>264</v>
      </c>
      <c r="J9" s="14" t="s">
        <v>265</v>
      </c>
      <c r="K9" s="14" t="s">
        <v>99</v>
      </c>
      <c r="L9" s="14" t="s">
        <v>99</v>
      </c>
      <c r="M9" s="14" t="s">
        <v>103</v>
      </c>
      <c r="N9" s="14" t="s">
        <v>104</v>
      </c>
      <c r="O9" s="14" t="s">
        <v>99</v>
      </c>
      <c r="P9" s="14" t="s">
        <v>99</v>
      </c>
      <c r="Q9" s="14" t="s">
        <v>99</v>
      </c>
      <c r="R9" s="14" t="s">
        <v>99</v>
      </c>
      <c r="S9" s="14" t="s">
        <v>99</v>
      </c>
      <c r="T9" s="14" t="s">
        <v>266</v>
      </c>
      <c r="U9" s="14" t="s">
        <v>267</v>
      </c>
      <c r="V9" s="14" t="s">
        <v>268</v>
      </c>
      <c r="W9" s="14" t="s">
        <v>269</v>
      </c>
      <c r="X9" s="14" t="s">
        <v>270</v>
      </c>
      <c r="Y9" s="14" t="s">
        <v>271</v>
      </c>
      <c r="Z9" s="14" t="s">
        <v>272</v>
      </c>
      <c r="AA9" s="14" t="s">
        <v>99</v>
      </c>
      <c r="AB9" s="14" t="s">
        <v>99</v>
      </c>
      <c r="AC9" s="14" t="s">
        <v>99</v>
      </c>
      <c r="AD9" s="14" t="s">
        <v>99</v>
      </c>
      <c r="AE9" s="14" t="s">
        <v>99</v>
      </c>
      <c r="AF9" s="14" t="s">
        <v>99</v>
      </c>
      <c r="AG9" s="14">
        <v>49.0</v>
      </c>
      <c r="AH9" s="14">
        <v>142.0</v>
      </c>
      <c r="AI9" s="14">
        <v>186.0</v>
      </c>
      <c r="AJ9" s="14">
        <v>5.0</v>
      </c>
      <c r="AK9" s="14">
        <v>91.0</v>
      </c>
      <c r="AL9" s="14" t="s">
        <v>273</v>
      </c>
      <c r="AM9" s="14" t="s">
        <v>274</v>
      </c>
      <c r="AN9" s="14" t="s">
        <v>275</v>
      </c>
      <c r="AO9" s="14" t="s">
        <v>276</v>
      </c>
      <c r="AP9" s="14" t="s">
        <v>277</v>
      </c>
      <c r="AQ9" s="14" t="s">
        <v>99</v>
      </c>
      <c r="AR9" s="14" t="s">
        <v>278</v>
      </c>
      <c r="AS9" s="14" t="s">
        <v>279</v>
      </c>
      <c r="AT9" s="14" t="s">
        <v>280</v>
      </c>
      <c r="AU9" s="14">
        <v>2002.0</v>
      </c>
      <c r="AV9" s="14">
        <v>48.0</v>
      </c>
      <c r="AW9" s="14">
        <v>1.0</v>
      </c>
      <c r="AX9" s="14" t="s">
        <v>99</v>
      </c>
      <c r="AY9" s="14" t="s">
        <v>99</v>
      </c>
      <c r="AZ9" s="14" t="s">
        <v>99</v>
      </c>
      <c r="BA9" s="14" t="s">
        <v>99</v>
      </c>
      <c r="BB9" s="14">
        <v>129.0</v>
      </c>
      <c r="BC9" s="14">
        <v>145.0</v>
      </c>
      <c r="BD9" s="14" t="s">
        <v>99</v>
      </c>
      <c r="BE9" s="14" t="s">
        <v>99</v>
      </c>
      <c r="BF9" s="14" t="s">
        <v>99</v>
      </c>
      <c r="BG9" s="14" t="s">
        <v>99</v>
      </c>
      <c r="BH9" s="14" t="s">
        <v>99</v>
      </c>
      <c r="BI9" s="14">
        <v>17.0</v>
      </c>
      <c r="BJ9" s="14" t="s">
        <v>281</v>
      </c>
      <c r="BK9" s="14" t="s">
        <v>122</v>
      </c>
      <c r="BL9" s="14" t="s">
        <v>281</v>
      </c>
      <c r="BM9" s="14" t="s">
        <v>282</v>
      </c>
      <c r="BN9" s="14" t="s">
        <v>99</v>
      </c>
      <c r="BO9" s="14" t="s">
        <v>99</v>
      </c>
      <c r="BP9" s="14" t="s">
        <v>99</v>
      </c>
      <c r="BQ9" s="14" t="s">
        <v>99</v>
      </c>
      <c r="BR9" s="14" t="s">
        <v>124</v>
      </c>
      <c r="BS9" s="14" t="s">
        <v>283</v>
      </c>
      <c r="BT9" s="14" t="str">
        <f>HYPERLINK("https%3A%2F%2Fwww.webofscience.com%2Fwos%2Fwoscc%2Ffull-record%2FWOS:000173846700015","View Full Record in Web of Science")</f>
        <v>View Full Record in Web of Science</v>
      </c>
    </row>
    <row r="10" ht="12.75" customHeight="1">
      <c r="A10" s="14" t="s">
        <v>284</v>
      </c>
      <c r="B10" s="14" t="s">
        <v>285</v>
      </c>
      <c r="C10" s="14" t="s">
        <v>99</v>
      </c>
      <c r="D10" s="14" t="s">
        <v>286</v>
      </c>
      <c r="E10" s="14" t="s">
        <v>99</v>
      </c>
      <c r="F10" s="14" t="s">
        <v>287</v>
      </c>
      <c r="G10" s="14" t="s">
        <v>99</v>
      </c>
      <c r="H10" s="14" t="s">
        <v>99</v>
      </c>
      <c r="I10" s="14" t="s">
        <v>288</v>
      </c>
      <c r="J10" s="14" t="s">
        <v>289</v>
      </c>
      <c r="K10" s="14" t="s">
        <v>290</v>
      </c>
      <c r="L10" s="14" t="s">
        <v>99</v>
      </c>
      <c r="M10" s="14" t="s">
        <v>103</v>
      </c>
      <c r="N10" s="14" t="s">
        <v>291</v>
      </c>
      <c r="O10" s="14" t="s">
        <v>99</v>
      </c>
      <c r="P10" s="14" t="s">
        <v>99</v>
      </c>
      <c r="Q10" s="14" t="s">
        <v>99</v>
      </c>
      <c r="R10" s="14" t="s">
        <v>99</v>
      </c>
      <c r="S10" s="14" t="s">
        <v>99</v>
      </c>
      <c r="T10" s="14" t="s">
        <v>99</v>
      </c>
      <c r="U10" s="14" t="s">
        <v>292</v>
      </c>
      <c r="V10" s="14" t="s">
        <v>99</v>
      </c>
      <c r="W10" s="14" t="s">
        <v>293</v>
      </c>
      <c r="X10" s="14" t="s">
        <v>294</v>
      </c>
      <c r="Y10" s="14" t="s">
        <v>295</v>
      </c>
      <c r="Z10" s="14" t="s">
        <v>99</v>
      </c>
      <c r="AA10" s="14" t="s">
        <v>99</v>
      </c>
      <c r="AB10" s="14" t="s">
        <v>99</v>
      </c>
      <c r="AC10" s="14" t="s">
        <v>99</v>
      </c>
      <c r="AD10" s="14" t="s">
        <v>99</v>
      </c>
      <c r="AE10" s="14" t="s">
        <v>99</v>
      </c>
      <c r="AF10" s="14" t="s">
        <v>99</v>
      </c>
      <c r="AG10" s="14">
        <v>192.0</v>
      </c>
      <c r="AH10" s="14">
        <v>2.0</v>
      </c>
      <c r="AI10" s="14">
        <v>2.0</v>
      </c>
      <c r="AJ10" s="14">
        <v>1.0</v>
      </c>
      <c r="AK10" s="14">
        <v>5.0</v>
      </c>
      <c r="AL10" s="14" t="s">
        <v>296</v>
      </c>
      <c r="AM10" s="14" t="s">
        <v>274</v>
      </c>
      <c r="AN10" s="14" t="s">
        <v>297</v>
      </c>
      <c r="AO10" s="14" t="s">
        <v>99</v>
      </c>
      <c r="AP10" s="14" t="s">
        <v>99</v>
      </c>
      <c r="AQ10" s="14" t="s">
        <v>298</v>
      </c>
      <c r="AR10" s="14" t="s">
        <v>299</v>
      </c>
      <c r="AS10" s="14" t="s">
        <v>99</v>
      </c>
      <c r="AT10" s="14" t="s">
        <v>99</v>
      </c>
      <c r="AU10" s="14">
        <v>2014.0</v>
      </c>
      <c r="AV10" s="14" t="s">
        <v>99</v>
      </c>
      <c r="AW10" s="14" t="s">
        <v>99</v>
      </c>
      <c r="AX10" s="14" t="s">
        <v>99</v>
      </c>
      <c r="AY10" s="14" t="s">
        <v>99</v>
      </c>
      <c r="AZ10" s="14" t="s">
        <v>99</v>
      </c>
      <c r="BA10" s="14" t="s">
        <v>99</v>
      </c>
      <c r="BB10" s="14">
        <v>113.0</v>
      </c>
      <c r="BC10" s="14">
        <v>212.0</v>
      </c>
      <c r="BD10" s="14" t="s">
        <v>99</v>
      </c>
      <c r="BE10" s="14" t="s">
        <v>99</v>
      </c>
      <c r="BF10" s="14" t="s">
        <v>99</v>
      </c>
      <c r="BG10" s="14" t="s">
        <v>300</v>
      </c>
      <c r="BH10" s="14" t="s">
        <v>99</v>
      </c>
      <c r="BI10" s="14">
        <v>100.0</v>
      </c>
      <c r="BJ10" s="14" t="s">
        <v>301</v>
      </c>
      <c r="BK10" s="14" t="s">
        <v>302</v>
      </c>
      <c r="BL10" s="14" t="s">
        <v>303</v>
      </c>
      <c r="BM10" s="14" t="s">
        <v>304</v>
      </c>
      <c r="BN10" s="14" t="s">
        <v>99</v>
      </c>
      <c r="BO10" s="14" t="s">
        <v>99</v>
      </c>
      <c r="BP10" s="14" t="s">
        <v>99</v>
      </c>
      <c r="BQ10" s="14" t="s">
        <v>99</v>
      </c>
      <c r="BR10" s="14" t="s">
        <v>124</v>
      </c>
      <c r="BS10" s="14" t="s">
        <v>305</v>
      </c>
      <c r="BT10" s="14" t="str">
        <f>HYPERLINK("https%3A%2F%2Fwww.webofscience.com%2Fwos%2Fwoscc%2Ffull-record%2FWOS:000364520200005","View Full Record in Web of Science")</f>
        <v>View Full Record in Web of Science</v>
      </c>
    </row>
    <row r="11" ht="12.75" customHeight="1">
      <c r="A11" s="14" t="s">
        <v>97</v>
      </c>
      <c r="B11" s="14" t="s">
        <v>306</v>
      </c>
      <c r="C11" s="14" t="s">
        <v>99</v>
      </c>
      <c r="D11" s="14" t="s">
        <v>99</v>
      </c>
      <c r="E11" s="14" t="s">
        <v>99</v>
      </c>
      <c r="F11" s="14" t="s">
        <v>306</v>
      </c>
      <c r="G11" s="14" t="s">
        <v>99</v>
      </c>
      <c r="H11" s="14" t="s">
        <v>99</v>
      </c>
      <c r="I11" s="14" t="s">
        <v>307</v>
      </c>
      <c r="J11" s="14" t="s">
        <v>308</v>
      </c>
      <c r="K11" s="14" t="s">
        <v>99</v>
      </c>
      <c r="L11" s="14" t="s">
        <v>99</v>
      </c>
      <c r="M11" s="14" t="s">
        <v>103</v>
      </c>
      <c r="N11" s="14" t="s">
        <v>104</v>
      </c>
      <c r="O11" s="14" t="s">
        <v>99</v>
      </c>
      <c r="P11" s="14" t="s">
        <v>99</v>
      </c>
      <c r="Q11" s="14" t="s">
        <v>99</v>
      </c>
      <c r="R11" s="14" t="s">
        <v>99</v>
      </c>
      <c r="S11" s="14" t="s">
        <v>99</v>
      </c>
      <c r="T11" s="14" t="s">
        <v>309</v>
      </c>
      <c r="U11" s="14" t="s">
        <v>310</v>
      </c>
      <c r="V11" s="14" t="s">
        <v>311</v>
      </c>
      <c r="W11" s="14" t="s">
        <v>312</v>
      </c>
      <c r="X11" s="14" t="s">
        <v>313</v>
      </c>
      <c r="Y11" s="14" t="s">
        <v>314</v>
      </c>
      <c r="Z11" s="14" t="s">
        <v>99</v>
      </c>
      <c r="AA11" s="14" t="s">
        <v>99</v>
      </c>
      <c r="AB11" s="14" t="s">
        <v>315</v>
      </c>
      <c r="AC11" s="14" t="s">
        <v>99</v>
      </c>
      <c r="AD11" s="14" t="s">
        <v>99</v>
      </c>
      <c r="AE11" s="14" t="s">
        <v>99</v>
      </c>
      <c r="AF11" s="14" t="s">
        <v>99</v>
      </c>
      <c r="AG11" s="14">
        <v>66.0</v>
      </c>
      <c r="AH11" s="14">
        <v>95.0</v>
      </c>
      <c r="AI11" s="14">
        <v>118.0</v>
      </c>
      <c r="AJ11" s="14">
        <v>2.0</v>
      </c>
      <c r="AK11" s="14">
        <v>45.0</v>
      </c>
      <c r="AL11" s="14" t="s">
        <v>316</v>
      </c>
      <c r="AM11" s="14" t="s">
        <v>317</v>
      </c>
      <c r="AN11" s="14" t="s">
        <v>318</v>
      </c>
      <c r="AO11" s="14" t="s">
        <v>319</v>
      </c>
      <c r="AP11" s="14" t="s">
        <v>320</v>
      </c>
      <c r="AQ11" s="14" t="s">
        <v>99</v>
      </c>
      <c r="AR11" s="14" t="s">
        <v>321</v>
      </c>
      <c r="AS11" s="14" t="s">
        <v>322</v>
      </c>
      <c r="AT11" s="14" t="s">
        <v>99</v>
      </c>
      <c r="AU11" s="14">
        <v>2005.0</v>
      </c>
      <c r="AV11" s="14">
        <v>92.0</v>
      </c>
      <c r="AW11" s="14">
        <v>2.0</v>
      </c>
      <c r="AX11" s="14" t="s">
        <v>99</v>
      </c>
      <c r="AY11" s="14" t="s">
        <v>99</v>
      </c>
      <c r="AZ11" s="14" t="s">
        <v>99</v>
      </c>
      <c r="BA11" s="14" t="s">
        <v>99</v>
      </c>
      <c r="BB11" s="14">
        <v>139.0</v>
      </c>
      <c r="BC11" s="14">
        <v>152.0</v>
      </c>
      <c r="BD11" s="14" t="s">
        <v>99</v>
      </c>
      <c r="BE11" s="14" t="s">
        <v>99</v>
      </c>
      <c r="BF11" s="14" t="s">
        <v>99</v>
      </c>
      <c r="BG11" s="14" t="s">
        <v>99</v>
      </c>
      <c r="BH11" s="14" t="s">
        <v>99</v>
      </c>
      <c r="BI11" s="14">
        <v>14.0</v>
      </c>
      <c r="BJ11" s="14" t="s">
        <v>214</v>
      </c>
      <c r="BK11" s="14" t="s">
        <v>122</v>
      </c>
      <c r="BL11" s="14" t="s">
        <v>214</v>
      </c>
      <c r="BM11" s="14" t="s">
        <v>323</v>
      </c>
      <c r="BN11" s="14" t="s">
        <v>99</v>
      </c>
      <c r="BO11" s="14" t="s">
        <v>99</v>
      </c>
      <c r="BP11" s="14" t="s">
        <v>99</v>
      </c>
      <c r="BQ11" s="14" t="s">
        <v>99</v>
      </c>
      <c r="BR11" s="14" t="s">
        <v>124</v>
      </c>
      <c r="BS11" s="14" t="s">
        <v>324</v>
      </c>
      <c r="BT11" s="14" t="str">
        <f>HYPERLINK("https%3A%2F%2Fwww.webofscience.com%2Fwos%2Fwoscc%2Ffull-record%2FWOS:000230948700001","View Full Record in Web of Science")</f>
        <v>View Full Record in Web of Science</v>
      </c>
    </row>
    <row r="12" ht="12.75" customHeight="1">
      <c r="A12" s="14" t="s">
        <v>97</v>
      </c>
      <c r="B12" s="14" t="s">
        <v>325</v>
      </c>
      <c r="C12" s="14" t="s">
        <v>99</v>
      </c>
      <c r="D12" s="14" t="s">
        <v>99</v>
      </c>
      <c r="E12" s="14" t="s">
        <v>99</v>
      </c>
      <c r="F12" s="14" t="s">
        <v>326</v>
      </c>
      <c r="G12" s="14" t="s">
        <v>99</v>
      </c>
      <c r="H12" s="14" t="s">
        <v>99</v>
      </c>
      <c r="I12" s="14" t="s">
        <v>327</v>
      </c>
      <c r="J12" s="14" t="s">
        <v>328</v>
      </c>
      <c r="K12" s="14" t="s">
        <v>99</v>
      </c>
      <c r="L12" s="14" t="s">
        <v>99</v>
      </c>
      <c r="M12" s="14" t="s">
        <v>103</v>
      </c>
      <c r="N12" s="14" t="s">
        <v>104</v>
      </c>
      <c r="O12" s="14" t="s">
        <v>99</v>
      </c>
      <c r="P12" s="14" t="s">
        <v>99</v>
      </c>
      <c r="Q12" s="14" t="s">
        <v>99</v>
      </c>
      <c r="R12" s="14" t="s">
        <v>99</v>
      </c>
      <c r="S12" s="14" t="s">
        <v>99</v>
      </c>
      <c r="T12" s="14" t="s">
        <v>329</v>
      </c>
      <c r="U12" s="14" t="s">
        <v>330</v>
      </c>
      <c r="V12" s="14" t="s">
        <v>331</v>
      </c>
      <c r="W12" s="14" t="s">
        <v>332</v>
      </c>
      <c r="X12" s="14" t="s">
        <v>333</v>
      </c>
      <c r="Y12" s="14" t="s">
        <v>334</v>
      </c>
      <c r="Z12" s="14" t="s">
        <v>335</v>
      </c>
      <c r="AA12" s="14" t="s">
        <v>336</v>
      </c>
      <c r="AB12" s="14" t="s">
        <v>337</v>
      </c>
      <c r="AC12" s="14" t="s">
        <v>338</v>
      </c>
      <c r="AD12" s="14" t="s">
        <v>339</v>
      </c>
      <c r="AE12" s="14" t="s">
        <v>340</v>
      </c>
      <c r="AF12" s="14" t="s">
        <v>99</v>
      </c>
      <c r="AG12" s="14">
        <v>55.0</v>
      </c>
      <c r="AH12" s="14">
        <v>50.0</v>
      </c>
      <c r="AI12" s="14">
        <v>54.0</v>
      </c>
      <c r="AJ12" s="14">
        <v>2.0</v>
      </c>
      <c r="AK12" s="14">
        <v>66.0</v>
      </c>
      <c r="AL12" s="14" t="s">
        <v>341</v>
      </c>
      <c r="AM12" s="14" t="s">
        <v>342</v>
      </c>
      <c r="AN12" s="14" t="s">
        <v>343</v>
      </c>
      <c r="AO12" s="14" t="s">
        <v>344</v>
      </c>
      <c r="AP12" s="14" t="s">
        <v>345</v>
      </c>
      <c r="AQ12" s="14" t="s">
        <v>99</v>
      </c>
      <c r="AR12" s="14" t="s">
        <v>346</v>
      </c>
      <c r="AS12" s="14" t="s">
        <v>347</v>
      </c>
      <c r="AT12" s="14" t="s">
        <v>348</v>
      </c>
      <c r="AU12" s="14">
        <v>2019.0</v>
      </c>
      <c r="AV12" s="14">
        <v>25.0</v>
      </c>
      <c r="AW12" s="14">
        <v>11.0</v>
      </c>
      <c r="AX12" s="14" t="s">
        <v>99</v>
      </c>
      <c r="AY12" s="14" t="s">
        <v>99</v>
      </c>
      <c r="AZ12" s="14" t="s">
        <v>99</v>
      </c>
      <c r="BA12" s="14" t="s">
        <v>99</v>
      </c>
      <c r="BB12" s="14">
        <v>3946.0</v>
      </c>
      <c r="BC12" s="14">
        <v>3953.0</v>
      </c>
      <c r="BD12" s="14" t="s">
        <v>99</v>
      </c>
      <c r="BE12" s="14" t="s">
        <v>349</v>
      </c>
      <c r="BF12" s="15" t="str">
        <f>HYPERLINK("http://dx.doi.org/10.1111/gcb.14810","http://dx.doi.org/10.1111/gcb.14810")</f>
        <v>http://dx.doi.org/10.1111/gcb.14810</v>
      </c>
      <c r="BG12" s="14" t="s">
        <v>99</v>
      </c>
      <c r="BH12" s="14" t="s">
        <v>350</v>
      </c>
      <c r="BI12" s="14">
        <v>8.0</v>
      </c>
      <c r="BJ12" s="14" t="s">
        <v>351</v>
      </c>
      <c r="BK12" s="14" t="s">
        <v>122</v>
      </c>
      <c r="BL12" s="14" t="s">
        <v>352</v>
      </c>
      <c r="BM12" s="14" t="s">
        <v>353</v>
      </c>
      <c r="BN12" s="14">
        <v>3.1442348E7</v>
      </c>
      <c r="BO12" s="14" t="s">
        <v>354</v>
      </c>
      <c r="BP12" s="14" t="s">
        <v>99</v>
      </c>
      <c r="BQ12" s="14" t="s">
        <v>99</v>
      </c>
      <c r="BR12" s="14" t="s">
        <v>124</v>
      </c>
      <c r="BS12" s="14" t="s">
        <v>355</v>
      </c>
      <c r="BT12" s="14" t="str">
        <f>HYPERLINK("https%3A%2F%2Fwww.webofscience.com%2Fwos%2Fwoscc%2Ffull-record%2FWOS:000486782400001","View Full Record in Web of Science")</f>
        <v>View Full Record in Web of Science</v>
      </c>
    </row>
    <row r="13" ht="12.75" customHeight="1">
      <c r="A13" s="14" t="s">
        <v>97</v>
      </c>
      <c r="B13" s="14" t="s">
        <v>356</v>
      </c>
      <c r="C13" s="14" t="s">
        <v>99</v>
      </c>
      <c r="D13" s="14" t="s">
        <v>99</v>
      </c>
      <c r="E13" s="14" t="s">
        <v>99</v>
      </c>
      <c r="F13" s="14" t="s">
        <v>357</v>
      </c>
      <c r="G13" s="14" t="s">
        <v>99</v>
      </c>
      <c r="H13" s="14" t="s">
        <v>99</v>
      </c>
      <c r="I13" s="14" t="s">
        <v>358</v>
      </c>
      <c r="J13" s="14" t="s">
        <v>328</v>
      </c>
      <c r="K13" s="14" t="s">
        <v>99</v>
      </c>
      <c r="L13" s="14" t="s">
        <v>99</v>
      </c>
      <c r="M13" s="14" t="s">
        <v>103</v>
      </c>
      <c r="N13" s="14" t="s">
        <v>104</v>
      </c>
      <c r="O13" s="14" t="s">
        <v>99</v>
      </c>
      <c r="P13" s="14" t="s">
        <v>99</v>
      </c>
      <c r="Q13" s="14" t="s">
        <v>99</v>
      </c>
      <c r="R13" s="14" t="s">
        <v>99</v>
      </c>
      <c r="S13" s="14" t="s">
        <v>99</v>
      </c>
      <c r="T13" s="14" t="s">
        <v>359</v>
      </c>
      <c r="U13" s="14" t="s">
        <v>360</v>
      </c>
      <c r="V13" s="14" t="s">
        <v>361</v>
      </c>
      <c r="W13" s="14" t="s">
        <v>362</v>
      </c>
      <c r="X13" s="14" t="s">
        <v>363</v>
      </c>
      <c r="Y13" s="14" t="s">
        <v>364</v>
      </c>
      <c r="Z13" s="14" t="s">
        <v>365</v>
      </c>
      <c r="AA13" s="14" t="s">
        <v>366</v>
      </c>
      <c r="AB13" s="14" t="s">
        <v>367</v>
      </c>
      <c r="AC13" s="14" t="s">
        <v>368</v>
      </c>
      <c r="AD13" s="14" t="s">
        <v>369</v>
      </c>
      <c r="AE13" s="14" t="s">
        <v>370</v>
      </c>
      <c r="AF13" s="14" t="s">
        <v>99</v>
      </c>
      <c r="AG13" s="14">
        <v>99.0</v>
      </c>
      <c r="AH13" s="14">
        <v>63.0</v>
      </c>
      <c r="AI13" s="14">
        <v>67.0</v>
      </c>
      <c r="AJ13" s="14">
        <v>0.0</v>
      </c>
      <c r="AK13" s="14">
        <v>95.0</v>
      </c>
      <c r="AL13" s="14" t="s">
        <v>341</v>
      </c>
      <c r="AM13" s="14" t="s">
        <v>342</v>
      </c>
      <c r="AN13" s="14" t="s">
        <v>343</v>
      </c>
      <c r="AO13" s="14" t="s">
        <v>344</v>
      </c>
      <c r="AP13" s="14" t="s">
        <v>345</v>
      </c>
      <c r="AQ13" s="14" t="s">
        <v>99</v>
      </c>
      <c r="AR13" s="14" t="s">
        <v>346</v>
      </c>
      <c r="AS13" s="14" t="s">
        <v>347</v>
      </c>
      <c r="AT13" s="14" t="s">
        <v>348</v>
      </c>
      <c r="AU13" s="14">
        <v>2019.0</v>
      </c>
      <c r="AV13" s="14">
        <v>25.0</v>
      </c>
      <c r="AW13" s="14">
        <v>11.0</v>
      </c>
      <c r="AX13" s="14" t="s">
        <v>99</v>
      </c>
      <c r="AY13" s="14" t="s">
        <v>99</v>
      </c>
      <c r="AZ13" s="14" t="s">
        <v>99</v>
      </c>
      <c r="BA13" s="14" t="s">
        <v>99</v>
      </c>
      <c r="BB13" s="14">
        <v>3972.0</v>
      </c>
      <c r="BC13" s="14">
        <v>3984.0</v>
      </c>
      <c r="BD13" s="14" t="s">
        <v>99</v>
      </c>
      <c r="BE13" s="14" t="s">
        <v>371</v>
      </c>
      <c r="BF13" s="15" t="str">
        <f>HYPERLINK("http://dx.doi.org/10.1111/gcb.14785","http://dx.doi.org/10.1111/gcb.14785")</f>
        <v>http://dx.doi.org/10.1111/gcb.14785</v>
      </c>
      <c r="BG13" s="14" t="s">
        <v>99</v>
      </c>
      <c r="BH13" s="14" t="s">
        <v>372</v>
      </c>
      <c r="BI13" s="14">
        <v>13.0</v>
      </c>
      <c r="BJ13" s="14" t="s">
        <v>351</v>
      </c>
      <c r="BK13" s="14" t="s">
        <v>122</v>
      </c>
      <c r="BL13" s="14" t="s">
        <v>352</v>
      </c>
      <c r="BM13" s="14" t="s">
        <v>353</v>
      </c>
      <c r="BN13" s="14">
        <v>3.137631E7</v>
      </c>
      <c r="BO13" s="14" t="s">
        <v>373</v>
      </c>
      <c r="BP13" s="14" t="s">
        <v>99</v>
      </c>
      <c r="BQ13" s="14" t="s">
        <v>99</v>
      </c>
      <c r="BR13" s="14" t="s">
        <v>124</v>
      </c>
      <c r="BS13" s="14" t="s">
        <v>374</v>
      </c>
      <c r="BT13" s="14" t="str">
        <f>HYPERLINK("https%3A%2F%2Fwww.webofscience.com%2Fwos%2Fwoscc%2Ffull-record%2FWOS:000482780600001","View Full Record in Web of Science")</f>
        <v>View Full Record in Web of Science</v>
      </c>
    </row>
    <row r="14" ht="12.75" customHeight="1">
      <c r="A14" s="14" t="s">
        <v>97</v>
      </c>
      <c r="B14" s="14" t="s">
        <v>375</v>
      </c>
      <c r="C14" s="14" t="s">
        <v>99</v>
      </c>
      <c r="D14" s="14" t="s">
        <v>99</v>
      </c>
      <c r="E14" s="14" t="s">
        <v>99</v>
      </c>
      <c r="F14" s="14" t="s">
        <v>376</v>
      </c>
      <c r="G14" s="14" t="s">
        <v>99</v>
      </c>
      <c r="H14" s="14" t="s">
        <v>99</v>
      </c>
      <c r="I14" s="14" t="s">
        <v>377</v>
      </c>
      <c r="J14" s="14" t="s">
        <v>378</v>
      </c>
      <c r="K14" s="14" t="s">
        <v>99</v>
      </c>
      <c r="L14" s="14" t="s">
        <v>99</v>
      </c>
      <c r="M14" s="14" t="s">
        <v>103</v>
      </c>
      <c r="N14" s="14" t="s">
        <v>104</v>
      </c>
      <c r="O14" s="14" t="s">
        <v>99</v>
      </c>
      <c r="P14" s="14" t="s">
        <v>99</v>
      </c>
      <c r="Q14" s="14" t="s">
        <v>99</v>
      </c>
      <c r="R14" s="14" t="s">
        <v>99</v>
      </c>
      <c r="S14" s="14" t="s">
        <v>99</v>
      </c>
      <c r="T14" s="14" t="s">
        <v>379</v>
      </c>
      <c r="U14" s="14" t="s">
        <v>380</v>
      </c>
      <c r="V14" s="14" t="s">
        <v>381</v>
      </c>
      <c r="W14" s="14" t="s">
        <v>382</v>
      </c>
      <c r="X14" s="14" t="s">
        <v>383</v>
      </c>
      <c r="Y14" s="14" t="s">
        <v>384</v>
      </c>
      <c r="Z14" s="14" t="s">
        <v>385</v>
      </c>
      <c r="AA14" s="14" t="s">
        <v>386</v>
      </c>
      <c r="AB14" s="14" t="s">
        <v>387</v>
      </c>
      <c r="AC14" s="14" t="s">
        <v>99</v>
      </c>
      <c r="AD14" s="14" t="s">
        <v>99</v>
      </c>
      <c r="AE14" s="14" t="s">
        <v>99</v>
      </c>
      <c r="AF14" s="14" t="s">
        <v>99</v>
      </c>
      <c r="AG14" s="14">
        <v>103.0</v>
      </c>
      <c r="AH14" s="14">
        <v>67.0</v>
      </c>
      <c r="AI14" s="14">
        <v>70.0</v>
      </c>
      <c r="AJ14" s="14">
        <v>1.0</v>
      </c>
      <c r="AK14" s="14">
        <v>56.0</v>
      </c>
      <c r="AL14" s="14" t="s">
        <v>388</v>
      </c>
      <c r="AM14" s="14" t="s">
        <v>389</v>
      </c>
      <c r="AN14" s="14" t="s">
        <v>390</v>
      </c>
      <c r="AO14" s="14" t="s">
        <v>99</v>
      </c>
      <c r="AP14" s="14" t="s">
        <v>391</v>
      </c>
      <c r="AQ14" s="14" t="s">
        <v>99</v>
      </c>
      <c r="AR14" s="14" t="s">
        <v>392</v>
      </c>
      <c r="AS14" s="14" t="s">
        <v>393</v>
      </c>
      <c r="AT14" s="14" t="s">
        <v>394</v>
      </c>
      <c r="AU14" s="14">
        <v>2019.0</v>
      </c>
      <c r="AV14" s="14">
        <v>6.0</v>
      </c>
      <c r="AW14" s="14" t="s">
        <v>99</v>
      </c>
      <c r="AX14" s="14" t="s">
        <v>99</v>
      </c>
      <c r="AY14" s="14" t="s">
        <v>99</v>
      </c>
      <c r="AZ14" s="14" t="s">
        <v>99</v>
      </c>
      <c r="BA14" s="14" t="s">
        <v>99</v>
      </c>
      <c r="BB14" s="14" t="s">
        <v>99</v>
      </c>
      <c r="BC14" s="14" t="s">
        <v>99</v>
      </c>
      <c r="BD14" s="14">
        <v>370.0</v>
      </c>
      <c r="BE14" s="14" t="s">
        <v>395</v>
      </c>
      <c r="BF14" s="15" t="str">
        <f>HYPERLINK("http://dx.doi.org/10.3389/fmars.2019.00370","http://dx.doi.org/10.3389/fmars.2019.00370")</f>
        <v>http://dx.doi.org/10.3389/fmars.2019.00370</v>
      </c>
      <c r="BG14" s="14" t="s">
        <v>99</v>
      </c>
      <c r="BH14" s="14" t="s">
        <v>99</v>
      </c>
      <c r="BI14" s="14">
        <v>17.0</v>
      </c>
      <c r="BJ14" s="14" t="s">
        <v>396</v>
      </c>
      <c r="BK14" s="14" t="s">
        <v>122</v>
      </c>
      <c r="BL14" s="14" t="s">
        <v>397</v>
      </c>
      <c r="BM14" s="14" t="s">
        <v>398</v>
      </c>
      <c r="BN14" s="14" t="s">
        <v>99</v>
      </c>
      <c r="BO14" s="14" t="s">
        <v>399</v>
      </c>
      <c r="BP14" s="14" t="s">
        <v>99</v>
      </c>
      <c r="BQ14" s="14" t="s">
        <v>99</v>
      </c>
      <c r="BR14" s="14" t="s">
        <v>124</v>
      </c>
      <c r="BS14" s="14" t="s">
        <v>400</v>
      </c>
      <c r="BT14" s="14" t="str">
        <f>HYPERLINK("https%3A%2F%2Fwww.webofscience.com%2Fwos%2Fwoscc%2Ffull-record%2FWOS:000473765900001","View Full Record in Web of Science")</f>
        <v>View Full Record in Web of Science</v>
      </c>
    </row>
    <row r="15" ht="12.75" customHeight="1">
      <c r="A15" s="14" t="s">
        <v>97</v>
      </c>
      <c r="B15" s="14" t="s">
        <v>401</v>
      </c>
      <c r="C15" s="14" t="s">
        <v>99</v>
      </c>
      <c r="D15" s="14" t="s">
        <v>99</v>
      </c>
      <c r="E15" s="14" t="s">
        <v>99</v>
      </c>
      <c r="F15" s="14" t="s">
        <v>402</v>
      </c>
      <c r="G15" s="14" t="s">
        <v>99</v>
      </c>
      <c r="H15" s="14" t="s">
        <v>99</v>
      </c>
      <c r="I15" s="14" t="s">
        <v>403</v>
      </c>
      <c r="J15" s="14" t="s">
        <v>404</v>
      </c>
      <c r="K15" s="14" t="s">
        <v>99</v>
      </c>
      <c r="L15" s="14" t="s">
        <v>99</v>
      </c>
      <c r="M15" s="14" t="s">
        <v>103</v>
      </c>
      <c r="N15" s="14" t="s">
        <v>104</v>
      </c>
      <c r="O15" s="14" t="s">
        <v>99</v>
      </c>
      <c r="P15" s="14" t="s">
        <v>99</v>
      </c>
      <c r="Q15" s="14" t="s">
        <v>99</v>
      </c>
      <c r="R15" s="14" t="s">
        <v>99</v>
      </c>
      <c r="S15" s="14" t="s">
        <v>99</v>
      </c>
      <c r="T15" s="14" t="s">
        <v>405</v>
      </c>
      <c r="U15" s="14" t="s">
        <v>406</v>
      </c>
      <c r="V15" s="14" t="s">
        <v>407</v>
      </c>
      <c r="W15" s="14" t="s">
        <v>408</v>
      </c>
      <c r="X15" s="14" t="s">
        <v>409</v>
      </c>
      <c r="Y15" s="14" t="s">
        <v>410</v>
      </c>
      <c r="Z15" s="14" t="s">
        <v>411</v>
      </c>
      <c r="AA15" s="14" t="s">
        <v>412</v>
      </c>
      <c r="AB15" s="14" t="s">
        <v>413</v>
      </c>
      <c r="AC15" s="14" t="s">
        <v>414</v>
      </c>
      <c r="AD15" s="14" t="s">
        <v>415</v>
      </c>
      <c r="AE15" s="14" t="s">
        <v>416</v>
      </c>
      <c r="AF15" s="14" t="s">
        <v>99</v>
      </c>
      <c r="AG15" s="14">
        <v>127.0</v>
      </c>
      <c r="AH15" s="14">
        <v>12.0</v>
      </c>
      <c r="AI15" s="14">
        <v>14.0</v>
      </c>
      <c r="AJ15" s="14">
        <v>4.0</v>
      </c>
      <c r="AK15" s="14">
        <v>109.0</v>
      </c>
      <c r="AL15" s="14" t="s">
        <v>341</v>
      </c>
      <c r="AM15" s="14" t="s">
        <v>342</v>
      </c>
      <c r="AN15" s="14" t="s">
        <v>343</v>
      </c>
      <c r="AO15" s="14" t="s">
        <v>417</v>
      </c>
      <c r="AP15" s="14" t="s">
        <v>418</v>
      </c>
      <c r="AQ15" s="14" t="s">
        <v>99</v>
      </c>
      <c r="AR15" s="14" t="s">
        <v>419</v>
      </c>
      <c r="AS15" s="14" t="s">
        <v>420</v>
      </c>
      <c r="AT15" s="14" t="s">
        <v>421</v>
      </c>
      <c r="AU15" s="14">
        <v>2018.0</v>
      </c>
      <c r="AV15" s="14">
        <v>28.0</v>
      </c>
      <c r="AW15" s="14">
        <v>6.0</v>
      </c>
      <c r="AX15" s="14" t="s">
        <v>99</v>
      </c>
      <c r="AY15" s="14" t="s">
        <v>99</v>
      </c>
      <c r="AZ15" s="14" t="s">
        <v>99</v>
      </c>
      <c r="BA15" s="14" t="s">
        <v>99</v>
      </c>
      <c r="BB15" s="14">
        <v>1377.0</v>
      </c>
      <c r="BC15" s="14">
        <v>1395.0</v>
      </c>
      <c r="BD15" s="14" t="s">
        <v>99</v>
      </c>
      <c r="BE15" s="14" t="s">
        <v>422</v>
      </c>
      <c r="BF15" s="15" t="str">
        <f>HYPERLINK("http://dx.doi.org/10.1002/eap.1755","http://dx.doi.org/10.1002/eap.1755")</f>
        <v>http://dx.doi.org/10.1002/eap.1755</v>
      </c>
      <c r="BG15" s="14" t="s">
        <v>99</v>
      </c>
      <c r="BH15" s="14" t="s">
        <v>99</v>
      </c>
      <c r="BI15" s="14">
        <v>19.0</v>
      </c>
      <c r="BJ15" s="14" t="s">
        <v>423</v>
      </c>
      <c r="BK15" s="14" t="s">
        <v>122</v>
      </c>
      <c r="BL15" s="14" t="s">
        <v>260</v>
      </c>
      <c r="BM15" s="14" t="s">
        <v>424</v>
      </c>
      <c r="BN15" s="14">
        <v>2.9808543E7</v>
      </c>
      <c r="BO15" s="14" t="s">
        <v>425</v>
      </c>
      <c r="BP15" s="14" t="s">
        <v>99</v>
      </c>
      <c r="BQ15" s="14" t="s">
        <v>99</v>
      </c>
      <c r="BR15" s="14" t="s">
        <v>124</v>
      </c>
      <c r="BS15" s="14" t="s">
        <v>426</v>
      </c>
      <c r="BT15" s="14" t="str">
        <f>HYPERLINK("https%3A%2F%2Fwww.webofscience.com%2Fwos%2Fwoscc%2Ffull-record%2FWOS:000443555100001","View Full Record in Web of Science")</f>
        <v>View Full Record in Web of Science</v>
      </c>
    </row>
    <row r="16" ht="12.75" customHeight="1">
      <c r="A16" s="14" t="s">
        <v>97</v>
      </c>
      <c r="B16" s="14" t="s">
        <v>427</v>
      </c>
      <c r="C16" s="14" t="s">
        <v>99</v>
      </c>
      <c r="D16" s="14" t="s">
        <v>99</v>
      </c>
      <c r="E16" s="14" t="s">
        <v>99</v>
      </c>
      <c r="F16" s="14" t="s">
        <v>428</v>
      </c>
      <c r="G16" s="14" t="s">
        <v>99</v>
      </c>
      <c r="H16" s="14" t="s">
        <v>99</v>
      </c>
      <c r="I16" s="14" t="s">
        <v>429</v>
      </c>
      <c r="J16" s="14" t="s">
        <v>430</v>
      </c>
      <c r="K16" s="14" t="s">
        <v>99</v>
      </c>
      <c r="L16" s="14" t="s">
        <v>99</v>
      </c>
      <c r="M16" s="14" t="s">
        <v>103</v>
      </c>
      <c r="N16" s="14" t="s">
        <v>104</v>
      </c>
      <c r="O16" s="14" t="s">
        <v>99</v>
      </c>
      <c r="P16" s="14" t="s">
        <v>99</v>
      </c>
      <c r="Q16" s="14" t="s">
        <v>99</v>
      </c>
      <c r="R16" s="14" t="s">
        <v>99</v>
      </c>
      <c r="S16" s="14" t="s">
        <v>99</v>
      </c>
      <c r="T16" s="14" t="s">
        <v>431</v>
      </c>
      <c r="U16" s="14" t="s">
        <v>432</v>
      </c>
      <c r="V16" s="14" t="s">
        <v>433</v>
      </c>
      <c r="W16" s="14" t="s">
        <v>434</v>
      </c>
      <c r="X16" s="14" t="s">
        <v>435</v>
      </c>
      <c r="Y16" s="14" t="s">
        <v>436</v>
      </c>
      <c r="Z16" s="14" t="s">
        <v>437</v>
      </c>
      <c r="AA16" s="14" t="s">
        <v>99</v>
      </c>
      <c r="AB16" s="14" t="s">
        <v>438</v>
      </c>
      <c r="AC16" s="14" t="s">
        <v>439</v>
      </c>
      <c r="AD16" s="14" t="s">
        <v>439</v>
      </c>
      <c r="AE16" s="14" t="s">
        <v>440</v>
      </c>
      <c r="AF16" s="14" t="s">
        <v>99</v>
      </c>
      <c r="AG16" s="14">
        <v>63.0</v>
      </c>
      <c r="AH16" s="14">
        <v>14.0</v>
      </c>
      <c r="AI16" s="14">
        <v>18.0</v>
      </c>
      <c r="AJ16" s="14">
        <v>0.0</v>
      </c>
      <c r="AK16" s="14">
        <v>35.0</v>
      </c>
      <c r="AL16" s="14" t="s">
        <v>441</v>
      </c>
      <c r="AM16" s="14" t="s">
        <v>442</v>
      </c>
      <c r="AN16" s="14" t="s">
        <v>443</v>
      </c>
      <c r="AO16" s="14" t="s">
        <v>444</v>
      </c>
      <c r="AP16" s="14" t="s">
        <v>445</v>
      </c>
      <c r="AQ16" s="14" t="s">
        <v>99</v>
      </c>
      <c r="AR16" s="14" t="s">
        <v>446</v>
      </c>
      <c r="AS16" s="14" t="s">
        <v>447</v>
      </c>
      <c r="AT16" s="14" t="s">
        <v>448</v>
      </c>
      <c r="AU16" s="14">
        <v>2018.0</v>
      </c>
      <c r="AV16" s="14">
        <v>422.0</v>
      </c>
      <c r="AW16" s="14" t="s">
        <v>99</v>
      </c>
      <c r="AX16" s="14" t="s">
        <v>99</v>
      </c>
      <c r="AY16" s="14" t="s">
        <v>99</v>
      </c>
      <c r="AZ16" s="14" t="s">
        <v>99</v>
      </c>
      <c r="BA16" s="14" t="s">
        <v>99</v>
      </c>
      <c r="BB16" s="14">
        <v>137.0</v>
      </c>
      <c r="BC16" s="14">
        <v>146.0</v>
      </c>
      <c r="BD16" s="14" t="s">
        <v>99</v>
      </c>
      <c r="BE16" s="14" t="s">
        <v>449</v>
      </c>
      <c r="BF16" s="15" t="str">
        <f>HYPERLINK("http://dx.doi.org/10.1016/j.foreco.2018.04.012","http://dx.doi.org/10.1016/j.foreco.2018.04.012")</f>
        <v>http://dx.doi.org/10.1016/j.foreco.2018.04.012</v>
      </c>
      <c r="BG16" s="14" t="s">
        <v>99</v>
      </c>
      <c r="BH16" s="14" t="s">
        <v>99</v>
      </c>
      <c r="BI16" s="14">
        <v>10.0</v>
      </c>
      <c r="BJ16" s="14" t="s">
        <v>281</v>
      </c>
      <c r="BK16" s="14" t="s">
        <v>122</v>
      </c>
      <c r="BL16" s="14" t="s">
        <v>281</v>
      </c>
      <c r="BM16" s="14" t="s">
        <v>450</v>
      </c>
      <c r="BN16" s="14" t="s">
        <v>99</v>
      </c>
      <c r="BO16" s="14" t="s">
        <v>451</v>
      </c>
      <c r="BP16" s="14" t="s">
        <v>99</v>
      </c>
      <c r="BQ16" s="14" t="s">
        <v>99</v>
      </c>
      <c r="BR16" s="14" t="s">
        <v>124</v>
      </c>
      <c r="BS16" s="14" t="s">
        <v>452</v>
      </c>
      <c r="BT16" s="14" t="str">
        <f>HYPERLINK("https%3A%2F%2Fwww.webofscience.com%2Fwos%2Fwoscc%2Ffull-record%2FWOS:000433653900015","View Full Record in Web of Science")</f>
        <v>View Full Record in Web of Science</v>
      </c>
    </row>
    <row r="17" ht="12.75" customHeight="1">
      <c r="A17" s="14" t="s">
        <v>97</v>
      </c>
      <c r="B17" s="14" t="s">
        <v>453</v>
      </c>
      <c r="C17" s="14" t="s">
        <v>99</v>
      </c>
      <c r="D17" s="14" t="s">
        <v>99</v>
      </c>
      <c r="E17" s="14" t="s">
        <v>99</v>
      </c>
      <c r="F17" s="14" t="s">
        <v>454</v>
      </c>
      <c r="G17" s="14" t="s">
        <v>99</v>
      </c>
      <c r="H17" s="14" t="s">
        <v>99</v>
      </c>
      <c r="I17" s="14" t="s">
        <v>455</v>
      </c>
      <c r="J17" s="14" t="s">
        <v>456</v>
      </c>
      <c r="K17" s="14" t="s">
        <v>99</v>
      </c>
      <c r="L17" s="14" t="s">
        <v>99</v>
      </c>
      <c r="M17" s="14" t="s">
        <v>103</v>
      </c>
      <c r="N17" s="14" t="s">
        <v>104</v>
      </c>
      <c r="O17" s="14" t="s">
        <v>99</v>
      </c>
      <c r="P17" s="14" t="s">
        <v>99</v>
      </c>
      <c r="Q17" s="14" t="s">
        <v>99</v>
      </c>
      <c r="R17" s="14" t="s">
        <v>99</v>
      </c>
      <c r="S17" s="14" t="s">
        <v>99</v>
      </c>
      <c r="T17" s="14" t="s">
        <v>457</v>
      </c>
      <c r="U17" s="14" t="s">
        <v>458</v>
      </c>
      <c r="V17" s="14" t="s">
        <v>459</v>
      </c>
      <c r="W17" s="14" t="s">
        <v>460</v>
      </c>
      <c r="X17" s="14" t="s">
        <v>461</v>
      </c>
      <c r="Y17" s="14" t="s">
        <v>462</v>
      </c>
      <c r="Z17" s="14" t="s">
        <v>463</v>
      </c>
      <c r="AA17" s="14" t="s">
        <v>99</v>
      </c>
      <c r="AB17" s="14" t="s">
        <v>99</v>
      </c>
      <c r="AC17" s="14" t="s">
        <v>464</v>
      </c>
      <c r="AD17" s="14" t="s">
        <v>465</v>
      </c>
      <c r="AE17" s="14" t="s">
        <v>466</v>
      </c>
      <c r="AF17" s="14" t="s">
        <v>99</v>
      </c>
      <c r="AG17" s="14">
        <v>60.0</v>
      </c>
      <c r="AH17" s="14">
        <v>17.0</v>
      </c>
      <c r="AI17" s="14">
        <v>22.0</v>
      </c>
      <c r="AJ17" s="14">
        <v>1.0</v>
      </c>
      <c r="AK17" s="14">
        <v>71.0</v>
      </c>
      <c r="AL17" s="14" t="s">
        <v>467</v>
      </c>
      <c r="AM17" s="14" t="s">
        <v>468</v>
      </c>
      <c r="AN17" s="14" t="s">
        <v>469</v>
      </c>
      <c r="AO17" s="14" t="s">
        <v>470</v>
      </c>
      <c r="AP17" s="14" t="s">
        <v>471</v>
      </c>
      <c r="AQ17" s="14" t="s">
        <v>99</v>
      </c>
      <c r="AR17" s="14" t="s">
        <v>472</v>
      </c>
      <c r="AS17" s="14" t="s">
        <v>473</v>
      </c>
      <c r="AT17" s="14" t="s">
        <v>474</v>
      </c>
      <c r="AU17" s="14">
        <v>2018.0</v>
      </c>
      <c r="AV17" s="14">
        <v>133.0</v>
      </c>
      <c r="AW17" s="14" t="s">
        <v>99</v>
      </c>
      <c r="AX17" s="14" t="s">
        <v>99</v>
      </c>
      <c r="AY17" s="14" t="s">
        <v>99</v>
      </c>
      <c r="AZ17" s="14" t="s">
        <v>99</v>
      </c>
      <c r="BA17" s="14" t="s">
        <v>99</v>
      </c>
      <c r="BB17" s="14">
        <v>956.0</v>
      </c>
      <c r="BC17" s="14">
        <v>969.0</v>
      </c>
      <c r="BD17" s="14" t="s">
        <v>99</v>
      </c>
      <c r="BE17" s="14" t="s">
        <v>475</v>
      </c>
      <c r="BF17" s="15" t="str">
        <f>HYPERLINK("http://dx.doi.org/10.1016/j.marpolbul.2018.04.065","http://dx.doi.org/10.1016/j.marpolbul.2018.04.065")</f>
        <v>http://dx.doi.org/10.1016/j.marpolbul.2018.04.065</v>
      </c>
      <c r="BG17" s="14" t="s">
        <v>99</v>
      </c>
      <c r="BH17" s="14" t="s">
        <v>99</v>
      </c>
      <c r="BI17" s="14">
        <v>14.0</v>
      </c>
      <c r="BJ17" s="14" t="s">
        <v>396</v>
      </c>
      <c r="BK17" s="14" t="s">
        <v>122</v>
      </c>
      <c r="BL17" s="14" t="s">
        <v>397</v>
      </c>
      <c r="BM17" s="14" t="s">
        <v>476</v>
      </c>
      <c r="BN17" s="14">
        <v>2.9778407E7</v>
      </c>
      <c r="BO17" s="14" t="s">
        <v>99</v>
      </c>
      <c r="BP17" s="14" t="s">
        <v>99</v>
      </c>
      <c r="BQ17" s="14" t="s">
        <v>99</v>
      </c>
      <c r="BR17" s="14" t="s">
        <v>124</v>
      </c>
      <c r="BS17" s="14" t="s">
        <v>477</v>
      </c>
      <c r="BT17" s="14" t="str">
        <f>HYPERLINK("https%3A%2F%2Fwww.webofscience.com%2Fwos%2Fwoscc%2Ffull-record%2FWOS:000441853600107","View Full Record in Web of Science")</f>
        <v>View Full Record in Web of Science</v>
      </c>
    </row>
    <row r="18" ht="12.75" customHeight="1">
      <c r="A18" s="14" t="s">
        <v>97</v>
      </c>
      <c r="B18" s="14" t="s">
        <v>478</v>
      </c>
      <c r="C18" s="14" t="s">
        <v>99</v>
      </c>
      <c r="D18" s="14" t="s">
        <v>99</v>
      </c>
      <c r="E18" s="14" t="s">
        <v>99</v>
      </c>
      <c r="F18" s="14" t="s">
        <v>479</v>
      </c>
      <c r="G18" s="14" t="s">
        <v>99</v>
      </c>
      <c r="H18" s="14" t="s">
        <v>99</v>
      </c>
      <c r="I18" s="14" t="s">
        <v>480</v>
      </c>
      <c r="J18" s="14" t="s">
        <v>481</v>
      </c>
      <c r="K18" s="14" t="s">
        <v>99</v>
      </c>
      <c r="L18" s="14" t="s">
        <v>99</v>
      </c>
      <c r="M18" s="14" t="s">
        <v>103</v>
      </c>
      <c r="N18" s="14" t="s">
        <v>104</v>
      </c>
      <c r="O18" s="14" t="s">
        <v>99</v>
      </c>
      <c r="P18" s="14" t="s">
        <v>99</v>
      </c>
      <c r="Q18" s="14" t="s">
        <v>99</v>
      </c>
      <c r="R18" s="14" t="s">
        <v>99</v>
      </c>
      <c r="S18" s="14" t="s">
        <v>99</v>
      </c>
      <c r="T18" s="14" t="s">
        <v>482</v>
      </c>
      <c r="U18" s="14" t="s">
        <v>483</v>
      </c>
      <c r="V18" s="14" t="s">
        <v>484</v>
      </c>
      <c r="W18" s="14" t="s">
        <v>485</v>
      </c>
      <c r="X18" s="14" t="s">
        <v>486</v>
      </c>
      <c r="Y18" s="14" t="s">
        <v>487</v>
      </c>
      <c r="Z18" s="14" t="s">
        <v>488</v>
      </c>
      <c r="AA18" s="14" t="s">
        <v>99</v>
      </c>
      <c r="AB18" s="14" t="s">
        <v>489</v>
      </c>
      <c r="AC18" s="14" t="s">
        <v>490</v>
      </c>
      <c r="AD18" s="14" t="s">
        <v>491</v>
      </c>
      <c r="AE18" s="14" t="s">
        <v>492</v>
      </c>
      <c r="AF18" s="14" t="s">
        <v>99</v>
      </c>
      <c r="AG18" s="14">
        <v>93.0</v>
      </c>
      <c r="AH18" s="14">
        <v>2.0</v>
      </c>
      <c r="AI18" s="14">
        <v>3.0</v>
      </c>
      <c r="AJ18" s="14">
        <v>0.0</v>
      </c>
      <c r="AK18" s="14">
        <v>29.0</v>
      </c>
      <c r="AL18" s="14" t="s">
        <v>493</v>
      </c>
      <c r="AM18" s="14" t="s">
        <v>494</v>
      </c>
      <c r="AN18" s="14" t="s">
        <v>495</v>
      </c>
      <c r="AO18" s="14" t="s">
        <v>496</v>
      </c>
      <c r="AP18" s="14" t="s">
        <v>497</v>
      </c>
      <c r="AQ18" s="14" t="s">
        <v>99</v>
      </c>
      <c r="AR18" s="14" t="s">
        <v>498</v>
      </c>
      <c r="AS18" s="14" t="s">
        <v>499</v>
      </c>
      <c r="AT18" s="14" t="s">
        <v>474</v>
      </c>
      <c r="AU18" s="14">
        <v>2018.0</v>
      </c>
      <c r="AV18" s="14">
        <v>139.0</v>
      </c>
      <c r="AW18" s="14" t="s">
        <v>99</v>
      </c>
      <c r="AX18" s="14" t="s">
        <v>99</v>
      </c>
      <c r="AY18" s="14" t="s">
        <v>99</v>
      </c>
      <c r="AZ18" s="14" t="s">
        <v>99</v>
      </c>
      <c r="BA18" s="14" t="s">
        <v>99</v>
      </c>
      <c r="BB18" s="14">
        <v>79.0</v>
      </c>
      <c r="BC18" s="14">
        <v>86.0</v>
      </c>
      <c r="BD18" s="14" t="s">
        <v>99</v>
      </c>
      <c r="BE18" s="14" t="s">
        <v>500</v>
      </c>
      <c r="BF18" s="15" t="str">
        <f>HYPERLINK("http://dx.doi.org/10.1016/j.marenvres.2018.05.008","http://dx.doi.org/10.1016/j.marenvres.2018.05.008")</f>
        <v>http://dx.doi.org/10.1016/j.marenvres.2018.05.008</v>
      </c>
      <c r="BG18" s="14" t="s">
        <v>99</v>
      </c>
      <c r="BH18" s="14" t="s">
        <v>99</v>
      </c>
      <c r="BI18" s="14">
        <v>8.0</v>
      </c>
      <c r="BJ18" s="14" t="s">
        <v>501</v>
      </c>
      <c r="BK18" s="14" t="s">
        <v>122</v>
      </c>
      <c r="BL18" s="14" t="s">
        <v>502</v>
      </c>
      <c r="BM18" s="14" t="s">
        <v>503</v>
      </c>
      <c r="BN18" s="14">
        <v>2.9773316E7</v>
      </c>
      <c r="BO18" s="14" t="s">
        <v>99</v>
      </c>
      <c r="BP18" s="14" t="s">
        <v>99</v>
      </c>
      <c r="BQ18" s="14" t="s">
        <v>99</v>
      </c>
      <c r="BR18" s="14" t="s">
        <v>124</v>
      </c>
      <c r="BS18" s="14" t="s">
        <v>504</v>
      </c>
      <c r="BT18" s="14" t="str">
        <f>HYPERLINK("https%3A%2F%2Fwww.webofscience.com%2Fwos%2Fwoscc%2Ffull-record%2FWOS:000436911600009","View Full Record in Web of Science")</f>
        <v>View Full Record in Web of Science</v>
      </c>
    </row>
    <row r="19" ht="12.75" customHeight="1">
      <c r="A19" s="14" t="s">
        <v>97</v>
      </c>
      <c r="B19" s="14" t="s">
        <v>505</v>
      </c>
      <c r="C19" s="14" t="s">
        <v>99</v>
      </c>
      <c r="D19" s="14" t="s">
        <v>99</v>
      </c>
      <c r="E19" s="14" t="s">
        <v>99</v>
      </c>
      <c r="F19" s="14" t="s">
        <v>506</v>
      </c>
      <c r="G19" s="14" t="s">
        <v>99</v>
      </c>
      <c r="H19" s="14" t="s">
        <v>99</v>
      </c>
      <c r="I19" s="14" t="s">
        <v>507</v>
      </c>
      <c r="J19" s="14" t="s">
        <v>508</v>
      </c>
      <c r="K19" s="14" t="s">
        <v>99</v>
      </c>
      <c r="L19" s="14" t="s">
        <v>99</v>
      </c>
      <c r="M19" s="14" t="s">
        <v>103</v>
      </c>
      <c r="N19" s="14" t="s">
        <v>104</v>
      </c>
      <c r="O19" s="14" t="s">
        <v>99</v>
      </c>
      <c r="P19" s="14" t="s">
        <v>99</v>
      </c>
      <c r="Q19" s="14" t="s">
        <v>99</v>
      </c>
      <c r="R19" s="14" t="s">
        <v>99</v>
      </c>
      <c r="S19" s="14" t="s">
        <v>99</v>
      </c>
      <c r="T19" s="14" t="s">
        <v>509</v>
      </c>
      <c r="U19" s="14" t="s">
        <v>510</v>
      </c>
      <c r="V19" s="14" t="s">
        <v>511</v>
      </c>
      <c r="W19" s="14" t="s">
        <v>512</v>
      </c>
      <c r="X19" s="14" t="s">
        <v>513</v>
      </c>
      <c r="Y19" s="14" t="s">
        <v>514</v>
      </c>
      <c r="Z19" s="14" t="s">
        <v>515</v>
      </c>
      <c r="AA19" s="14" t="s">
        <v>99</v>
      </c>
      <c r="AB19" s="14" t="s">
        <v>99</v>
      </c>
      <c r="AC19" s="14" t="s">
        <v>516</v>
      </c>
      <c r="AD19" s="14" t="s">
        <v>516</v>
      </c>
      <c r="AE19" s="14" t="s">
        <v>517</v>
      </c>
      <c r="AF19" s="14" t="s">
        <v>99</v>
      </c>
      <c r="AG19" s="14">
        <v>82.0</v>
      </c>
      <c r="AH19" s="14">
        <v>7.0</v>
      </c>
      <c r="AI19" s="14">
        <v>8.0</v>
      </c>
      <c r="AJ19" s="14">
        <v>0.0</v>
      </c>
      <c r="AK19" s="14">
        <v>24.0</v>
      </c>
      <c r="AL19" s="14" t="s">
        <v>518</v>
      </c>
      <c r="AM19" s="14" t="s">
        <v>519</v>
      </c>
      <c r="AN19" s="14" t="s">
        <v>520</v>
      </c>
      <c r="AO19" s="14" t="s">
        <v>521</v>
      </c>
      <c r="AP19" s="14" t="s">
        <v>522</v>
      </c>
      <c r="AQ19" s="14" t="s">
        <v>99</v>
      </c>
      <c r="AR19" s="14" t="s">
        <v>523</v>
      </c>
      <c r="AS19" s="14" t="s">
        <v>524</v>
      </c>
      <c r="AT19" s="14" t="s">
        <v>525</v>
      </c>
      <c r="AU19" s="14">
        <v>2018.0</v>
      </c>
      <c r="AV19" s="14">
        <v>71.0</v>
      </c>
      <c r="AW19" s="14">
        <v>4.0</v>
      </c>
      <c r="AX19" s="14" t="s">
        <v>99</v>
      </c>
      <c r="AY19" s="14" t="s">
        <v>99</v>
      </c>
      <c r="AZ19" s="14" t="s">
        <v>99</v>
      </c>
      <c r="BA19" s="14" t="s">
        <v>99</v>
      </c>
      <c r="BB19" s="14">
        <v>458.0</v>
      </c>
      <c r="BC19" s="14">
        <v>469.0</v>
      </c>
      <c r="BD19" s="14" t="s">
        <v>99</v>
      </c>
      <c r="BE19" s="14" t="s">
        <v>526</v>
      </c>
      <c r="BF19" s="15" t="str">
        <f>HYPERLINK("http://dx.doi.org/10.1016/j.rama.2018.02.008","http://dx.doi.org/10.1016/j.rama.2018.02.008")</f>
        <v>http://dx.doi.org/10.1016/j.rama.2018.02.008</v>
      </c>
      <c r="BG19" s="14" t="s">
        <v>99</v>
      </c>
      <c r="BH19" s="14" t="s">
        <v>99</v>
      </c>
      <c r="BI19" s="14">
        <v>12.0</v>
      </c>
      <c r="BJ19" s="14" t="s">
        <v>423</v>
      </c>
      <c r="BK19" s="14" t="s">
        <v>122</v>
      </c>
      <c r="BL19" s="14" t="s">
        <v>260</v>
      </c>
      <c r="BM19" s="14" t="s">
        <v>527</v>
      </c>
      <c r="BN19" s="14" t="s">
        <v>99</v>
      </c>
      <c r="BO19" s="14" t="s">
        <v>99</v>
      </c>
      <c r="BP19" s="14" t="s">
        <v>99</v>
      </c>
      <c r="BQ19" s="14" t="s">
        <v>99</v>
      </c>
      <c r="BR19" s="14" t="s">
        <v>124</v>
      </c>
      <c r="BS19" s="14" t="s">
        <v>528</v>
      </c>
      <c r="BT19" s="14" t="str">
        <f>HYPERLINK("https%3A%2F%2Fwww.webofscience.com%2Fwos%2Fwoscc%2Ffull-record%2FWOS:000435480900008","View Full Record in Web of Science")</f>
        <v>View Full Record in Web of Science</v>
      </c>
    </row>
    <row r="20" ht="12.75" customHeight="1">
      <c r="A20" s="14" t="s">
        <v>97</v>
      </c>
      <c r="B20" s="14" t="s">
        <v>529</v>
      </c>
      <c r="C20" s="14" t="s">
        <v>99</v>
      </c>
      <c r="D20" s="14" t="s">
        <v>99</v>
      </c>
      <c r="E20" s="14" t="s">
        <v>99</v>
      </c>
      <c r="F20" s="14" t="s">
        <v>530</v>
      </c>
      <c r="G20" s="14" t="s">
        <v>99</v>
      </c>
      <c r="H20" s="14" t="s">
        <v>99</v>
      </c>
      <c r="I20" s="14" t="s">
        <v>531</v>
      </c>
      <c r="J20" s="14" t="s">
        <v>532</v>
      </c>
      <c r="K20" s="14" t="s">
        <v>99</v>
      </c>
      <c r="L20" s="14" t="s">
        <v>99</v>
      </c>
      <c r="M20" s="14" t="s">
        <v>103</v>
      </c>
      <c r="N20" s="14" t="s">
        <v>104</v>
      </c>
      <c r="O20" s="14" t="s">
        <v>99</v>
      </c>
      <c r="P20" s="14" t="s">
        <v>99</v>
      </c>
      <c r="Q20" s="14" t="s">
        <v>99</v>
      </c>
      <c r="R20" s="14" t="s">
        <v>99</v>
      </c>
      <c r="S20" s="14" t="s">
        <v>99</v>
      </c>
      <c r="T20" s="14" t="s">
        <v>533</v>
      </c>
      <c r="U20" s="14" t="s">
        <v>534</v>
      </c>
      <c r="V20" s="14" t="s">
        <v>535</v>
      </c>
      <c r="W20" s="14" t="s">
        <v>536</v>
      </c>
      <c r="X20" s="14" t="s">
        <v>537</v>
      </c>
      <c r="Y20" s="14" t="s">
        <v>538</v>
      </c>
      <c r="Z20" s="14" t="s">
        <v>539</v>
      </c>
      <c r="AA20" s="14" t="s">
        <v>540</v>
      </c>
      <c r="AB20" s="14" t="s">
        <v>541</v>
      </c>
      <c r="AC20" s="14" t="s">
        <v>542</v>
      </c>
      <c r="AD20" s="14" t="s">
        <v>543</v>
      </c>
      <c r="AE20" s="14" t="s">
        <v>544</v>
      </c>
      <c r="AF20" s="14" t="s">
        <v>99</v>
      </c>
      <c r="AG20" s="14">
        <v>62.0</v>
      </c>
      <c r="AH20" s="14">
        <v>29.0</v>
      </c>
      <c r="AI20" s="14">
        <v>32.0</v>
      </c>
      <c r="AJ20" s="14">
        <v>1.0</v>
      </c>
      <c r="AK20" s="14">
        <v>49.0</v>
      </c>
      <c r="AL20" s="14" t="s">
        <v>341</v>
      </c>
      <c r="AM20" s="14" t="s">
        <v>342</v>
      </c>
      <c r="AN20" s="14" t="s">
        <v>343</v>
      </c>
      <c r="AO20" s="14" t="s">
        <v>545</v>
      </c>
      <c r="AP20" s="14" t="s">
        <v>546</v>
      </c>
      <c r="AQ20" s="14" t="s">
        <v>99</v>
      </c>
      <c r="AR20" s="14" t="s">
        <v>547</v>
      </c>
      <c r="AS20" s="14" t="s">
        <v>548</v>
      </c>
      <c r="AT20" s="14" t="s">
        <v>525</v>
      </c>
      <c r="AU20" s="14">
        <v>2018.0</v>
      </c>
      <c r="AV20" s="14">
        <v>55.0</v>
      </c>
      <c r="AW20" s="14">
        <v>4.0</v>
      </c>
      <c r="AX20" s="14" t="s">
        <v>99</v>
      </c>
      <c r="AY20" s="14" t="s">
        <v>99</v>
      </c>
      <c r="AZ20" s="14" t="s">
        <v>99</v>
      </c>
      <c r="BA20" s="14" t="s">
        <v>99</v>
      </c>
      <c r="BB20" s="14">
        <v>1626.0</v>
      </c>
      <c r="BC20" s="14">
        <v>1636.0</v>
      </c>
      <c r="BD20" s="14" t="s">
        <v>99</v>
      </c>
      <c r="BE20" s="14" t="s">
        <v>549</v>
      </c>
      <c r="BF20" s="15" t="str">
        <f>HYPERLINK("http://dx.doi.org/10.1111/1365-2664.13137","http://dx.doi.org/10.1111/1365-2664.13137")</f>
        <v>http://dx.doi.org/10.1111/1365-2664.13137</v>
      </c>
      <c r="BG20" s="14" t="s">
        <v>99</v>
      </c>
      <c r="BH20" s="14" t="s">
        <v>99</v>
      </c>
      <c r="BI20" s="14">
        <v>11.0</v>
      </c>
      <c r="BJ20" s="14" t="s">
        <v>550</v>
      </c>
      <c r="BK20" s="14" t="s">
        <v>122</v>
      </c>
      <c r="BL20" s="14" t="s">
        <v>352</v>
      </c>
      <c r="BM20" s="14" t="s">
        <v>551</v>
      </c>
      <c r="BN20" s="14" t="s">
        <v>99</v>
      </c>
      <c r="BO20" s="14" t="s">
        <v>373</v>
      </c>
      <c r="BP20" s="14" t="s">
        <v>99</v>
      </c>
      <c r="BQ20" s="14" t="s">
        <v>99</v>
      </c>
      <c r="BR20" s="14" t="s">
        <v>124</v>
      </c>
      <c r="BS20" s="14" t="s">
        <v>552</v>
      </c>
      <c r="BT20" s="14" t="str">
        <f>HYPERLINK("https%3A%2F%2Fwww.webofscience.com%2Fwos%2Fwoscc%2Ffull-record%2FWOS:000434970200007","View Full Record in Web of Science")</f>
        <v>View Full Record in Web of Science</v>
      </c>
    </row>
    <row r="21" ht="12.75" customHeight="1">
      <c r="A21" s="14" t="s">
        <v>97</v>
      </c>
      <c r="B21" s="14" t="s">
        <v>553</v>
      </c>
      <c r="C21" s="14" t="s">
        <v>99</v>
      </c>
      <c r="D21" s="14" t="s">
        <v>99</v>
      </c>
      <c r="E21" s="14" t="s">
        <v>99</v>
      </c>
      <c r="F21" s="14" t="s">
        <v>554</v>
      </c>
      <c r="G21" s="14" t="s">
        <v>99</v>
      </c>
      <c r="H21" s="14" t="s">
        <v>99</v>
      </c>
      <c r="I21" s="14" t="s">
        <v>555</v>
      </c>
      <c r="J21" s="14" t="s">
        <v>556</v>
      </c>
      <c r="K21" s="14" t="s">
        <v>99</v>
      </c>
      <c r="L21" s="14" t="s">
        <v>99</v>
      </c>
      <c r="M21" s="14" t="s">
        <v>103</v>
      </c>
      <c r="N21" s="14" t="s">
        <v>104</v>
      </c>
      <c r="O21" s="14" t="s">
        <v>99</v>
      </c>
      <c r="P21" s="14" t="s">
        <v>99</v>
      </c>
      <c r="Q21" s="14" t="s">
        <v>99</v>
      </c>
      <c r="R21" s="14" t="s">
        <v>99</v>
      </c>
      <c r="S21" s="14" t="s">
        <v>99</v>
      </c>
      <c r="T21" s="14" t="s">
        <v>557</v>
      </c>
      <c r="U21" s="14" t="s">
        <v>558</v>
      </c>
      <c r="V21" s="14" t="s">
        <v>559</v>
      </c>
      <c r="W21" s="14" t="s">
        <v>560</v>
      </c>
      <c r="X21" s="14" t="s">
        <v>561</v>
      </c>
      <c r="Y21" s="14" t="s">
        <v>562</v>
      </c>
      <c r="Z21" s="14" t="s">
        <v>563</v>
      </c>
      <c r="AA21" s="14" t="s">
        <v>564</v>
      </c>
      <c r="AB21" s="14" t="s">
        <v>565</v>
      </c>
      <c r="AC21" s="14" t="s">
        <v>99</v>
      </c>
      <c r="AD21" s="14" t="s">
        <v>99</v>
      </c>
      <c r="AE21" s="14" t="s">
        <v>99</v>
      </c>
      <c r="AF21" s="14" t="s">
        <v>99</v>
      </c>
      <c r="AG21" s="14">
        <v>49.0</v>
      </c>
      <c r="AH21" s="14">
        <v>185.0</v>
      </c>
      <c r="AI21" s="14">
        <v>221.0</v>
      </c>
      <c r="AJ21" s="14">
        <v>0.0</v>
      </c>
      <c r="AK21" s="14">
        <v>71.0</v>
      </c>
      <c r="AL21" s="14" t="s">
        <v>566</v>
      </c>
      <c r="AM21" s="14" t="s">
        <v>567</v>
      </c>
      <c r="AN21" s="14" t="s">
        <v>568</v>
      </c>
      <c r="AO21" s="14" t="s">
        <v>569</v>
      </c>
      <c r="AP21" s="14" t="s">
        <v>99</v>
      </c>
      <c r="AQ21" s="14" t="s">
        <v>99</v>
      </c>
      <c r="AR21" s="14" t="s">
        <v>570</v>
      </c>
      <c r="AS21" s="14" t="s">
        <v>571</v>
      </c>
      <c r="AT21" s="14" t="s">
        <v>525</v>
      </c>
      <c r="AU21" s="14">
        <v>2018.0</v>
      </c>
      <c r="AV21" s="14">
        <v>13.0</v>
      </c>
      <c r="AW21" s="14">
        <v>7.0</v>
      </c>
      <c r="AX21" s="14" t="s">
        <v>99</v>
      </c>
      <c r="AY21" s="14" t="s">
        <v>99</v>
      </c>
      <c r="AZ21" s="14" t="s">
        <v>99</v>
      </c>
      <c r="BA21" s="14" t="s">
        <v>99</v>
      </c>
      <c r="BB21" s="14" t="s">
        <v>99</v>
      </c>
      <c r="BC21" s="14" t="s">
        <v>99</v>
      </c>
      <c r="BD21" s="14">
        <v>74028.0</v>
      </c>
      <c r="BE21" s="14" t="s">
        <v>572</v>
      </c>
      <c r="BF21" s="15" t="str">
        <f>HYPERLINK("http://dx.doi.org/10.1088/1748-9326/aacd1c","http://dx.doi.org/10.1088/1748-9326/aacd1c")</f>
        <v>http://dx.doi.org/10.1088/1748-9326/aacd1c</v>
      </c>
      <c r="BG21" s="14" t="s">
        <v>99</v>
      </c>
      <c r="BH21" s="14" t="s">
        <v>99</v>
      </c>
      <c r="BI21" s="14">
        <v>15.0</v>
      </c>
      <c r="BJ21" s="14" t="s">
        <v>573</v>
      </c>
      <c r="BK21" s="14" t="s">
        <v>122</v>
      </c>
      <c r="BL21" s="14" t="s">
        <v>574</v>
      </c>
      <c r="BM21" s="14" t="s">
        <v>575</v>
      </c>
      <c r="BN21" s="14" t="s">
        <v>99</v>
      </c>
      <c r="BO21" s="14" t="s">
        <v>576</v>
      </c>
      <c r="BP21" s="14" t="s">
        <v>99</v>
      </c>
      <c r="BQ21" s="14" t="s">
        <v>99</v>
      </c>
      <c r="BR21" s="14" t="s">
        <v>124</v>
      </c>
      <c r="BS21" s="14" t="s">
        <v>577</v>
      </c>
      <c r="BT21" s="14" t="str">
        <f>HYPERLINK("https%3A%2F%2Fwww.webofscience.com%2Fwos%2Fwoscc%2Ffull-record%2FWOS:000438666900001","View Full Record in Web of Science")</f>
        <v>View Full Record in Web of Science</v>
      </c>
    </row>
    <row r="22" ht="12.75" customHeight="1">
      <c r="A22" s="14" t="s">
        <v>97</v>
      </c>
      <c r="B22" s="14" t="s">
        <v>578</v>
      </c>
      <c r="C22" s="14" t="s">
        <v>99</v>
      </c>
      <c r="D22" s="14" t="s">
        <v>99</v>
      </c>
      <c r="E22" s="14" t="s">
        <v>99</v>
      </c>
      <c r="F22" s="14" t="s">
        <v>579</v>
      </c>
      <c r="G22" s="14" t="s">
        <v>99</v>
      </c>
      <c r="H22" s="14" t="s">
        <v>99</v>
      </c>
      <c r="I22" s="14" t="s">
        <v>580</v>
      </c>
      <c r="J22" s="14" t="s">
        <v>581</v>
      </c>
      <c r="K22" s="14" t="s">
        <v>99</v>
      </c>
      <c r="L22" s="14" t="s">
        <v>99</v>
      </c>
      <c r="M22" s="14" t="s">
        <v>103</v>
      </c>
      <c r="N22" s="14" t="s">
        <v>104</v>
      </c>
      <c r="O22" s="14" t="s">
        <v>99</v>
      </c>
      <c r="P22" s="14" t="s">
        <v>99</v>
      </c>
      <c r="Q22" s="14" t="s">
        <v>99</v>
      </c>
      <c r="R22" s="14" t="s">
        <v>99</v>
      </c>
      <c r="S22" s="14" t="s">
        <v>99</v>
      </c>
      <c r="T22" s="14" t="s">
        <v>582</v>
      </c>
      <c r="U22" s="14" t="s">
        <v>583</v>
      </c>
      <c r="V22" s="14" t="s">
        <v>584</v>
      </c>
      <c r="W22" s="14" t="s">
        <v>585</v>
      </c>
      <c r="X22" s="14" t="s">
        <v>586</v>
      </c>
      <c r="Y22" s="14" t="s">
        <v>587</v>
      </c>
      <c r="Z22" s="14" t="s">
        <v>588</v>
      </c>
      <c r="AA22" s="14" t="s">
        <v>99</v>
      </c>
      <c r="AB22" s="14" t="s">
        <v>589</v>
      </c>
      <c r="AC22" s="14" t="s">
        <v>590</v>
      </c>
      <c r="AD22" s="14" t="s">
        <v>591</v>
      </c>
      <c r="AE22" s="14" t="s">
        <v>592</v>
      </c>
      <c r="AF22" s="14" t="s">
        <v>99</v>
      </c>
      <c r="AG22" s="14">
        <v>79.0</v>
      </c>
      <c r="AH22" s="14">
        <v>63.0</v>
      </c>
      <c r="AI22" s="14">
        <v>71.0</v>
      </c>
      <c r="AJ22" s="14">
        <v>4.0</v>
      </c>
      <c r="AK22" s="14">
        <v>131.0</v>
      </c>
      <c r="AL22" s="14" t="s">
        <v>441</v>
      </c>
      <c r="AM22" s="14" t="s">
        <v>442</v>
      </c>
      <c r="AN22" s="14" t="s">
        <v>443</v>
      </c>
      <c r="AO22" s="14" t="s">
        <v>593</v>
      </c>
      <c r="AP22" s="14" t="s">
        <v>594</v>
      </c>
      <c r="AQ22" s="14" t="s">
        <v>99</v>
      </c>
      <c r="AR22" s="14" t="s">
        <v>595</v>
      </c>
      <c r="AS22" s="14" t="s">
        <v>596</v>
      </c>
      <c r="AT22" s="14" t="s">
        <v>525</v>
      </c>
      <c r="AU22" s="14">
        <v>2018.0</v>
      </c>
      <c r="AV22" s="14">
        <v>90.0</v>
      </c>
      <c r="AW22" s="14" t="s">
        <v>99</v>
      </c>
      <c r="AX22" s="14" t="s">
        <v>99</v>
      </c>
      <c r="AY22" s="14" t="s">
        <v>99</v>
      </c>
      <c r="AZ22" s="14" t="s">
        <v>99</v>
      </c>
      <c r="BA22" s="14" t="s">
        <v>99</v>
      </c>
      <c r="BB22" s="14">
        <v>261.0</v>
      </c>
      <c r="BC22" s="14">
        <v>279.0</v>
      </c>
      <c r="BD22" s="14" t="s">
        <v>99</v>
      </c>
      <c r="BE22" s="14" t="s">
        <v>597</v>
      </c>
      <c r="BF22" s="15" t="str">
        <f>HYPERLINK("http://dx.doi.org/10.1016/j.ecolind.2018.03.004","http://dx.doi.org/10.1016/j.ecolind.2018.03.004")</f>
        <v>http://dx.doi.org/10.1016/j.ecolind.2018.03.004</v>
      </c>
      <c r="BG22" s="14" t="s">
        <v>99</v>
      </c>
      <c r="BH22" s="14" t="s">
        <v>99</v>
      </c>
      <c r="BI22" s="14">
        <v>19.0</v>
      </c>
      <c r="BJ22" s="14" t="s">
        <v>598</v>
      </c>
      <c r="BK22" s="14" t="s">
        <v>122</v>
      </c>
      <c r="BL22" s="14" t="s">
        <v>352</v>
      </c>
      <c r="BM22" s="14" t="s">
        <v>599</v>
      </c>
      <c r="BN22" s="14" t="s">
        <v>99</v>
      </c>
      <c r="BO22" s="14" t="s">
        <v>99</v>
      </c>
      <c r="BP22" s="14" t="s">
        <v>99</v>
      </c>
      <c r="BQ22" s="14" t="s">
        <v>99</v>
      </c>
      <c r="BR22" s="14" t="s">
        <v>124</v>
      </c>
      <c r="BS22" s="14" t="s">
        <v>600</v>
      </c>
      <c r="BT22" s="14" t="str">
        <f>HYPERLINK("https%3A%2F%2Fwww.webofscience.com%2Fwos%2Fwoscc%2Ffull-record%2FWOS:000440266100029","View Full Record in Web of Science")</f>
        <v>View Full Record in Web of Science</v>
      </c>
    </row>
    <row r="23" ht="12.75" customHeight="1">
      <c r="A23" s="14" t="s">
        <v>97</v>
      </c>
      <c r="B23" s="14" t="s">
        <v>601</v>
      </c>
      <c r="C23" s="14" t="s">
        <v>99</v>
      </c>
      <c r="D23" s="14" t="s">
        <v>99</v>
      </c>
      <c r="E23" s="14" t="s">
        <v>99</v>
      </c>
      <c r="F23" s="14" t="s">
        <v>602</v>
      </c>
      <c r="G23" s="14" t="s">
        <v>99</v>
      </c>
      <c r="H23" s="14" t="s">
        <v>99</v>
      </c>
      <c r="I23" s="14" t="s">
        <v>603</v>
      </c>
      <c r="J23" s="14" t="s">
        <v>556</v>
      </c>
      <c r="K23" s="14" t="s">
        <v>99</v>
      </c>
      <c r="L23" s="14" t="s">
        <v>99</v>
      </c>
      <c r="M23" s="14" t="s">
        <v>103</v>
      </c>
      <c r="N23" s="14" t="s">
        <v>104</v>
      </c>
      <c r="O23" s="14" t="s">
        <v>99</v>
      </c>
      <c r="P23" s="14" t="s">
        <v>99</v>
      </c>
      <c r="Q23" s="14" t="s">
        <v>99</v>
      </c>
      <c r="R23" s="14" t="s">
        <v>99</v>
      </c>
      <c r="S23" s="14" t="s">
        <v>99</v>
      </c>
      <c r="T23" s="14" t="s">
        <v>604</v>
      </c>
      <c r="U23" s="14" t="s">
        <v>605</v>
      </c>
      <c r="V23" s="14" t="s">
        <v>606</v>
      </c>
      <c r="W23" s="14" t="s">
        <v>607</v>
      </c>
      <c r="X23" s="14" t="s">
        <v>608</v>
      </c>
      <c r="Y23" s="14" t="s">
        <v>609</v>
      </c>
      <c r="Z23" s="14" t="s">
        <v>610</v>
      </c>
      <c r="AA23" s="14" t="s">
        <v>611</v>
      </c>
      <c r="AB23" s="14" t="s">
        <v>612</v>
      </c>
      <c r="AC23" s="14" t="s">
        <v>613</v>
      </c>
      <c r="AD23" s="14" t="s">
        <v>614</v>
      </c>
      <c r="AE23" s="14" t="s">
        <v>615</v>
      </c>
      <c r="AF23" s="14" t="s">
        <v>99</v>
      </c>
      <c r="AG23" s="14">
        <v>59.0</v>
      </c>
      <c r="AH23" s="14">
        <v>96.0</v>
      </c>
      <c r="AI23" s="14">
        <v>106.0</v>
      </c>
      <c r="AJ23" s="14">
        <v>1.0</v>
      </c>
      <c r="AK23" s="14">
        <v>76.0</v>
      </c>
      <c r="AL23" s="14" t="s">
        <v>566</v>
      </c>
      <c r="AM23" s="14" t="s">
        <v>567</v>
      </c>
      <c r="AN23" s="14" t="s">
        <v>568</v>
      </c>
      <c r="AO23" s="14" t="s">
        <v>569</v>
      </c>
      <c r="AP23" s="14" t="s">
        <v>99</v>
      </c>
      <c r="AQ23" s="14" t="s">
        <v>99</v>
      </c>
      <c r="AR23" s="14" t="s">
        <v>570</v>
      </c>
      <c r="AS23" s="14" t="s">
        <v>571</v>
      </c>
      <c r="AT23" s="14" t="s">
        <v>616</v>
      </c>
      <c r="AU23" s="14">
        <v>2018.0</v>
      </c>
      <c r="AV23" s="14">
        <v>13.0</v>
      </c>
      <c r="AW23" s="14">
        <v>6.0</v>
      </c>
      <c r="AX23" s="14" t="s">
        <v>99</v>
      </c>
      <c r="AY23" s="14" t="s">
        <v>99</v>
      </c>
      <c r="AZ23" s="14" t="s">
        <v>99</v>
      </c>
      <c r="BA23" s="14" t="s">
        <v>99</v>
      </c>
      <c r="BB23" s="14" t="s">
        <v>99</v>
      </c>
      <c r="BC23" s="14" t="s">
        <v>99</v>
      </c>
      <c r="BD23" s="14">
        <v>65013.0</v>
      </c>
      <c r="BE23" s="14" t="s">
        <v>617</v>
      </c>
      <c r="BF23" s="15" t="str">
        <f>HYPERLINK("http://dx.doi.org/10.1088/1748-9326/aac331","http://dx.doi.org/10.1088/1748-9326/aac331")</f>
        <v>http://dx.doi.org/10.1088/1748-9326/aac331</v>
      </c>
      <c r="BG23" s="14" t="s">
        <v>99</v>
      </c>
      <c r="BH23" s="14" t="s">
        <v>99</v>
      </c>
      <c r="BI23" s="14">
        <v>12.0</v>
      </c>
      <c r="BJ23" s="14" t="s">
        <v>573</v>
      </c>
      <c r="BK23" s="14" t="s">
        <v>122</v>
      </c>
      <c r="BL23" s="14" t="s">
        <v>574</v>
      </c>
      <c r="BM23" s="14" t="s">
        <v>618</v>
      </c>
      <c r="BN23" s="14" t="s">
        <v>99</v>
      </c>
      <c r="BO23" s="14" t="s">
        <v>576</v>
      </c>
      <c r="BP23" s="14" t="s">
        <v>99</v>
      </c>
      <c r="BQ23" s="14" t="s">
        <v>99</v>
      </c>
      <c r="BR23" s="14" t="s">
        <v>124</v>
      </c>
      <c r="BS23" s="14" t="s">
        <v>619</v>
      </c>
      <c r="BT23" s="14" t="str">
        <f>HYPERLINK("https%3A%2F%2Fwww.webofscience.com%2Fwos%2Fwoscc%2Ffull-record%2FWOS:000434818600001","View Full Record in Web of Science")</f>
        <v>View Full Record in Web of Science</v>
      </c>
    </row>
    <row r="24" ht="12.75" customHeight="1">
      <c r="A24" s="14" t="s">
        <v>97</v>
      </c>
      <c r="B24" s="14" t="s">
        <v>620</v>
      </c>
      <c r="C24" s="14" t="s">
        <v>99</v>
      </c>
      <c r="D24" s="14" t="s">
        <v>99</v>
      </c>
      <c r="E24" s="14" t="s">
        <v>99</v>
      </c>
      <c r="F24" s="14" t="s">
        <v>621</v>
      </c>
      <c r="G24" s="14" t="s">
        <v>99</v>
      </c>
      <c r="H24" s="14" t="s">
        <v>99</v>
      </c>
      <c r="I24" s="14" t="s">
        <v>622</v>
      </c>
      <c r="J24" s="14" t="s">
        <v>623</v>
      </c>
      <c r="K24" s="14" t="s">
        <v>99</v>
      </c>
      <c r="L24" s="14" t="s">
        <v>99</v>
      </c>
      <c r="M24" s="14" t="s">
        <v>103</v>
      </c>
      <c r="N24" s="14" t="s">
        <v>104</v>
      </c>
      <c r="O24" s="14" t="s">
        <v>99</v>
      </c>
      <c r="P24" s="14" t="s">
        <v>99</v>
      </c>
      <c r="Q24" s="14" t="s">
        <v>99</v>
      </c>
      <c r="R24" s="14" t="s">
        <v>99</v>
      </c>
      <c r="S24" s="14" t="s">
        <v>99</v>
      </c>
      <c r="T24" s="14" t="s">
        <v>624</v>
      </c>
      <c r="U24" s="14" t="s">
        <v>625</v>
      </c>
      <c r="V24" s="14" t="s">
        <v>626</v>
      </c>
      <c r="W24" s="14" t="s">
        <v>627</v>
      </c>
      <c r="X24" s="14" t="s">
        <v>628</v>
      </c>
      <c r="Y24" s="14" t="s">
        <v>629</v>
      </c>
      <c r="Z24" s="14" t="s">
        <v>630</v>
      </c>
      <c r="AA24" s="14" t="s">
        <v>631</v>
      </c>
      <c r="AB24" s="14" t="s">
        <v>632</v>
      </c>
      <c r="AC24" s="14" t="s">
        <v>633</v>
      </c>
      <c r="AD24" s="14" t="s">
        <v>633</v>
      </c>
      <c r="AE24" s="14" t="s">
        <v>634</v>
      </c>
      <c r="AF24" s="14" t="s">
        <v>99</v>
      </c>
      <c r="AG24" s="14">
        <v>62.0</v>
      </c>
      <c r="AH24" s="14">
        <v>40.0</v>
      </c>
      <c r="AI24" s="14">
        <v>44.0</v>
      </c>
      <c r="AJ24" s="14">
        <v>0.0</v>
      </c>
      <c r="AK24" s="14">
        <v>89.0</v>
      </c>
      <c r="AL24" s="14" t="s">
        <v>493</v>
      </c>
      <c r="AM24" s="14" t="s">
        <v>468</v>
      </c>
      <c r="AN24" s="14" t="s">
        <v>635</v>
      </c>
      <c r="AO24" s="14" t="s">
        <v>636</v>
      </c>
      <c r="AP24" s="14" t="s">
        <v>637</v>
      </c>
      <c r="AQ24" s="14" t="s">
        <v>99</v>
      </c>
      <c r="AR24" s="14" t="s">
        <v>638</v>
      </c>
      <c r="AS24" s="14" t="s">
        <v>639</v>
      </c>
      <c r="AT24" s="14" t="s">
        <v>640</v>
      </c>
      <c r="AU24" s="14">
        <v>2018.0</v>
      </c>
      <c r="AV24" s="14">
        <v>94.0</v>
      </c>
      <c r="AW24" s="14" t="s">
        <v>99</v>
      </c>
      <c r="AX24" s="14" t="s">
        <v>99</v>
      </c>
      <c r="AY24" s="14" t="s">
        <v>99</v>
      </c>
      <c r="AZ24" s="14" t="s">
        <v>99</v>
      </c>
      <c r="BA24" s="14" t="s">
        <v>99</v>
      </c>
      <c r="BB24" s="14">
        <v>71.0</v>
      </c>
      <c r="BC24" s="14">
        <v>83.0</v>
      </c>
      <c r="BD24" s="14" t="s">
        <v>99</v>
      </c>
      <c r="BE24" s="14" t="s">
        <v>641</v>
      </c>
      <c r="BF24" s="15" t="str">
        <f>HYPERLINK("http://dx.doi.org/10.1016/j.apgeog.2018.03.006","http://dx.doi.org/10.1016/j.apgeog.2018.03.006")</f>
        <v>http://dx.doi.org/10.1016/j.apgeog.2018.03.006</v>
      </c>
      <c r="BG24" s="14" t="s">
        <v>99</v>
      </c>
      <c r="BH24" s="14" t="s">
        <v>99</v>
      </c>
      <c r="BI24" s="14">
        <v>13.0</v>
      </c>
      <c r="BJ24" s="14" t="s">
        <v>642</v>
      </c>
      <c r="BK24" s="14" t="s">
        <v>643</v>
      </c>
      <c r="BL24" s="14" t="s">
        <v>642</v>
      </c>
      <c r="BM24" s="14" t="s">
        <v>644</v>
      </c>
      <c r="BN24" s="14" t="s">
        <v>99</v>
      </c>
      <c r="BO24" s="14" t="s">
        <v>425</v>
      </c>
      <c r="BP24" s="14" t="s">
        <v>99</v>
      </c>
      <c r="BQ24" s="14" t="s">
        <v>99</v>
      </c>
      <c r="BR24" s="14" t="s">
        <v>124</v>
      </c>
      <c r="BS24" s="14" t="s">
        <v>645</v>
      </c>
      <c r="BT24" s="14" t="str">
        <f>HYPERLINK("https%3A%2F%2Fwww.webofscience.com%2Fwos%2Fwoscc%2Ffull-record%2FWOS:000432233800006","View Full Record in Web of Science")</f>
        <v>View Full Record in Web of Science</v>
      </c>
    </row>
    <row r="25" ht="12.75" customHeight="1">
      <c r="A25" s="14" t="s">
        <v>97</v>
      </c>
      <c r="B25" s="14" t="s">
        <v>646</v>
      </c>
      <c r="C25" s="14" t="s">
        <v>99</v>
      </c>
      <c r="D25" s="14" t="s">
        <v>99</v>
      </c>
      <c r="E25" s="14" t="s">
        <v>99</v>
      </c>
      <c r="F25" s="14" t="s">
        <v>647</v>
      </c>
      <c r="G25" s="14" t="s">
        <v>99</v>
      </c>
      <c r="H25" s="14" t="s">
        <v>99</v>
      </c>
      <c r="I25" s="14" t="s">
        <v>648</v>
      </c>
      <c r="J25" s="14" t="s">
        <v>649</v>
      </c>
      <c r="K25" s="14" t="s">
        <v>99</v>
      </c>
      <c r="L25" s="14" t="s">
        <v>99</v>
      </c>
      <c r="M25" s="14" t="s">
        <v>103</v>
      </c>
      <c r="N25" s="14" t="s">
        <v>104</v>
      </c>
      <c r="O25" s="14" t="s">
        <v>99</v>
      </c>
      <c r="P25" s="14" t="s">
        <v>99</v>
      </c>
      <c r="Q25" s="14" t="s">
        <v>99</v>
      </c>
      <c r="R25" s="14" t="s">
        <v>99</v>
      </c>
      <c r="S25" s="14" t="s">
        <v>99</v>
      </c>
      <c r="T25" s="14" t="s">
        <v>650</v>
      </c>
      <c r="U25" s="14" t="s">
        <v>651</v>
      </c>
      <c r="V25" s="14" t="s">
        <v>652</v>
      </c>
      <c r="W25" s="14" t="s">
        <v>653</v>
      </c>
      <c r="X25" s="14" t="s">
        <v>654</v>
      </c>
      <c r="Y25" s="14" t="s">
        <v>655</v>
      </c>
      <c r="Z25" s="14" t="s">
        <v>656</v>
      </c>
      <c r="AA25" s="14" t="s">
        <v>657</v>
      </c>
      <c r="AB25" s="14" t="s">
        <v>658</v>
      </c>
      <c r="AC25" s="14" t="s">
        <v>659</v>
      </c>
      <c r="AD25" s="14" t="s">
        <v>660</v>
      </c>
      <c r="AE25" s="14" t="s">
        <v>661</v>
      </c>
      <c r="AF25" s="14" t="s">
        <v>99</v>
      </c>
      <c r="AG25" s="14">
        <v>66.0</v>
      </c>
      <c r="AH25" s="14">
        <v>35.0</v>
      </c>
      <c r="AI25" s="14">
        <v>35.0</v>
      </c>
      <c r="AJ25" s="14">
        <v>1.0</v>
      </c>
      <c r="AK25" s="14">
        <v>45.0</v>
      </c>
      <c r="AL25" s="14" t="s">
        <v>341</v>
      </c>
      <c r="AM25" s="14" t="s">
        <v>342</v>
      </c>
      <c r="AN25" s="14" t="s">
        <v>343</v>
      </c>
      <c r="AO25" s="14" t="s">
        <v>662</v>
      </c>
      <c r="AP25" s="14" t="s">
        <v>663</v>
      </c>
      <c r="AQ25" s="14" t="s">
        <v>99</v>
      </c>
      <c r="AR25" s="14" t="s">
        <v>664</v>
      </c>
      <c r="AS25" s="14" t="s">
        <v>665</v>
      </c>
      <c r="AT25" s="14" t="s">
        <v>640</v>
      </c>
      <c r="AU25" s="14">
        <v>2018.0</v>
      </c>
      <c r="AV25" s="14">
        <v>27.0</v>
      </c>
      <c r="AW25" s="14">
        <v>3.0</v>
      </c>
      <c r="AX25" s="14" t="s">
        <v>99</v>
      </c>
      <c r="AY25" s="14" t="s">
        <v>99</v>
      </c>
      <c r="AZ25" s="14" t="s">
        <v>99</v>
      </c>
      <c r="BA25" s="14" t="s">
        <v>99</v>
      </c>
      <c r="BB25" s="14">
        <v>212.0</v>
      </c>
      <c r="BC25" s="14">
        <v>221.0</v>
      </c>
      <c r="BD25" s="14" t="s">
        <v>99</v>
      </c>
      <c r="BE25" s="14" t="s">
        <v>666</v>
      </c>
      <c r="BF25" s="15" t="str">
        <f>HYPERLINK("http://dx.doi.org/10.1111/fog.12246","http://dx.doi.org/10.1111/fog.12246")</f>
        <v>http://dx.doi.org/10.1111/fog.12246</v>
      </c>
      <c r="BG25" s="14" t="s">
        <v>99</v>
      </c>
      <c r="BH25" s="14" t="s">
        <v>99</v>
      </c>
      <c r="BI25" s="14">
        <v>10.0</v>
      </c>
      <c r="BJ25" s="14" t="s">
        <v>667</v>
      </c>
      <c r="BK25" s="14" t="s">
        <v>122</v>
      </c>
      <c r="BL25" s="14" t="s">
        <v>667</v>
      </c>
      <c r="BM25" s="14" t="s">
        <v>668</v>
      </c>
      <c r="BN25" s="14" t="s">
        <v>99</v>
      </c>
      <c r="BO25" s="14" t="s">
        <v>99</v>
      </c>
      <c r="BP25" s="14" t="s">
        <v>99</v>
      </c>
      <c r="BQ25" s="14" t="s">
        <v>99</v>
      </c>
      <c r="BR25" s="14" t="s">
        <v>124</v>
      </c>
      <c r="BS25" s="14" t="s">
        <v>669</v>
      </c>
      <c r="BT25" s="14" t="str">
        <f>HYPERLINK("https%3A%2F%2Fwww.webofscience.com%2Fwos%2Fwoscc%2Ffull-record%2FWOS:000428400500003","View Full Record in Web of Science")</f>
        <v>View Full Record in Web of Science</v>
      </c>
    </row>
    <row r="26" ht="12.75" customHeight="1">
      <c r="A26" s="14" t="s">
        <v>97</v>
      </c>
      <c r="B26" s="14" t="s">
        <v>670</v>
      </c>
      <c r="C26" s="14" t="s">
        <v>99</v>
      </c>
      <c r="D26" s="14" t="s">
        <v>99</v>
      </c>
      <c r="E26" s="14" t="s">
        <v>99</v>
      </c>
      <c r="F26" s="14" t="s">
        <v>671</v>
      </c>
      <c r="G26" s="14" t="s">
        <v>99</v>
      </c>
      <c r="H26" s="14" t="s">
        <v>99</v>
      </c>
      <c r="I26" s="14" t="s">
        <v>672</v>
      </c>
      <c r="J26" s="14" t="s">
        <v>673</v>
      </c>
      <c r="K26" s="14" t="s">
        <v>99</v>
      </c>
      <c r="L26" s="14" t="s">
        <v>99</v>
      </c>
      <c r="M26" s="14" t="s">
        <v>103</v>
      </c>
      <c r="N26" s="14" t="s">
        <v>104</v>
      </c>
      <c r="O26" s="14" t="s">
        <v>99</v>
      </c>
      <c r="P26" s="14" t="s">
        <v>99</v>
      </c>
      <c r="Q26" s="14" t="s">
        <v>99</v>
      </c>
      <c r="R26" s="14" t="s">
        <v>99</v>
      </c>
      <c r="S26" s="14" t="s">
        <v>99</v>
      </c>
      <c r="T26" s="14" t="s">
        <v>674</v>
      </c>
      <c r="U26" s="14" t="s">
        <v>675</v>
      </c>
      <c r="V26" s="14" t="s">
        <v>676</v>
      </c>
      <c r="W26" s="14" t="s">
        <v>677</v>
      </c>
      <c r="X26" s="14" t="s">
        <v>678</v>
      </c>
      <c r="Y26" s="14" t="s">
        <v>679</v>
      </c>
      <c r="Z26" s="14" t="s">
        <v>680</v>
      </c>
      <c r="AA26" s="14" t="s">
        <v>681</v>
      </c>
      <c r="AB26" s="14" t="s">
        <v>99</v>
      </c>
      <c r="AC26" s="14" t="s">
        <v>682</v>
      </c>
      <c r="AD26" s="14" t="s">
        <v>683</v>
      </c>
      <c r="AE26" s="14" t="s">
        <v>684</v>
      </c>
      <c r="AF26" s="14" t="s">
        <v>99</v>
      </c>
      <c r="AG26" s="14">
        <v>33.0</v>
      </c>
      <c r="AH26" s="14">
        <v>6.0</v>
      </c>
      <c r="AI26" s="14">
        <v>7.0</v>
      </c>
      <c r="AJ26" s="14">
        <v>0.0</v>
      </c>
      <c r="AK26" s="14">
        <v>28.0</v>
      </c>
      <c r="AL26" s="14" t="s">
        <v>685</v>
      </c>
      <c r="AM26" s="14" t="s">
        <v>686</v>
      </c>
      <c r="AN26" s="14" t="s">
        <v>687</v>
      </c>
      <c r="AO26" s="14" t="s">
        <v>688</v>
      </c>
      <c r="AP26" s="14" t="s">
        <v>99</v>
      </c>
      <c r="AQ26" s="14" t="s">
        <v>99</v>
      </c>
      <c r="AR26" s="14" t="s">
        <v>689</v>
      </c>
      <c r="AS26" s="14" t="s">
        <v>690</v>
      </c>
      <c r="AT26" s="14" t="s">
        <v>691</v>
      </c>
      <c r="AU26" s="14">
        <v>2018.0</v>
      </c>
      <c r="AV26" s="14">
        <v>11.0</v>
      </c>
      <c r="AW26" s="14" t="s">
        <v>99</v>
      </c>
      <c r="AX26" s="14" t="s">
        <v>99</v>
      </c>
      <c r="AY26" s="14" t="s">
        <v>99</v>
      </c>
      <c r="AZ26" s="14" t="s">
        <v>99</v>
      </c>
      <c r="BA26" s="14" t="s">
        <v>99</v>
      </c>
      <c r="BB26" s="14" t="s">
        <v>99</v>
      </c>
      <c r="BC26" s="14" t="s">
        <v>99</v>
      </c>
      <c r="BD26" s="14" t="s">
        <v>99</v>
      </c>
      <c r="BE26" s="14" t="s">
        <v>692</v>
      </c>
      <c r="BF26" s="15" t="str">
        <f>HYPERLINK("http://dx.doi.org/10.1177/1940082918769460","http://dx.doi.org/10.1177/1940082918769460")</f>
        <v>http://dx.doi.org/10.1177/1940082918769460</v>
      </c>
      <c r="BG26" s="14" t="s">
        <v>99</v>
      </c>
      <c r="BH26" s="14" t="s">
        <v>99</v>
      </c>
      <c r="BI26" s="14">
        <v>8.0</v>
      </c>
      <c r="BJ26" s="14" t="s">
        <v>693</v>
      </c>
      <c r="BK26" s="14" t="s">
        <v>122</v>
      </c>
      <c r="BL26" s="14" t="s">
        <v>694</v>
      </c>
      <c r="BM26" s="14" t="s">
        <v>695</v>
      </c>
      <c r="BN26" s="14" t="s">
        <v>99</v>
      </c>
      <c r="BO26" s="14" t="s">
        <v>238</v>
      </c>
      <c r="BP26" s="14" t="s">
        <v>99</v>
      </c>
      <c r="BQ26" s="14" t="s">
        <v>99</v>
      </c>
      <c r="BR26" s="14" t="s">
        <v>124</v>
      </c>
      <c r="BS26" s="14" t="s">
        <v>696</v>
      </c>
      <c r="BT26" s="14" t="str">
        <f>HYPERLINK("https%3A%2F%2Fwww.webofscience.com%2Fwos%2Fwoscc%2Ffull-record%2FWOS:000437507600001","View Full Record in Web of Science")</f>
        <v>View Full Record in Web of Science</v>
      </c>
    </row>
    <row r="27" ht="12.75" customHeight="1">
      <c r="A27" s="14" t="s">
        <v>97</v>
      </c>
      <c r="B27" s="14" t="s">
        <v>697</v>
      </c>
      <c r="C27" s="14" t="s">
        <v>99</v>
      </c>
      <c r="D27" s="14" t="s">
        <v>99</v>
      </c>
      <c r="E27" s="14" t="s">
        <v>99</v>
      </c>
      <c r="F27" s="14" t="s">
        <v>698</v>
      </c>
      <c r="G27" s="14" t="s">
        <v>99</v>
      </c>
      <c r="H27" s="14" t="s">
        <v>99</v>
      </c>
      <c r="I27" s="14" t="s">
        <v>699</v>
      </c>
      <c r="J27" s="14" t="s">
        <v>700</v>
      </c>
      <c r="K27" s="14" t="s">
        <v>99</v>
      </c>
      <c r="L27" s="14" t="s">
        <v>99</v>
      </c>
      <c r="M27" s="14" t="s">
        <v>103</v>
      </c>
      <c r="N27" s="14" t="s">
        <v>104</v>
      </c>
      <c r="O27" s="14" t="s">
        <v>99</v>
      </c>
      <c r="P27" s="14" t="s">
        <v>99</v>
      </c>
      <c r="Q27" s="14" t="s">
        <v>99</v>
      </c>
      <c r="R27" s="14" t="s">
        <v>99</v>
      </c>
      <c r="S27" s="14" t="s">
        <v>99</v>
      </c>
      <c r="T27" s="14" t="s">
        <v>99</v>
      </c>
      <c r="U27" s="14" t="s">
        <v>701</v>
      </c>
      <c r="V27" s="14" t="s">
        <v>702</v>
      </c>
      <c r="W27" s="14" t="s">
        <v>703</v>
      </c>
      <c r="X27" s="14" t="s">
        <v>704</v>
      </c>
      <c r="Y27" s="14" t="s">
        <v>705</v>
      </c>
      <c r="Z27" s="14" t="s">
        <v>706</v>
      </c>
      <c r="AA27" s="14" t="s">
        <v>707</v>
      </c>
      <c r="AB27" s="14" t="s">
        <v>708</v>
      </c>
      <c r="AC27" s="14" t="s">
        <v>709</v>
      </c>
      <c r="AD27" s="14" t="s">
        <v>709</v>
      </c>
      <c r="AE27" s="14" t="s">
        <v>710</v>
      </c>
      <c r="AF27" s="14" t="s">
        <v>99</v>
      </c>
      <c r="AG27" s="14">
        <v>65.0</v>
      </c>
      <c r="AH27" s="14">
        <v>30.0</v>
      </c>
      <c r="AI27" s="14">
        <v>35.0</v>
      </c>
      <c r="AJ27" s="14">
        <v>0.0</v>
      </c>
      <c r="AK27" s="14">
        <v>96.0</v>
      </c>
      <c r="AL27" s="14" t="s">
        <v>711</v>
      </c>
      <c r="AM27" s="14" t="s">
        <v>712</v>
      </c>
      <c r="AN27" s="14" t="s">
        <v>713</v>
      </c>
      <c r="AO27" s="14" t="s">
        <v>714</v>
      </c>
      <c r="AP27" s="14" t="s">
        <v>715</v>
      </c>
      <c r="AQ27" s="14" t="s">
        <v>99</v>
      </c>
      <c r="AR27" s="14" t="s">
        <v>716</v>
      </c>
      <c r="AS27" s="14" t="s">
        <v>717</v>
      </c>
      <c r="AT27" s="14" t="s">
        <v>718</v>
      </c>
      <c r="AU27" s="14">
        <v>2018.0</v>
      </c>
      <c r="AV27" s="14">
        <v>94.0</v>
      </c>
      <c r="AW27" s="14">
        <v>2.0</v>
      </c>
      <c r="AX27" s="14" t="s">
        <v>99</v>
      </c>
      <c r="AY27" s="14" t="s">
        <v>99</v>
      </c>
      <c r="AZ27" s="14" t="s">
        <v>99</v>
      </c>
      <c r="BA27" s="14" t="s">
        <v>99</v>
      </c>
      <c r="BB27" s="14">
        <v>213.0</v>
      </c>
      <c r="BC27" s="14">
        <v>228.0</v>
      </c>
      <c r="BD27" s="14" t="s">
        <v>99</v>
      </c>
      <c r="BE27" s="14" t="s">
        <v>719</v>
      </c>
      <c r="BF27" s="15" t="str">
        <f>HYPERLINK("http://dx.doi.org/10.5343/bms.2017.1061","http://dx.doi.org/10.5343/bms.2017.1061")</f>
        <v>http://dx.doi.org/10.5343/bms.2017.1061</v>
      </c>
      <c r="BG27" s="14" t="s">
        <v>99</v>
      </c>
      <c r="BH27" s="14" t="s">
        <v>99</v>
      </c>
      <c r="BI27" s="14">
        <v>16.0</v>
      </c>
      <c r="BJ27" s="14" t="s">
        <v>720</v>
      </c>
      <c r="BK27" s="14" t="s">
        <v>122</v>
      </c>
      <c r="BL27" s="14" t="s">
        <v>720</v>
      </c>
      <c r="BM27" s="14" t="s">
        <v>721</v>
      </c>
      <c r="BN27" s="14" t="s">
        <v>99</v>
      </c>
      <c r="BO27" s="14" t="s">
        <v>354</v>
      </c>
      <c r="BP27" s="14" t="s">
        <v>99</v>
      </c>
      <c r="BQ27" s="14" t="s">
        <v>99</v>
      </c>
      <c r="BR27" s="14" t="s">
        <v>124</v>
      </c>
      <c r="BS27" s="14" t="s">
        <v>722</v>
      </c>
      <c r="BT27" s="14" t="str">
        <f>HYPERLINK("https%3A%2F%2Fwww.webofscience.com%2Fwos%2Fwoscc%2Ffull-record%2FWOS:000439017000005","View Full Record in Web of Science")</f>
        <v>View Full Record in Web of Science</v>
      </c>
    </row>
    <row r="28" ht="12.75" customHeight="1">
      <c r="A28" s="14" t="s">
        <v>97</v>
      </c>
      <c r="B28" s="14" t="s">
        <v>723</v>
      </c>
      <c r="C28" s="14" t="s">
        <v>99</v>
      </c>
      <c r="D28" s="14" t="s">
        <v>99</v>
      </c>
      <c r="E28" s="14" t="s">
        <v>99</v>
      </c>
      <c r="F28" s="14" t="s">
        <v>724</v>
      </c>
      <c r="G28" s="14" t="s">
        <v>99</v>
      </c>
      <c r="H28" s="14" t="s">
        <v>99</v>
      </c>
      <c r="I28" s="14" t="s">
        <v>725</v>
      </c>
      <c r="J28" s="14" t="s">
        <v>726</v>
      </c>
      <c r="K28" s="14" t="s">
        <v>99</v>
      </c>
      <c r="L28" s="14" t="s">
        <v>99</v>
      </c>
      <c r="M28" s="14" t="s">
        <v>103</v>
      </c>
      <c r="N28" s="14" t="s">
        <v>104</v>
      </c>
      <c r="O28" s="14" t="s">
        <v>99</v>
      </c>
      <c r="P28" s="14" t="s">
        <v>99</v>
      </c>
      <c r="Q28" s="14" t="s">
        <v>99</v>
      </c>
      <c r="R28" s="14" t="s">
        <v>99</v>
      </c>
      <c r="S28" s="14" t="s">
        <v>99</v>
      </c>
      <c r="T28" s="14" t="s">
        <v>727</v>
      </c>
      <c r="U28" s="14" t="s">
        <v>728</v>
      </c>
      <c r="V28" s="14" t="s">
        <v>729</v>
      </c>
      <c r="W28" s="14" t="s">
        <v>730</v>
      </c>
      <c r="X28" s="14" t="s">
        <v>731</v>
      </c>
      <c r="Y28" s="14" t="s">
        <v>732</v>
      </c>
      <c r="Z28" s="14" t="s">
        <v>733</v>
      </c>
      <c r="AA28" s="14" t="s">
        <v>734</v>
      </c>
      <c r="AB28" s="14" t="s">
        <v>735</v>
      </c>
      <c r="AC28" s="14" t="s">
        <v>736</v>
      </c>
      <c r="AD28" s="14" t="s">
        <v>737</v>
      </c>
      <c r="AE28" s="14" t="s">
        <v>738</v>
      </c>
      <c r="AF28" s="14" t="s">
        <v>99</v>
      </c>
      <c r="AG28" s="14">
        <v>86.0</v>
      </c>
      <c r="AH28" s="14">
        <v>28.0</v>
      </c>
      <c r="AI28" s="14">
        <v>42.0</v>
      </c>
      <c r="AJ28" s="14">
        <v>1.0</v>
      </c>
      <c r="AK28" s="14">
        <v>181.0</v>
      </c>
      <c r="AL28" s="14" t="s">
        <v>341</v>
      </c>
      <c r="AM28" s="14" t="s">
        <v>342</v>
      </c>
      <c r="AN28" s="14" t="s">
        <v>343</v>
      </c>
      <c r="AO28" s="14" t="s">
        <v>739</v>
      </c>
      <c r="AP28" s="14" t="s">
        <v>740</v>
      </c>
      <c r="AQ28" s="14" t="s">
        <v>99</v>
      </c>
      <c r="AR28" s="14" t="s">
        <v>741</v>
      </c>
      <c r="AS28" s="14" t="s">
        <v>742</v>
      </c>
      <c r="AT28" s="14" t="s">
        <v>718</v>
      </c>
      <c r="AU28" s="14">
        <v>2018.0</v>
      </c>
      <c r="AV28" s="14">
        <v>24.0</v>
      </c>
      <c r="AW28" s="14">
        <v>4.0</v>
      </c>
      <c r="AX28" s="14" t="s">
        <v>99</v>
      </c>
      <c r="AY28" s="14" t="s">
        <v>99</v>
      </c>
      <c r="AZ28" s="14" t="s">
        <v>99</v>
      </c>
      <c r="BA28" s="14" t="s">
        <v>99</v>
      </c>
      <c r="BB28" s="14">
        <v>497.0</v>
      </c>
      <c r="BC28" s="14">
        <v>508.0</v>
      </c>
      <c r="BD28" s="14" t="s">
        <v>99</v>
      </c>
      <c r="BE28" s="14" t="s">
        <v>743</v>
      </c>
      <c r="BF28" s="15" t="str">
        <f>HYPERLINK("http://dx.doi.org/10.1111/ddi.12693","http://dx.doi.org/10.1111/ddi.12693")</f>
        <v>http://dx.doi.org/10.1111/ddi.12693</v>
      </c>
      <c r="BG28" s="14" t="s">
        <v>99</v>
      </c>
      <c r="BH28" s="14" t="s">
        <v>99</v>
      </c>
      <c r="BI28" s="14">
        <v>12.0</v>
      </c>
      <c r="BJ28" s="14" t="s">
        <v>550</v>
      </c>
      <c r="BK28" s="14" t="s">
        <v>122</v>
      </c>
      <c r="BL28" s="14" t="s">
        <v>352</v>
      </c>
      <c r="BM28" s="14" t="s">
        <v>744</v>
      </c>
      <c r="BN28" s="14" t="s">
        <v>99</v>
      </c>
      <c r="BO28" s="14" t="s">
        <v>354</v>
      </c>
      <c r="BP28" s="14" t="s">
        <v>99</v>
      </c>
      <c r="BQ28" s="14" t="s">
        <v>99</v>
      </c>
      <c r="BR28" s="14" t="s">
        <v>124</v>
      </c>
      <c r="BS28" s="14" t="s">
        <v>745</v>
      </c>
      <c r="BT28" s="14" t="str">
        <f>HYPERLINK("https%3A%2F%2Fwww.webofscience.com%2Fwos%2Fwoscc%2Ffull-record%2FWOS:000427246300007","View Full Record in Web of Science")</f>
        <v>View Full Record in Web of Science</v>
      </c>
    </row>
    <row r="29" ht="12.75" customHeight="1">
      <c r="A29" s="14" t="s">
        <v>97</v>
      </c>
      <c r="B29" s="14" t="s">
        <v>746</v>
      </c>
      <c r="C29" s="14" t="s">
        <v>99</v>
      </c>
      <c r="D29" s="14" t="s">
        <v>99</v>
      </c>
      <c r="E29" s="14" t="s">
        <v>99</v>
      </c>
      <c r="F29" s="14" t="s">
        <v>747</v>
      </c>
      <c r="G29" s="14" t="s">
        <v>99</v>
      </c>
      <c r="H29" s="14" t="s">
        <v>99</v>
      </c>
      <c r="I29" s="14" t="s">
        <v>748</v>
      </c>
      <c r="J29" s="14" t="s">
        <v>749</v>
      </c>
      <c r="K29" s="14" t="s">
        <v>99</v>
      </c>
      <c r="L29" s="14" t="s">
        <v>99</v>
      </c>
      <c r="M29" s="14" t="s">
        <v>103</v>
      </c>
      <c r="N29" s="14" t="s">
        <v>104</v>
      </c>
      <c r="O29" s="14" t="s">
        <v>99</v>
      </c>
      <c r="P29" s="14" t="s">
        <v>99</v>
      </c>
      <c r="Q29" s="14" t="s">
        <v>99</v>
      </c>
      <c r="R29" s="14" t="s">
        <v>99</v>
      </c>
      <c r="S29" s="14" t="s">
        <v>99</v>
      </c>
      <c r="T29" s="14" t="s">
        <v>750</v>
      </c>
      <c r="U29" s="14" t="s">
        <v>751</v>
      </c>
      <c r="V29" s="14" t="s">
        <v>752</v>
      </c>
      <c r="W29" s="14" t="s">
        <v>753</v>
      </c>
      <c r="X29" s="14" t="s">
        <v>754</v>
      </c>
      <c r="Y29" s="14" t="s">
        <v>755</v>
      </c>
      <c r="Z29" s="14" t="s">
        <v>756</v>
      </c>
      <c r="AA29" s="14" t="s">
        <v>757</v>
      </c>
      <c r="AB29" s="14" t="s">
        <v>758</v>
      </c>
      <c r="AC29" s="14" t="s">
        <v>759</v>
      </c>
      <c r="AD29" s="14" t="s">
        <v>760</v>
      </c>
      <c r="AE29" s="14" t="s">
        <v>761</v>
      </c>
      <c r="AF29" s="14" t="s">
        <v>99</v>
      </c>
      <c r="AG29" s="14">
        <v>64.0</v>
      </c>
      <c r="AH29" s="14">
        <v>17.0</v>
      </c>
      <c r="AI29" s="14">
        <v>20.0</v>
      </c>
      <c r="AJ29" s="14">
        <v>1.0</v>
      </c>
      <c r="AK29" s="14">
        <v>55.0</v>
      </c>
      <c r="AL29" s="14" t="s">
        <v>762</v>
      </c>
      <c r="AM29" s="14" t="s">
        <v>763</v>
      </c>
      <c r="AN29" s="14" t="s">
        <v>764</v>
      </c>
      <c r="AO29" s="14" t="s">
        <v>765</v>
      </c>
      <c r="AP29" s="14" t="s">
        <v>766</v>
      </c>
      <c r="AQ29" s="14" t="s">
        <v>99</v>
      </c>
      <c r="AR29" s="14" t="s">
        <v>767</v>
      </c>
      <c r="AS29" s="14" t="s">
        <v>768</v>
      </c>
      <c r="AT29" s="14" t="s">
        <v>769</v>
      </c>
      <c r="AU29" s="14">
        <v>2018.0</v>
      </c>
      <c r="AV29" s="14">
        <v>590.0</v>
      </c>
      <c r="AW29" s="14" t="s">
        <v>99</v>
      </c>
      <c r="AX29" s="14" t="s">
        <v>99</v>
      </c>
      <c r="AY29" s="14" t="s">
        <v>99</v>
      </c>
      <c r="AZ29" s="14" t="s">
        <v>99</v>
      </c>
      <c r="BA29" s="14" t="s">
        <v>99</v>
      </c>
      <c r="BB29" s="14">
        <v>201.0</v>
      </c>
      <c r="BC29" s="14">
        <v>209.0</v>
      </c>
      <c r="BD29" s="14" t="s">
        <v>99</v>
      </c>
      <c r="BE29" s="14" t="s">
        <v>770</v>
      </c>
      <c r="BF29" s="15" t="str">
        <f>HYPERLINK("http://dx.doi.org/10.3354/meps12462","http://dx.doi.org/10.3354/meps12462")</f>
        <v>http://dx.doi.org/10.3354/meps12462</v>
      </c>
      <c r="BG29" s="14" t="s">
        <v>99</v>
      </c>
      <c r="BH29" s="14" t="s">
        <v>99</v>
      </c>
      <c r="BI29" s="14">
        <v>9.0</v>
      </c>
      <c r="BJ29" s="14" t="s">
        <v>301</v>
      </c>
      <c r="BK29" s="14" t="s">
        <v>122</v>
      </c>
      <c r="BL29" s="14" t="s">
        <v>303</v>
      </c>
      <c r="BM29" s="14" t="s">
        <v>771</v>
      </c>
      <c r="BN29" s="14" t="s">
        <v>99</v>
      </c>
      <c r="BO29" s="14" t="s">
        <v>99</v>
      </c>
      <c r="BP29" s="14" t="s">
        <v>99</v>
      </c>
      <c r="BQ29" s="14" t="s">
        <v>99</v>
      </c>
      <c r="BR29" s="14" t="s">
        <v>124</v>
      </c>
      <c r="BS29" s="14" t="s">
        <v>772</v>
      </c>
      <c r="BT29" s="14" t="str">
        <f>HYPERLINK("https%3A%2F%2Fwww.webofscience.com%2Fwos%2Fwoscc%2Ffull-record%2FWOS:000428817200014","View Full Record in Web of Science")</f>
        <v>View Full Record in Web of Science</v>
      </c>
    </row>
    <row r="30" ht="12.75" customHeight="1">
      <c r="A30" s="14" t="s">
        <v>97</v>
      </c>
      <c r="B30" s="14" t="s">
        <v>773</v>
      </c>
      <c r="C30" s="14" t="s">
        <v>99</v>
      </c>
      <c r="D30" s="14" t="s">
        <v>99</v>
      </c>
      <c r="E30" s="14" t="s">
        <v>99</v>
      </c>
      <c r="F30" s="14" t="s">
        <v>774</v>
      </c>
      <c r="G30" s="14" t="s">
        <v>99</v>
      </c>
      <c r="H30" s="14" t="s">
        <v>99</v>
      </c>
      <c r="I30" s="14" t="s">
        <v>775</v>
      </c>
      <c r="J30" s="14" t="s">
        <v>776</v>
      </c>
      <c r="K30" s="14" t="s">
        <v>99</v>
      </c>
      <c r="L30" s="14" t="s">
        <v>99</v>
      </c>
      <c r="M30" s="14" t="s">
        <v>103</v>
      </c>
      <c r="N30" s="14" t="s">
        <v>104</v>
      </c>
      <c r="O30" s="14" t="s">
        <v>99</v>
      </c>
      <c r="P30" s="14" t="s">
        <v>99</v>
      </c>
      <c r="Q30" s="14" t="s">
        <v>99</v>
      </c>
      <c r="R30" s="14" t="s">
        <v>99</v>
      </c>
      <c r="S30" s="14" t="s">
        <v>99</v>
      </c>
      <c r="T30" s="14" t="s">
        <v>99</v>
      </c>
      <c r="U30" s="14" t="s">
        <v>777</v>
      </c>
      <c r="V30" s="14" t="s">
        <v>778</v>
      </c>
      <c r="W30" s="14" t="s">
        <v>779</v>
      </c>
      <c r="X30" s="14" t="s">
        <v>780</v>
      </c>
      <c r="Y30" s="14" t="s">
        <v>781</v>
      </c>
      <c r="Z30" s="14" t="s">
        <v>782</v>
      </c>
      <c r="AA30" s="14" t="s">
        <v>783</v>
      </c>
      <c r="AB30" s="14" t="s">
        <v>784</v>
      </c>
      <c r="AC30" s="14" t="s">
        <v>785</v>
      </c>
      <c r="AD30" s="14" t="s">
        <v>786</v>
      </c>
      <c r="AE30" s="14" t="s">
        <v>787</v>
      </c>
      <c r="AF30" s="14" t="s">
        <v>99</v>
      </c>
      <c r="AG30" s="14">
        <v>50.0</v>
      </c>
      <c r="AH30" s="14">
        <v>506.0</v>
      </c>
      <c r="AI30" s="14">
        <v>553.0</v>
      </c>
      <c r="AJ30" s="14">
        <v>16.0</v>
      </c>
      <c r="AK30" s="14">
        <v>296.0</v>
      </c>
      <c r="AL30" s="14" t="s">
        <v>788</v>
      </c>
      <c r="AM30" s="14" t="s">
        <v>789</v>
      </c>
      <c r="AN30" s="14" t="s">
        <v>790</v>
      </c>
      <c r="AO30" s="14" t="s">
        <v>791</v>
      </c>
      <c r="AP30" s="14" t="s">
        <v>792</v>
      </c>
      <c r="AQ30" s="14" t="s">
        <v>99</v>
      </c>
      <c r="AR30" s="14" t="s">
        <v>793</v>
      </c>
      <c r="AS30" s="14" t="s">
        <v>794</v>
      </c>
      <c r="AT30" s="14" t="s">
        <v>795</v>
      </c>
      <c r="AU30" s="14">
        <v>2018.0</v>
      </c>
      <c r="AV30" s="14">
        <v>115.0</v>
      </c>
      <c r="AW30" s="14">
        <v>10.0</v>
      </c>
      <c r="AX30" s="14" t="s">
        <v>99</v>
      </c>
      <c r="AY30" s="14" t="s">
        <v>99</v>
      </c>
      <c r="AZ30" s="14" t="s">
        <v>99</v>
      </c>
      <c r="BA30" s="14" t="s">
        <v>99</v>
      </c>
      <c r="BB30" s="14" t="s">
        <v>796</v>
      </c>
      <c r="BC30" s="14" t="s">
        <v>797</v>
      </c>
      <c r="BD30" s="14" t="s">
        <v>99</v>
      </c>
      <c r="BE30" s="14" t="s">
        <v>798</v>
      </c>
      <c r="BF30" s="15" t="str">
        <f>HYPERLINK("http://dx.doi.org/10.1073/pnas.1719429115","http://dx.doi.org/10.1073/pnas.1719429115")</f>
        <v>http://dx.doi.org/10.1073/pnas.1719429115</v>
      </c>
      <c r="BG30" s="14" t="s">
        <v>99</v>
      </c>
      <c r="BH30" s="14" t="s">
        <v>99</v>
      </c>
      <c r="BI30" s="14">
        <v>10.0</v>
      </c>
      <c r="BJ30" s="14" t="s">
        <v>799</v>
      </c>
      <c r="BK30" s="14" t="s">
        <v>800</v>
      </c>
      <c r="BL30" s="14" t="s">
        <v>801</v>
      </c>
      <c r="BM30" s="14" t="s">
        <v>802</v>
      </c>
      <c r="BN30" s="14">
        <v>2.9432147E7</v>
      </c>
      <c r="BO30" s="14" t="s">
        <v>373</v>
      </c>
      <c r="BP30" s="14" t="s">
        <v>99</v>
      </c>
      <c r="BQ30" s="14" t="s">
        <v>99</v>
      </c>
      <c r="BR30" s="14" t="s">
        <v>124</v>
      </c>
      <c r="BS30" s="14" t="s">
        <v>803</v>
      </c>
      <c r="BT30" s="14" t="str">
        <f>HYPERLINK("https%3A%2F%2Fwww.webofscience.com%2Fwos%2Fwoscc%2Ffull-record%2FWOS:000426671900017","View Full Record in Web of Science")</f>
        <v>View Full Record in Web of Science</v>
      </c>
    </row>
    <row r="31" ht="12.75" customHeight="1">
      <c r="A31" s="14" t="s">
        <v>97</v>
      </c>
      <c r="B31" s="14" t="s">
        <v>804</v>
      </c>
      <c r="C31" s="14" t="s">
        <v>99</v>
      </c>
      <c r="D31" s="14" t="s">
        <v>99</v>
      </c>
      <c r="E31" s="14" t="s">
        <v>99</v>
      </c>
      <c r="F31" s="14" t="s">
        <v>805</v>
      </c>
      <c r="G31" s="14" t="s">
        <v>99</v>
      </c>
      <c r="H31" s="14" t="s">
        <v>99</v>
      </c>
      <c r="I31" s="14" t="s">
        <v>806</v>
      </c>
      <c r="J31" s="14" t="s">
        <v>776</v>
      </c>
      <c r="K31" s="14" t="s">
        <v>99</v>
      </c>
      <c r="L31" s="14" t="s">
        <v>99</v>
      </c>
      <c r="M31" s="14" t="s">
        <v>103</v>
      </c>
      <c r="N31" s="14" t="s">
        <v>104</v>
      </c>
      <c r="O31" s="14" t="s">
        <v>99</v>
      </c>
      <c r="P31" s="14" t="s">
        <v>99</v>
      </c>
      <c r="Q31" s="14" t="s">
        <v>99</v>
      </c>
      <c r="R31" s="14" t="s">
        <v>99</v>
      </c>
      <c r="S31" s="14" t="s">
        <v>99</v>
      </c>
      <c r="T31" s="14" t="s">
        <v>807</v>
      </c>
      <c r="U31" s="14" t="s">
        <v>808</v>
      </c>
      <c r="V31" s="14" t="s">
        <v>809</v>
      </c>
      <c r="W31" s="14" t="s">
        <v>810</v>
      </c>
      <c r="X31" s="14" t="s">
        <v>811</v>
      </c>
      <c r="Y31" s="14" t="s">
        <v>812</v>
      </c>
      <c r="Z31" s="14" t="s">
        <v>813</v>
      </c>
      <c r="AA31" s="14" t="s">
        <v>814</v>
      </c>
      <c r="AB31" s="14" t="s">
        <v>815</v>
      </c>
      <c r="AC31" s="14" t="s">
        <v>816</v>
      </c>
      <c r="AD31" s="14" t="s">
        <v>817</v>
      </c>
      <c r="AE31" s="14" t="s">
        <v>818</v>
      </c>
      <c r="AF31" s="14" t="s">
        <v>99</v>
      </c>
      <c r="AG31" s="14">
        <v>45.0</v>
      </c>
      <c r="AH31" s="14">
        <v>162.0</v>
      </c>
      <c r="AI31" s="14">
        <v>188.0</v>
      </c>
      <c r="AJ31" s="14">
        <v>4.0</v>
      </c>
      <c r="AK31" s="14">
        <v>141.0</v>
      </c>
      <c r="AL31" s="14" t="s">
        <v>788</v>
      </c>
      <c r="AM31" s="14" t="s">
        <v>789</v>
      </c>
      <c r="AN31" s="14" t="s">
        <v>790</v>
      </c>
      <c r="AO31" s="14" t="s">
        <v>791</v>
      </c>
      <c r="AP31" s="14" t="s">
        <v>792</v>
      </c>
      <c r="AQ31" s="14" t="s">
        <v>99</v>
      </c>
      <c r="AR31" s="14" t="s">
        <v>793</v>
      </c>
      <c r="AS31" s="14" t="s">
        <v>794</v>
      </c>
      <c r="AT31" s="14" t="s">
        <v>819</v>
      </c>
      <c r="AU31" s="14">
        <v>2018.0</v>
      </c>
      <c r="AV31" s="14">
        <v>115.0</v>
      </c>
      <c r="AW31" s="14">
        <v>8.0</v>
      </c>
      <c r="AX31" s="14" t="s">
        <v>99</v>
      </c>
      <c r="AY31" s="14" t="s">
        <v>99</v>
      </c>
      <c r="AZ31" s="14" t="s">
        <v>99</v>
      </c>
      <c r="BA31" s="14" t="s">
        <v>99</v>
      </c>
      <c r="BB31" s="14">
        <v>1831.0</v>
      </c>
      <c r="BC31" s="14">
        <v>1836.0</v>
      </c>
      <c r="BD31" s="14" t="s">
        <v>99</v>
      </c>
      <c r="BE31" s="14" t="s">
        <v>820</v>
      </c>
      <c r="BF31" s="15" t="str">
        <f>HYPERLINK("http://dx.doi.org/10.1073/pnas.1711122115","http://dx.doi.org/10.1073/pnas.1711122115")</f>
        <v>http://dx.doi.org/10.1073/pnas.1711122115</v>
      </c>
      <c r="BG31" s="14" t="s">
        <v>99</v>
      </c>
      <c r="BH31" s="14" t="s">
        <v>99</v>
      </c>
      <c r="BI31" s="14">
        <v>6.0</v>
      </c>
      <c r="BJ31" s="14" t="s">
        <v>799</v>
      </c>
      <c r="BK31" s="14" t="s">
        <v>122</v>
      </c>
      <c r="BL31" s="14" t="s">
        <v>801</v>
      </c>
      <c r="BM31" s="14" t="s">
        <v>821</v>
      </c>
      <c r="BN31" s="14">
        <v>2.9358389E7</v>
      </c>
      <c r="BO31" s="14" t="s">
        <v>238</v>
      </c>
      <c r="BP31" s="14" t="s">
        <v>99</v>
      </c>
      <c r="BQ31" s="14" t="s">
        <v>99</v>
      </c>
      <c r="BR31" s="14" t="s">
        <v>124</v>
      </c>
      <c r="BS31" s="14" t="s">
        <v>822</v>
      </c>
      <c r="BT31" s="14" t="str">
        <f>HYPERLINK("https%3A%2F%2Fwww.webofscience.com%2Fwos%2Fwoscc%2Ffull-record%2FWOS:000425495000061","View Full Record in Web of Science")</f>
        <v>View Full Record in Web of Science</v>
      </c>
    </row>
    <row r="32" ht="12.75" customHeight="1">
      <c r="A32" s="14" t="s">
        <v>97</v>
      </c>
      <c r="B32" s="14" t="s">
        <v>823</v>
      </c>
      <c r="C32" s="14" t="s">
        <v>99</v>
      </c>
      <c r="D32" s="14" t="s">
        <v>99</v>
      </c>
      <c r="E32" s="14" t="s">
        <v>99</v>
      </c>
      <c r="F32" s="14" t="s">
        <v>824</v>
      </c>
      <c r="G32" s="14" t="s">
        <v>99</v>
      </c>
      <c r="H32" s="14" t="s">
        <v>99</v>
      </c>
      <c r="I32" s="14" t="s">
        <v>825</v>
      </c>
      <c r="J32" s="14" t="s">
        <v>826</v>
      </c>
      <c r="K32" s="14" t="s">
        <v>99</v>
      </c>
      <c r="L32" s="14" t="s">
        <v>99</v>
      </c>
      <c r="M32" s="14" t="s">
        <v>103</v>
      </c>
      <c r="N32" s="14" t="s">
        <v>104</v>
      </c>
      <c r="O32" s="14" t="s">
        <v>99</v>
      </c>
      <c r="P32" s="14" t="s">
        <v>99</v>
      </c>
      <c r="Q32" s="14" t="s">
        <v>99</v>
      </c>
      <c r="R32" s="14" t="s">
        <v>99</v>
      </c>
      <c r="S32" s="14" t="s">
        <v>99</v>
      </c>
      <c r="T32" s="14" t="s">
        <v>827</v>
      </c>
      <c r="U32" s="14" t="s">
        <v>828</v>
      </c>
      <c r="V32" s="14" t="s">
        <v>829</v>
      </c>
      <c r="W32" s="14" t="s">
        <v>830</v>
      </c>
      <c r="X32" s="14" t="s">
        <v>831</v>
      </c>
      <c r="Y32" s="14" t="s">
        <v>832</v>
      </c>
      <c r="Z32" s="14" t="s">
        <v>833</v>
      </c>
      <c r="AA32" s="14" t="s">
        <v>834</v>
      </c>
      <c r="AB32" s="14" t="s">
        <v>835</v>
      </c>
      <c r="AC32" s="14" t="s">
        <v>836</v>
      </c>
      <c r="AD32" s="14" t="s">
        <v>837</v>
      </c>
      <c r="AE32" s="14" t="s">
        <v>838</v>
      </c>
      <c r="AF32" s="14" t="s">
        <v>99</v>
      </c>
      <c r="AG32" s="14">
        <v>76.0</v>
      </c>
      <c r="AH32" s="14">
        <v>11.0</v>
      </c>
      <c r="AI32" s="14">
        <v>11.0</v>
      </c>
      <c r="AJ32" s="14">
        <v>0.0</v>
      </c>
      <c r="AK32" s="14">
        <v>16.0</v>
      </c>
      <c r="AL32" s="14" t="s">
        <v>341</v>
      </c>
      <c r="AM32" s="14" t="s">
        <v>342</v>
      </c>
      <c r="AN32" s="14" t="s">
        <v>343</v>
      </c>
      <c r="AO32" s="14" t="s">
        <v>839</v>
      </c>
      <c r="AP32" s="14" t="s">
        <v>840</v>
      </c>
      <c r="AQ32" s="14" t="s">
        <v>99</v>
      </c>
      <c r="AR32" s="14" t="s">
        <v>841</v>
      </c>
      <c r="AS32" s="14" t="s">
        <v>842</v>
      </c>
      <c r="AT32" s="14" t="s">
        <v>280</v>
      </c>
      <c r="AU32" s="14">
        <v>2018.0</v>
      </c>
      <c r="AV32" s="14">
        <v>28.0</v>
      </c>
      <c r="AW32" s="14">
        <v>1.0</v>
      </c>
      <c r="AX32" s="14" t="s">
        <v>99</v>
      </c>
      <c r="AY32" s="14" t="s">
        <v>99</v>
      </c>
      <c r="AZ32" s="14" t="s">
        <v>99</v>
      </c>
      <c r="BA32" s="14" t="s">
        <v>99</v>
      </c>
      <c r="BB32" s="14">
        <v>55.0</v>
      </c>
      <c r="BC32" s="14">
        <v>67.0</v>
      </c>
      <c r="BD32" s="14" t="s">
        <v>99</v>
      </c>
      <c r="BE32" s="14" t="s">
        <v>843</v>
      </c>
      <c r="BF32" s="15" t="str">
        <f>HYPERLINK("http://dx.doi.org/10.1002/aqc.2850","http://dx.doi.org/10.1002/aqc.2850")</f>
        <v>http://dx.doi.org/10.1002/aqc.2850</v>
      </c>
      <c r="BG32" s="14" t="s">
        <v>99</v>
      </c>
      <c r="BH32" s="14" t="s">
        <v>99</v>
      </c>
      <c r="BI32" s="14">
        <v>13.0</v>
      </c>
      <c r="BJ32" s="14" t="s">
        <v>844</v>
      </c>
      <c r="BK32" s="14" t="s">
        <v>122</v>
      </c>
      <c r="BL32" s="14" t="s">
        <v>845</v>
      </c>
      <c r="BM32" s="14" t="s">
        <v>846</v>
      </c>
      <c r="BN32" s="14" t="s">
        <v>99</v>
      </c>
      <c r="BO32" s="14" t="s">
        <v>99</v>
      </c>
      <c r="BP32" s="14" t="s">
        <v>99</v>
      </c>
      <c r="BQ32" s="14" t="s">
        <v>99</v>
      </c>
      <c r="BR32" s="14" t="s">
        <v>124</v>
      </c>
      <c r="BS32" s="14" t="s">
        <v>847</v>
      </c>
      <c r="BT32" s="14" t="str">
        <f>HYPERLINK("https%3A%2F%2Fwww.webofscience.com%2Fwos%2Fwoscc%2Ffull-record%2FWOS:000425121900007","View Full Record in Web of Science")</f>
        <v>View Full Record in Web of Science</v>
      </c>
    </row>
    <row r="33" ht="12.75" customHeight="1">
      <c r="A33" s="14" t="s">
        <v>97</v>
      </c>
      <c r="B33" s="14" t="s">
        <v>848</v>
      </c>
      <c r="C33" s="14" t="s">
        <v>99</v>
      </c>
      <c r="D33" s="14" t="s">
        <v>99</v>
      </c>
      <c r="E33" s="14" t="s">
        <v>99</v>
      </c>
      <c r="F33" s="14" t="s">
        <v>849</v>
      </c>
      <c r="G33" s="14" t="s">
        <v>99</v>
      </c>
      <c r="H33" s="14" t="s">
        <v>99</v>
      </c>
      <c r="I33" s="14" t="s">
        <v>850</v>
      </c>
      <c r="J33" s="14" t="s">
        <v>851</v>
      </c>
      <c r="K33" s="14" t="s">
        <v>99</v>
      </c>
      <c r="L33" s="14" t="s">
        <v>99</v>
      </c>
      <c r="M33" s="14" t="s">
        <v>103</v>
      </c>
      <c r="N33" s="14" t="s">
        <v>104</v>
      </c>
      <c r="O33" s="14" t="s">
        <v>99</v>
      </c>
      <c r="P33" s="14" t="s">
        <v>99</v>
      </c>
      <c r="Q33" s="14" t="s">
        <v>99</v>
      </c>
      <c r="R33" s="14" t="s">
        <v>99</v>
      </c>
      <c r="S33" s="14" t="s">
        <v>99</v>
      </c>
      <c r="T33" s="14" t="s">
        <v>852</v>
      </c>
      <c r="U33" s="14" t="s">
        <v>853</v>
      </c>
      <c r="V33" s="14" t="s">
        <v>854</v>
      </c>
      <c r="W33" s="14" t="s">
        <v>855</v>
      </c>
      <c r="X33" s="14" t="s">
        <v>856</v>
      </c>
      <c r="Y33" s="14" t="s">
        <v>857</v>
      </c>
      <c r="Z33" s="14" t="s">
        <v>858</v>
      </c>
      <c r="AA33" s="14" t="s">
        <v>859</v>
      </c>
      <c r="AB33" s="14" t="s">
        <v>860</v>
      </c>
      <c r="AC33" s="14" t="s">
        <v>861</v>
      </c>
      <c r="AD33" s="14" t="s">
        <v>862</v>
      </c>
      <c r="AE33" s="14" t="s">
        <v>863</v>
      </c>
      <c r="AF33" s="14" t="s">
        <v>99</v>
      </c>
      <c r="AG33" s="14">
        <v>58.0</v>
      </c>
      <c r="AH33" s="14">
        <v>64.0</v>
      </c>
      <c r="AI33" s="14">
        <v>71.0</v>
      </c>
      <c r="AJ33" s="14">
        <v>3.0</v>
      </c>
      <c r="AK33" s="14">
        <v>98.0</v>
      </c>
      <c r="AL33" s="14" t="s">
        <v>341</v>
      </c>
      <c r="AM33" s="14" t="s">
        <v>342</v>
      </c>
      <c r="AN33" s="14" t="s">
        <v>343</v>
      </c>
      <c r="AO33" s="14" t="s">
        <v>864</v>
      </c>
      <c r="AP33" s="14" t="s">
        <v>865</v>
      </c>
      <c r="AQ33" s="14" t="s">
        <v>99</v>
      </c>
      <c r="AR33" s="14" t="s">
        <v>866</v>
      </c>
      <c r="AS33" s="14" t="s">
        <v>867</v>
      </c>
      <c r="AT33" s="14" t="s">
        <v>280</v>
      </c>
      <c r="AU33" s="14">
        <v>2018.0</v>
      </c>
      <c r="AV33" s="14">
        <v>27.0</v>
      </c>
      <c r="AW33" s="14">
        <v>2.0</v>
      </c>
      <c r="AX33" s="14" t="s">
        <v>99</v>
      </c>
      <c r="AY33" s="14" t="s">
        <v>99</v>
      </c>
      <c r="AZ33" s="14" t="s">
        <v>99</v>
      </c>
      <c r="BA33" s="14" t="s">
        <v>99</v>
      </c>
      <c r="BB33" s="14">
        <v>213.0</v>
      </c>
      <c r="BC33" s="14">
        <v>222.0</v>
      </c>
      <c r="BD33" s="14" t="s">
        <v>99</v>
      </c>
      <c r="BE33" s="14" t="s">
        <v>868</v>
      </c>
      <c r="BF33" s="15" t="str">
        <f>HYPERLINK("http://dx.doi.org/10.1111/geb.12690","http://dx.doi.org/10.1111/geb.12690")</f>
        <v>http://dx.doi.org/10.1111/geb.12690</v>
      </c>
      <c r="BG33" s="14" t="s">
        <v>99</v>
      </c>
      <c r="BH33" s="14" t="s">
        <v>99</v>
      </c>
      <c r="BI33" s="14">
        <v>10.0</v>
      </c>
      <c r="BJ33" s="14" t="s">
        <v>869</v>
      </c>
      <c r="BK33" s="14" t="s">
        <v>122</v>
      </c>
      <c r="BL33" s="14" t="s">
        <v>870</v>
      </c>
      <c r="BM33" s="14" t="s">
        <v>871</v>
      </c>
      <c r="BN33" s="14" t="s">
        <v>99</v>
      </c>
      <c r="BO33" s="14" t="s">
        <v>99</v>
      </c>
      <c r="BP33" s="14" t="s">
        <v>99</v>
      </c>
      <c r="BQ33" s="14" t="s">
        <v>99</v>
      </c>
      <c r="BR33" s="14" t="s">
        <v>124</v>
      </c>
      <c r="BS33" s="14" t="s">
        <v>872</v>
      </c>
      <c r="BT33" s="14" t="str">
        <f>HYPERLINK("https%3A%2F%2Fwww.webofscience.com%2Fwos%2Fwoscc%2Ffull-record%2FWOS:000422750700005","View Full Record in Web of Science")</f>
        <v>View Full Record in Web of Science</v>
      </c>
    </row>
    <row r="34" ht="12.75" customHeight="1">
      <c r="A34" s="14" t="s">
        <v>97</v>
      </c>
      <c r="B34" s="14" t="s">
        <v>873</v>
      </c>
      <c r="C34" s="14" t="s">
        <v>99</v>
      </c>
      <c r="D34" s="14" t="s">
        <v>99</v>
      </c>
      <c r="E34" s="14" t="s">
        <v>99</v>
      </c>
      <c r="F34" s="14" t="s">
        <v>874</v>
      </c>
      <c r="G34" s="14" t="s">
        <v>99</v>
      </c>
      <c r="H34" s="14" t="s">
        <v>99</v>
      </c>
      <c r="I34" s="14" t="s">
        <v>875</v>
      </c>
      <c r="J34" s="14" t="s">
        <v>876</v>
      </c>
      <c r="K34" s="14" t="s">
        <v>99</v>
      </c>
      <c r="L34" s="14" t="s">
        <v>99</v>
      </c>
      <c r="M34" s="14" t="s">
        <v>103</v>
      </c>
      <c r="N34" s="14" t="s">
        <v>104</v>
      </c>
      <c r="O34" s="14" t="s">
        <v>99</v>
      </c>
      <c r="P34" s="14" t="s">
        <v>99</v>
      </c>
      <c r="Q34" s="14" t="s">
        <v>99</v>
      </c>
      <c r="R34" s="14" t="s">
        <v>99</v>
      </c>
      <c r="S34" s="14" t="s">
        <v>99</v>
      </c>
      <c r="T34" s="14" t="s">
        <v>877</v>
      </c>
      <c r="U34" s="14" t="s">
        <v>878</v>
      </c>
      <c r="V34" s="14" t="s">
        <v>879</v>
      </c>
      <c r="W34" s="14" t="s">
        <v>880</v>
      </c>
      <c r="X34" s="14" t="s">
        <v>881</v>
      </c>
      <c r="Y34" s="14" t="s">
        <v>882</v>
      </c>
      <c r="Z34" s="14" t="s">
        <v>883</v>
      </c>
      <c r="AA34" s="14" t="s">
        <v>884</v>
      </c>
      <c r="AB34" s="14" t="s">
        <v>885</v>
      </c>
      <c r="AC34" s="14" t="s">
        <v>886</v>
      </c>
      <c r="AD34" s="14" t="s">
        <v>887</v>
      </c>
      <c r="AE34" s="14" t="s">
        <v>888</v>
      </c>
      <c r="AF34" s="14" t="s">
        <v>99</v>
      </c>
      <c r="AG34" s="14">
        <v>87.0</v>
      </c>
      <c r="AH34" s="14">
        <v>59.0</v>
      </c>
      <c r="AI34" s="14">
        <v>68.0</v>
      </c>
      <c r="AJ34" s="14">
        <v>3.0</v>
      </c>
      <c r="AK34" s="14">
        <v>132.0</v>
      </c>
      <c r="AL34" s="14" t="s">
        <v>441</v>
      </c>
      <c r="AM34" s="14" t="s">
        <v>442</v>
      </c>
      <c r="AN34" s="14" t="s">
        <v>443</v>
      </c>
      <c r="AO34" s="14" t="s">
        <v>889</v>
      </c>
      <c r="AP34" s="14" t="s">
        <v>890</v>
      </c>
      <c r="AQ34" s="14" t="s">
        <v>99</v>
      </c>
      <c r="AR34" s="14" t="s">
        <v>891</v>
      </c>
      <c r="AS34" s="14" t="s">
        <v>892</v>
      </c>
      <c r="AT34" s="14" t="s">
        <v>280</v>
      </c>
      <c r="AU34" s="14">
        <v>2018.0</v>
      </c>
      <c r="AV34" s="14">
        <v>198.0</v>
      </c>
      <c r="AW34" s="14" t="s">
        <v>99</v>
      </c>
      <c r="AX34" s="14" t="s">
        <v>99</v>
      </c>
      <c r="AY34" s="14" t="s">
        <v>99</v>
      </c>
      <c r="AZ34" s="14" t="s">
        <v>99</v>
      </c>
      <c r="BA34" s="14" t="s">
        <v>99</v>
      </c>
      <c r="BB34" s="14">
        <v>78.0</v>
      </c>
      <c r="BC34" s="14">
        <v>85.0</v>
      </c>
      <c r="BD34" s="14" t="s">
        <v>99</v>
      </c>
      <c r="BE34" s="14" t="s">
        <v>893</v>
      </c>
      <c r="BF34" s="15" t="str">
        <f>HYPERLINK("http://dx.doi.org/10.1016/j.fishres.2017.10.012","http://dx.doi.org/10.1016/j.fishres.2017.10.012")</f>
        <v>http://dx.doi.org/10.1016/j.fishres.2017.10.012</v>
      </c>
      <c r="BG34" s="14" t="s">
        <v>99</v>
      </c>
      <c r="BH34" s="14" t="s">
        <v>99</v>
      </c>
      <c r="BI34" s="14">
        <v>8.0</v>
      </c>
      <c r="BJ34" s="14" t="s">
        <v>894</v>
      </c>
      <c r="BK34" s="14" t="s">
        <v>122</v>
      </c>
      <c r="BL34" s="14" t="s">
        <v>894</v>
      </c>
      <c r="BM34" s="14" t="s">
        <v>895</v>
      </c>
      <c r="BN34" s="14" t="s">
        <v>99</v>
      </c>
      <c r="BO34" s="14" t="s">
        <v>99</v>
      </c>
      <c r="BP34" s="14" t="s">
        <v>99</v>
      </c>
      <c r="BQ34" s="14" t="s">
        <v>99</v>
      </c>
      <c r="BR34" s="14" t="s">
        <v>124</v>
      </c>
      <c r="BS34" s="14" t="s">
        <v>896</v>
      </c>
      <c r="BT34" s="14" t="str">
        <f>HYPERLINK("https%3A%2F%2Fwww.webofscience.com%2Fwos%2Fwoscc%2Ffull-record%2FWOS:000416194200009","View Full Record in Web of Science")</f>
        <v>View Full Record in Web of Science</v>
      </c>
    </row>
    <row r="35" ht="12.75" customHeight="1">
      <c r="A35" s="14" t="s">
        <v>97</v>
      </c>
      <c r="B35" s="14" t="s">
        <v>897</v>
      </c>
      <c r="C35" s="14" t="s">
        <v>99</v>
      </c>
      <c r="D35" s="14" t="s">
        <v>99</v>
      </c>
      <c r="E35" s="14" t="s">
        <v>99</v>
      </c>
      <c r="F35" s="14" t="s">
        <v>898</v>
      </c>
      <c r="G35" s="14" t="s">
        <v>99</v>
      </c>
      <c r="H35" s="14" t="s">
        <v>99</v>
      </c>
      <c r="I35" s="14" t="s">
        <v>899</v>
      </c>
      <c r="J35" s="14" t="s">
        <v>900</v>
      </c>
      <c r="K35" s="14" t="s">
        <v>99</v>
      </c>
      <c r="L35" s="14" t="s">
        <v>99</v>
      </c>
      <c r="M35" s="14" t="s">
        <v>103</v>
      </c>
      <c r="N35" s="14" t="s">
        <v>104</v>
      </c>
      <c r="O35" s="14" t="s">
        <v>99</v>
      </c>
      <c r="P35" s="14" t="s">
        <v>99</v>
      </c>
      <c r="Q35" s="14" t="s">
        <v>99</v>
      </c>
      <c r="R35" s="14" t="s">
        <v>99</v>
      </c>
      <c r="S35" s="14" t="s">
        <v>99</v>
      </c>
      <c r="T35" s="14" t="s">
        <v>99</v>
      </c>
      <c r="U35" s="14" t="s">
        <v>901</v>
      </c>
      <c r="V35" s="14" t="s">
        <v>902</v>
      </c>
      <c r="W35" s="14" t="s">
        <v>903</v>
      </c>
      <c r="X35" s="14" t="s">
        <v>904</v>
      </c>
      <c r="Y35" s="14" t="s">
        <v>905</v>
      </c>
      <c r="Z35" s="14" t="s">
        <v>906</v>
      </c>
      <c r="AA35" s="14" t="s">
        <v>907</v>
      </c>
      <c r="AB35" s="14" t="s">
        <v>908</v>
      </c>
      <c r="AC35" s="14" t="s">
        <v>99</v>
      </c>
      <c r="AD35" s="14" t="s">
        <v>99</v>
      </c>
      <c r="AE35" s="14" t="s">
        <v>99</v>
      </c>
      <c r="AF35" s="14" t="s">
        <v>99</v>
      </c>
      <c r="AG35" s="14">
        <v>69.0</v>
      </c>
      <c r="AH35" s="14">
        <v>189.0</v>
      </c>
      <c r="AI35" s="14">
        <v>219.0</v>
      </c>
      <c r="AJ35" s="14">
        <v>10.0</v>
      </c>
      <c r="AK35" s="14">
        <v>224.0</v>
      </c>
      <c r="AL35" s="14" t="s">
        <v>909</v>
      </c>
      <c r="AM35" s="14" t="s">
        <v>910</v>
      </c>
      <c r="AN35" s="14" t="s">
        <v>911</v>
      </c>
      <c r="AO35" s="14" t="s">
        <v>912</v>
      </c>
      <c r="AP35" s="14" t="s">
        <v>913</v>
      </c>
      <c r="AQ35" s="14" t="s">
        <v>99</v>
      </c>
      <c r="AR35" s="14" t="s">
        <v>900</v>
      </c>
      <c r="AS35" s="14" t="s">
        <v>914</v>
      </c>
      <c r="AT35" s="14" t="s">
        <v>915</v>
      </c>
      <c r="AU35" s="14">
        <v>2018.0</v>
      </c>
      <c r="AV35" s="14">
        <v>553.0</v>
      </c>
      <c r="AW35" s="14">
        <v>7687.0</v>
      </c>
      <c r="AX35" s="14" t="s">
        <v>99</v>
      </c>
      <c r="AY35" s="14" t="s">
        <v>99</v>
      </c>
      <c r="AZ35" s="14" t="s">
        <v>99</v>
      </c>
      <c r="BA35" s="14" t="s">
        <v>99</v>
      </c>
      <c r="BB35" s="14">
        <v>199.0</v>
      </c>
      <c r="BC35" s="14" t="s">
        <v>916</v>
      </c>
      <c r="BD35" s="14" t="s">
        <v>99</v>
      </c>
      <c r="BE35" s="14" t="s">
        <v>917</v>
      </c>
      <c r="BF35" s="15" t="str">
        <f>HYPERLINK("http://dx.doi.org/10.1038/nature25139","http://dx.doi.org/10.1038/nature25139")</f>
        <v>http://dx.doi.org/10.1038/nature25139</v>
      </c>
      <c r="BG35" s="14" t="s">
        <v>99</v>
      </c>
      <c r="BH35" s="14" t="s">
        <v>99</v>
      </c>
      <c r="BI35" s="14">
        <v>18.0</v>
      </c>
      <c r="BJ35" s="14" t="s">
        <v>799</v>
      </c>
      <c r="BK35" s="14" t="s">
        <v>800</v>
      </c>
      <c r="BL35" s="14" t="s">
        <v>801</v>
      </c>
      <c r="BM35" s="14" t="s">
        <v>918</v>
      </c>
      <c r="BN35" s="14">
        <v>2.9258291E7</v>
      </c>
      <c r="BO35" s="14" t="s">
        <v>99</v>
      </c>
      <c r="BP35" s="14" t="s">
        <v>99</v>
      </c>
      <c r="BQ35" s="14" t="s">
        <v>99</v>
      </c>
      <c r="BR35" s="14" t="s">
        <v>124</v>
      </c>
      <c r="BS35" s="14" t="s">
        <v>919</v>
      </c>
      <c r="BT35" s="14" t="str">
        <f>HYPERLINK("https%3A%2F%2Fwww.webofscience.com%2Fwos%2Fwoscc%2Ffull-record%2FWOS:000419794800035","View Full Record in Web of Science")</f>
        <v>View Full Record in Web of Science</v>
      </c>
    </row>
    <row r="36" ht="12.75" customHeight="1">
      <c r="A36" s="14" t="s">
        <v>97</v>
      </c>
      <c r="B36" s="14" t="s">
        <v>920</v>
      </c>
      <c r="C36" s="14" t="s">
        <v>99</v>
      </c>
      <c r="D36" s="14" t="s">
        <v>99</v>
      </c>
      <c r="E36" s="14" t="s">
        <v>99</v>
      </c>
      <c r="F36" s="14" t="s">
        <v>921</v>
      </c>
      <c r="G36" s="14" t="s">
        <v>99</v>
      </c>
      <c r="H36" s="14" t="s">
        <v>99</v>
      </c>
      <c r="I36" s="14" t="s">
        <v>922</v>
      </c>
      <c r="J36" s="14" t="s">
        <v>328</v>
      </c>
      <c r="K36" s="14" t="s">
        <v>99</v>
      </c>
      <c r="L36" s="14" t="s">
        <v>99</v>
      </c>
      <c r="M36" s="14" t="s">
        <v>103</v>
      </c>
      <c r="N36" s="14" t="s">
        <v>104</v>
      </c>
      <c r="O36" s="14" t="s">
        <v>99</v>
      </c>
      <c r="P36" s="14" t="s">
        <v>99</v>
      </c>
      <c r="Q36" s="14" t="s">
        <v>99</v>
      </c>
      <c r="R36" s="14" t="s">
        <v>99</v>
      </c>
      <c r="S36" s="14" t="s">
        <v>99</v>
      </c>
      <c r="T36" s="14" t="s">
        <v>923</v>
      </c>
      <c r="U36" s="14" t="s">
        <v>924</v>
      </c>
      <c r="V36" s="14" t="s">
        <v>925</v>
      </c>
      <c r="W36" s="14" t="s">
        <v>926</v>
      </c>
      <c r="X36" s="14" t="s">
        <v>927</v>
      </c>
      <c r="Y36" s="14" t="s">
        <v>928</v>
      </c>
      <c r="Z36" s="14" t="s">
        <v>929</v>
      </c>
      <c r="AA36" s="14" t="s">
        <v>930</v>
      </c>
      <c r="AB36" s="14" t="s">
        <v>931</v>
      </c>
      <c r="AC36" s="14" t="s">
        <v>932</v>
      </c>
      <c r="AD36" s="14" t="s">
        <v>933</v>
      </c>
      <c r="AE36" s="14" t="s">
        <v>934</v>
      </c>
      <c r="AF36" s="14" t="s">
        <v>99</v>
      </c>
      <c r="AG36" s="14">
        <v>73.0</v>
      </c>
      <c r="AH36" s="14">
        <v>196.0</v>
      </c>
      <c r="AI36" s="14">
        <v>214.0</v>
      </c>
      <c r="AJ36" s="14">
        <v>3.0</v>
      </c>
      <c r="AK36" s="14">
        <v>109.0</v>
      </c>
      <c r="AL36" s="14" t="s">
        <v>341</v>
      </c>
      <c r="AM36" s="14" t="s">
        <v>342</v>
      </c>
      <c r="AN36" s="14" t="s">
        <v>343</v>
      </c>
      <c r="AO36" s="14" t="s">
        <v>344</v>
      </c>
      <c r="AP36" s="14" t="s">
        <v>345</v>
      </c>
      <c r="AQ36" s="14" t="s">
        <v>99</v>
      </c>
      <c r="AR36" s="14" t="s">
        <v>346</v>
      </c>
      <c r="AS36" s="14" t="s">
        <v>347</v>
      </c>
      <c r="AT36" s="14" t="s">
        <v>935</v>
      </c>
      <c r="AU36" s="14">
        <v>2018.0</v>
      </c>
      <c r="AV36" s="14">
        <v>24.0</v>
      </c>
      <c r="AW36" s="14">
        <v>1.0</v>
      </c>
      <c r="AX36" s="14" t="s">
        <v>99</v>
      </c>
      <c r="AY36" s="14" t="s">
        <v>99</v>
      </c>
      <c r="AZ36" s="14" t="s">
        <v>99</v>
      </c>
      <c r="BA36" s="14" t="s">
        <v>99</v>
      </c>
      <c r="BB36" s="14" t="s">
        <v>936</v>
      </c>
      <c r="BC36" s="14" t="s">
        <v>937</v>
      </c>
      <c r="BD36" s="14" t="s">
        <v>99</v>
      </c>
      <c r="BE36" s="14" t="s">
        <v>938</v>
      </c>
      <c r="BF36" s="15" t="str">
        <f>HYPERLINK("http://dx.doi.org/10.1111/gcb.13916","http://dx.doi.org/10.1111/gcb.13916")</f>
        <v>http://dx.doi.org/10.1111/gcb.13916</v>
      </c>
      <c r="BG36" s="14" t="s">
        <v>99</v>
      </c>
      <c r="BH36" s="14" t="s">
        <v>99</v>
      </c>
      <c r="BI36" s="14">
        <v>13.0</v>
      </c>
      <c r="BJ36" s="14" t="s">
        <v>351</v>
      </c>
      <c r="BK36" s="14" t="s">
        <v>122</v>
      </c>
      <c r="BL36" s="14" t="s">
        <v>352</v>
      </c>
      <c r="BM36" s="14" t="s">
        <v>939</v>
      </c>
      <c r="BN36" s="14">
        <v>2.8944532E7</v>
      </c>
      <c r="BO36" s="14" t="s">
        <v>940</v>
      </c>
      <c r="BP36" s="14" t="s">
        <v>99</v>
      </c>
      <c r="BQ36" s="14" t="s">
        <v>99</v>
      </c>
      <c r="BR36" s="14" t="s">
        <v>124</v>
      </c>
      <c r="BS36" s="14" t="s">
        <v>941</v>
      </c>
      <c r="BT36" s="14" t="str">
        <f>HYPERLINK("https%3A%2F%2Fwww.webofscience.com%2Fwos%2Fwoscc%2Ffull-record%2FWOS:000426506100027","View Full Record in Web of Science")</f>
        <v>View Full Record in Web of Science</v>
      </c>
    </row>
    <row r="37" ht="12.75" customHeight="1">
      <c r="A37" s="14" t="s">
        <v>97</v>
      </c>
      <c r="B37" s="14" t="s">
        <v>942</v>
      </c>
      <c r="C37" s="14" t="s">
        <v>99</v>
      </c>
      <c r="D37" s="14" t="s">
        <v>99</v>
      </c>
      <c r="E37" s="14" t="s">
        <v>99</v>
      </c>
      <c r="F37" s="14" t="s">
        <v>943</v>
      </c>
      <c r="G37" s="14" t="s">
        <v>99</v>
      </c>
      <c r="H37" s="14" t="s">
        <v>99</v>
      </c>
      <c r="I37" s="14" t="s">
        <v>944</v>
      </c>
      <c r="J37" s="14" t="s">
        <v>945</v>
      </c>
      <c r="K37" s="14" t="s">
        <v>99</v>
      </c>
      <c r="L37" s="14" t="s">
        <v>99</v>
      </c>
      <c r="M37" s="14" t="s">
        <v>103</v>
      </c>
      <c r="N37" s="14" t="s">
        <v>104</v>
      </c>
      <c r="O37" s="14" t="s">
        <v>99</v>
      </c>
      <c r="P37" s="14" t="s">
        <v>99</v>
      </c>
      <c r="Q37" s="14" t="s">
        <v>99</v>
      </c>
      <c r="R37" s="14" t="s">
        <v>99</v>
      </c>
      <c r="S37" s="14" t="s">
        <v>99</v>
      </c>
      <c r="T37" s="14" t="s">
        <v>99</v>
      </c>
      <c r="U37" s="14" t="s">
        <v>946</v>
      </c>
      <c r="V37" s="14" t="s">
        <v>99</v>
      </c>
      <c r="W37" s="14" t="s">
        <v>947</v>
      </c>
      <c r="X37" s="14" t="s">
        <v>948</v>
      </c>
      <c r="Y37" s="14" t="s">
        <v>949</v>
      </c>
      <c r="Z37" s="14" t="s">
        <v>99</v>
      </c>
      <c r="AA37" s="14" t="s">
        <v>950</v>
      </c>
      <c r="AB37" s="14" t="s">
        <v>951</v>
      </c>
      <c r="AC37" s="14" t="s">
        <v>99</v>
      </c>
      <c r="AD37" s="14" t="s">
        <v>99</v>
      </c>
      <c r="AE37" s="14" t="s">
        <v>99</v>
      </c>
      <c r="AF37" s="14" t="s">
        <v>99</v>
      </c>
      <c r="AG37" s="14">
        <v>21.0</v>
      </c>
      <c r="AH37" s="14">
        <v>50.0</v>
      </c>
      <c r="AI37" s="14">
        <v>53.0</v>
      </c>
      <c r="AJ37" s="14">
        <v>1.0</v>
      </c>
      <c r="AK37" s="14">
        <v>18.0</v>
      </c>
      <c r="AL37" s="14" t="s">
        <v>952</v>
      </c>
      <c r="AM37" s="14" t="s">
        <v>953</v>
      </c>
      <c r="AN37" s="14" t="s">
        <v>954</v>
      </c>
      <c r="AO37" s="14" t="s">
        <v>955</v>
      </c>
      <c r="AP37" s="14" t="s">
        <v>956</v>
      </c>
      <c r="AQ37" s="14" t="s">
        <v>99</v>
      </c>
      <c r="AR37" s="14" t="s">
        <v>957</v>
      </c>
      <c r="AS37" s="14" t="s">
        <v>958</v>
      </c>
      <c r="AT37" s="14" t="s">
        <v>935</v>
      </c>
      <c r="AU37" s="14">
        <v>2018.0</v>
      </c>
      <c r="AV37" s="14">
        <v>99.0</v>
      </c>
      <c r="AW37" s="14">
        <v>1.0</v>
      </c>
      <c r="AX37" s="14" t="s">
        <v>99</v>
      </c>
      <c r="AY37" s="14" t="s">
        <v>959</v>
      </c>
      <c r="AZ37" s="14" t="s">
        <v>99</v>
      </c>
      <c r="BA37" s="14" t="s">
        <v>99</v>
      </c>
      <c r="BB37" s="14" t="s">
        <v>960</v>
      </c>
      <c r="BC37" s="14" t="s">
        <v>961</v>
      </c>
      <c r="BD37" s="14" t="s">
        <v>99</v>
      </c>
      <c r="BE37" s="14" t="s">
        <v>962</v>
      </c>
      <c r="BF37" s="15" t="str">
        <f>HYPERLINK("http://dx.doi.org/10.1175/BAMS-D-17-0116.1","http://dx.doi.org/10.1175/BAMS-D-17-0116.1")</f>
        <v>http://dx.doi.org/10.1175/BAMS-D-17-0116.1</v>
      </c>
      <c r="BG37" s="14" t="s">
        <v>99</v>
      </c>
      <c r="BH37" s="14" t="s">
        <v>99</v>
      </c>
      <c r="BI37" s="14">
        <v>5.0</v>
      </c>
      <c r="BJ37" s="14" t="s">
        <v>963</v>
      </c>
      <c r="BK37" s="14" t="s">
        <v>122</v>
      </c>
      <c r="BL37" s="14" t="s">
        <v>963</v>
      </c>
      <c r="BM37" s="14" t="s">
        <v>964</v>
      </c>
      <c r="BN37" s="14" t="s">
        <v>99</v>
      </c>
      <c r="BO37" s="14" t="s">
        <v>99</v>
      </c>
      <c r="BP37" s="14" t="s">
        <v>99</v>
      </c>
      <c r="BQ37" s="14" t="s">
        <v>99</v>
      </c>
      <c r="BR37" s="14" t="s">
        <v>124</v>
      </c>
      <c r="BS37" s="14" t="s">
        <v>965</v>
      </c>
      <c r="BT37" s="14" t="str">
        <f>HYPERLINK("https%3A%2F%2Fwww.webofscience.com%2Fwos%2Fwoscc%2Ffull-record%2FWOS:000429319000004","View Full Record in Web of Science")</f>
        <v>View Full Record in Web of Science</v>
      </c>
    </row>
    <row r="38" ht="12.75" customHeight="1">
      <c r="A38" s="14" t="s">
        <v>97</v>
      </c>
      <c r="B38" s="14" t="s">
        <v>966</v>
      </c>
      <c r="C38" s="14" t="s">
        <v>99</v>
      </c>
      <c r="D38" s="14" t="s">
        <v>99</v>
      </c>
      <c r="E38" s="14" t="s">
        <v>99</v>
      </c>
      <c r="F38" s="14" t="s">
        <v>967</v>
      </c>
      <c r="G38" s="14" t="s">
        <v>99</v>
      </c>
      <c r="H38" s="14" t="s">
        <v>99</v>
      </c>
      <c r="I38" s="14" t="s">
        <v>968</v>
      </c>
      <c r="J38" s="14" t="s">
        <v>969</v>
      </c>
      <c r="K38" s="14" t="s">
        <v>99</v>
      </c>
      <c r="L38" s="14" t="s">
        <v>99</v>
      </c>
      <c r="M38" s="14" t="s">
        <v>103</v>
      </c>
      <c r="N38" s="14" t="s">
        <v>104</v>
      </c>
      <c r="O38" s="14" t="s">
        <v>99</v>
      </c>
      <c r="P38" s="14" t="s">
        <v>99</v>
      </c>
      <c r="Q38" s="14" t="s">
        <v>99</v>
      </c>
      <c r="R38" s="14" t="s">
        <v>99</v>
      </c>
      <c r="S38" s="14" t="s">
        <v>99</v>
      </c>
      <c r="T38" s="14" t="s">
        <v>970</v>
      </c>
      <c r="U38" s="14" t="s">
        <v>971</v>
      </c>
      <c r="V38" s="14" t="s">
        <v>972</v>
      </c>
      <c r="W38" s="14" t="s">
        <v>973</v>
      </c>
      <c r="X38" s="14" t="s">
        <v>974</v>
      </c>
      <c r="Y38" s="14" t="s">
        <v>975</v>
      </c>
      <c r="Z38" s="14" t="s">
        <v>976</v>
      </c>
      <c r="AA38" s="14" t="s">
        <v>977</v>
      </c>
      <c r="AB38" s="14" t="s">
        <v>978</v>
      </c>
      <c r="AC38" s="14" t="s">
        <v>979</v>
      </c>
      <c r="AD38" s="14" t="s">
        <v>980</v>
      </c>
      <c r="AE38" s="14" t="s">
        <v>981</v>
      </c>
      <c r="AF38" s="14" t="s">
        <v>99</v>
      </c>
      <c r="AG38" s="14">
        <v>22.0</v>
      </c>
      <c r="AH38" s="14">
        <v>276.0</v>
      </c>
      <c r="AI38" s="14">
        <v>326.0</v>
      </c>
      <c r="AJ38" s="14">
        <v>5.0</v>
      </c>
      <c r="AK38" s="14">
        <v>113.0</v>
      </c>
      <c r="AL38" s="14" t="s">
        <v>982</v>
      </c>
      <c r="AM38" s="14" t="s">
        <v>789</v>
      </c>
      <c r="AN38" s="14" t="s">
        <v>983</v>
      </c>
      <c r="AO38" s="14" t="s">
        <v>984</v>
      </c>
      <c r="AP38" s="14" t="s">
        <v>985</v>
      </c>
      <c r="AQ38" s="14" t="s">
        <v>99</v>
      </c>
      <c r="AR38" s="14" t="s">
        <v>986</v>
      </c>
      <c r="AS38" s="14" t="s">
        <v>987</v>
      </c>
      <c r="AT38" s="14" t="s">
        <v>988</v>
      </c>
      <c r="AU38" s="14">
        <v>2017.0</v>
      </c>
      <c r="AV38" s="14">
        <v>44.0</v>
      </c>
      <c r="AW38" s="14">
        <v>24.0</v>
      </c>
      <c r="AX38" s="14" t="s">
        <v>99</v>
      </c>
      <c r="AY38" s="14" t="s">
        <v>99</v>
      </c>
      <c r="AZ38" s="14" t="s">
        <v>99</v>
      </c>
      <c r="BA38" s="14" t="s">
        <v>99</v>
      </c>
      <c r="BB38" s="14">
        <v>12457.0</v>
      </c>
      <c r="BC38" s="14">
        <v>12464.0</v>
      </c>
      <c r="BD38" s="14" t="s">
        <v>99</v>
      </c>
      <c r="BE38" s="14" t="s">
        <v>989</v>
      </c>
      <c r="BF38" s="15" t="str">
        <f>HYPERLINK("http://dx.doi.org/10.1002/2017GL075888","http://dx.doi.org/10.1002/2017GL075888")</f>
        <v>http://dx.doi.org/10.1002/2017GL075888</v>
      </c>
      <c r="BG38" s="14" t="s">
        <v>99</v>
      </c>
      <c r="BH38" s="14" t="s">
        <v>99</v>
      </c>
      <c r="BI38" s="14">
        <v>8.0</v>
      </c>
      <c r="BJ38" s="14" t="s">
        <v>990</v>
      </c>
      <c r="BK38" s="14" t="s">
        <v>122</v>
      </c>
      <c r="BL38" s="14" t="s">
        <v>991</v>
      </c>
      <c r="BM38" s="14" t="s">
        <v>992</v>
      </c>
      <c r="BN38" s="14" t="s">
        <v>99</v>
      </c>
      <c r="BO38" s="14" t="s">
        <v>373</v>
      </c>
      <c r="BP38" s="14" t="s">
        <v>99</v>
      </c>
      <c r="BQ38" s="14" t="s">
        <v>99</v>
      </c>
      <c r="BR38" s="14" t="s">
        <v>124</v>
      </c>
      <c r="BS38" s="14" t="s">
        <v>993</v>
      </c>
      <c r="BT38" s="14" t="str">
        <f>HYPERLINK("https%3A%2F%2Fwww.webofscience.com%2Fwos%2Fwoscc%2Ffull-record%2FWOS:000422954700032","View Full Record in Web of Science")</f>
        <v>View Full Record in Web of Science</v>
      </c>
    </row>
    <row r="39" ht="12.75" customHeight="1">
      <c r="A39" s="14" t="s">
        <v>97</v>
      </c>
      <c r="B39" s="14" t="s">
        <v>994</v>
      </c>
      <c r="C39" s="14" t="s">
        <v>99</v>
      </c>
      <c r="D39" s="14" t="s">
        <v>99</v>
      </c>
      <c r="E39" s="14" t="s">
        <v>99</v>
      </c>
      <c r="F39" s="14" t="s">
        <v>995</v>
      </c>
      <c r="G39" s="14" t="s">
        <v>99</v>
      </c>
      <c r="H39" s="14" t="s">
        <v>99</v>
      </c>
      <c r="I39" s="14" t="s">
        <v>996</v>
      </c>
      <c r="J39" s="14" t="s">
        <v>997</v>
      </c>
      <c r="K39" s="14" t="s">
        <v>99</v>
      </c>
      <c r="L39" s="14" t="s">
        <v>99</v>
      </c>
      <c r="M39" s="14" t="s">
        <v>103</v>
      </c>
      <c r="N39" s="14" t="s">
        <v>104</v>
      </c>
      <c r="O39" s="14" t="s">
        <v>99</v>
      </c>
      <c r="P39" s="14" t="s">
        <v>99</v>
      </c>
      <c r="Q39" s="14" t="s">
        <v>99</v>
      </c>
      <c r="R39" s="14" t="s">
        <v>99</v>
      </c>
      <c r="S39" s="14" t="s">
        <v>99</v>
      </c>
      <c r="T39" s="14" t="s">
        <v>99</v>
      </c>
      <c r="U39" s="14" t="s">
        <v>998</v>
      </c>
      <c r="V39" s="14" t="s">
        <v>999</v>
      </c>
      <c r="W39" s="14" t="s">
        <v>1000</v>
      </c>
      <c r="X39" s="14" t="s">
        <v>1001</v>
      </c>
      <c r="Y39" s="14" t="s">
        <v>1002</v>
      </c>
      <c r="Z39" s="14" t="s">
        <v>1003</v>
      </c>
      <c r="AA39" s="14" t="s">
        <v>1004</v>
      </c>
      <c r="AB39" s="14" t="s">
        <v>1005</v>
      </c>
      <c r="AC39" s="14" t="s">
        <v>1006</v>
      </c>
      <c r="AD39" s="14" t="s">
        <v>1007</v>
      </c>
      <c r="AE39" s="14" t="s">
        <v>1008</v>
      </c>
      <c r="AF39" s="14" t="s">
        <v>99</v>
      </c>
      <c r="AG39" s="14">
        <v>82.0</v>
      </c>
      <c r="AH39" s="14">
        <v>141.0</v>
      </c>
      <c r="AI39" s="14">
        <v>158.0</v>
      </c>
      <c r="AJ39" s="14">
        <v>7.0</v>
      </c>
      <c r="AK39" s="14">
        <v>122.0</v>
      </c>
      <c r="AL39" s="14" t="s">
        <v>909</v>
      </c>
      <c r="AM39" s="14" t="s">
        <v>910</v>
      </c>
      <c r="AN39" s="14" t="s">
        <v>911</v>
      </c>
      <c r="AO39" s="14" t="s">
        <v>99</v>
      </c>
      <c r="AP39" s="14" t="s">
        <v>1009</v>
      </c>
      <c r="AQ39" s="14" t="s">
        <v>99</v>
      </c>
      <c r="AR39" s="14" t="s">
        <v>1010</v>
      </c>
      <c r="AS39" s="14" t="s">
        <v>1011</v>
      </c>
      <c r="AT39" s="14" t="s">
        <v>1012</v>
      </c>
      <c r="AU39" s="14">
        <v>2017.0</v>
      </c>
      <c r="AV39" s="14">
        <v>8.0</v>
      </c>
      <c r="AW39" s="14" t="s">
        <v>99</v>
      </c>
      <c r="AX39" s="14" t="s">
        <v>99</v>
      </c>
      <c r="AY39" s="14" t="s">
        <v>99</v>
      </c>
      <c r="AZ39" s="14" t="s">
        <v>99</v>
      </c>
      <c r="BA39" s="14" t="s">
        <v>99</v>
      </c>
      <c r="BB39" s="14" t="s">
        <v>99</v>
      </c>
      <c r="BC39" s="14" t="s">
        <v>99</v>
      </c>
      <c r="BD39" s="14">
        <v>1966.0</v>
      </c>
      <c r="BE39" s="14" t="s">
        <v>1013</v>
      </c>
      <c r="BF39" s="15" t="str">
        <f>HYPERLINK("http://dx.doi.org/10.1038/s41467-017-01997-0","http://dx.doi.org/10.1038/s41467-017-01997-0")</f>
        <v>http://dx.doi.org/10.1038/s41467-017-01997-0</v>
      </c>
      <c r="BG39" s="14" t="s">
        <v>99</v>
      </c>
      <c r="BH39" s="14" t="s">
        <v>99</v>
      </c>
      <c r="BI39" s="14">
        <v>11.0</v>
      </c>
      <c r="BJ39" s="14" t="s">
        <v>799</v>
      </c>
      <c r="BK39" s="14" t="s">
        <v>122</v>
      </c>
      <c r="BL39" s="14" t="s">
        <v>801</v>
      </c>
      <c r="BM39" s="14" t="s">
        <v>1014</v>
      </c>
      <c r="BN39" s="14">
        <v>2.9259276E7</v>
      </c>
      <c r="BO39" s="14" t="s">
        <v>1015</v>
      </c>
      <c r="BP39" s="14" t="s">
        <v>99</v>
      </c>
      <c r="BQ39" s="14" t="s">
        <v>99</v>
      </c>
      <c r="BR39" s="14" t="s">
        <v>124</v>
      </c>
      <c r="BS39" s="14" t="s">
        <v>1016</v>
      </c>
      <c r="BT39" s="14" t="str">
        <f>HYPERLINK("https%3A%2F%2Fwww.webofscience.com%2Fwos%2Fwoscc%2Ffull-record%2FWOS:000418334200001","View Full Record in Web of Science")</f>
        <v>View Full Record in Web of Science</v>
      </c>
    </row>
    <row r="40" ht="12.75" customHeight="1">
      <c r="A40" s="14" t="s">
        <v>97</v>
      </c>
      <c r="B40" s="14" t="s">
        <v>1017</v>
      </c>
      <c r="C40" s="14" t="s">
        <v>99</v>
      </c>
      <c r="D40" s="14" t="s">
        <v>99</v>
      </c>
      <c r="E40" s="14" t="s">
        <v>99</v>
      </c>
      <c r="F40" s="14" t="s">
        <v>1018</v>
      </c>
      <c r="G40" s="14" t="s">
        <v>99</v>
      </c>
      <c r="H40" s="14" t="s">
        <v>99</v>
      </c>
      <c r="I40" s="14" t="s">
        <v>1019</v>
      </c>
      <c r="J40" s="14" t="s">
        <v>1020</v>
      </c>
      <c r="K40" s="14" t="s">
        <v>99</v>
      </c>
      <c r="L40" s="14" t="s">
        <v>99</v>
      </c>
      <c r="M40" s="14" t="s">
        <v>103</v>
      </c>
      <c r="N40" s="14" t="s">
        <v>104</v>
      </c>
      <c r="O40" s="14" t="s">
        <v>99</v>
      </c>
      <c r="P40" s="14" t="s">
        <v>99</v>
      </c>
      <c r="Q40" s="14" t="s">
        <v>99</v>
      </c>
      <c r="R40" s="14" t="s">
        <v>99</v>
      </c>
      <c r="S40" s="14" t="s">
        <v>99</v>
      </c>
      <c r="T40" s="14" t="s">
        <v>1021</v>
      </c>
      <c r="U40" s="14" t="s">
        <v>1022</v>
      </c>
      <c r="V40" s="14" t="s">
        <v>1023</v>
      </c>
      <c r="W40" s="14" t="s">
        <v>1024</v>
      </c>
      <c r="X40" s="14" t="s">
        <v>1025</v>
      </c>
      <c r="Y40" s="14" t="s">
        <v>1026</v>
      </c>
      <c r="Z40" s="14" t="s">
        <v>1027</v>
      </c>
      <c r="AA40" s="14" t="s">
        <v>1028</v>
      </c>
      <c r="AB40" s="14" t="s">
        <v>1029</v>
      </c>
      <c r="AC40" s="14" t="s">
        <v>1030</v>
      </c>
      <c r="AD40" s="14" t="s">
        <v>1031</v>
      </c>
      <c r="AE40" s="14" t="s">
        <v>1032</v>
      </c>
      <c r="AF40" s="14" t="s">
        <v>99</v>
      </c>
      <c r="AG40" s="14">
        <v>38.0</v>
      </c>
      <c r="AH40" s="14">
        <v>112.0</v>
      </c>
      <c r="AI40" s="14">
        <v>121.0</v>
      </c>
      <c r="AJ40" s="14">
        <v>1.0</v>
      </c>
      <c r="AK40" s="14">
        <v>186.0</v>
      </c>
      <c r="AL40" s="14" t="s">
        <v>1033</v>
      </c>
      <c r="AM40" s="14" t="s">
        <v>442</v>
      </c>
      <c r="AN40" s="14" t="s">
        <v>1034</v>
      </c>
      <c r="AO40" s="14" t="s">
        <v>1035</v>
      </c>
      <c r="AP40" s="14" t="s">
        <v>1036</v>
      </c>
      <c r="AQ40" s="14" t="s">
        <v>99</v>
      </c>
      <c r="AR40" s="14" t="s">
        <v>1037</v>
      </c>
      <c r="AS40" s="14" t="s">
        <v>1038</v>
      </c>
      <c r="AT40" s="14" t="s">
        <v>1039</v>
      </c>
      <c r="AU40" s="14">
        <v>2017.0</v>
      </c>
      <c r="AV40" s="14">
        <v>599.0</v>
      </c>
      <c r="AW40" s="14" t="s">
        <v>99</v>
      </c>
      <c r="AX40" s="14" t="s">
        <v>99</v>
      </c>
      <c r="AY40" s="14" t="s">
        <v>99</v>
      </c>
      <c r="AZ40" s="14" t="s">
        <v>99</v>
      </c>
      <c r="BA40" s="14" t="s">
        <v>99</v>
      </c>
      <c r="BB40" s="14">
        <v>1372.0</v>
      </c>
      <c r="BC40" s="14">
        <v>1381.0</v>
      </c>
      <c r="BD40" s="14" t="s">
        <v>99</v>
      </c>
      <c r="BE40" s="14" t="s">
        <v>1040</v>
      </c>
      <c r="BF40" s="15" t="str">
        <f>HYPERLINK("http://dx.doi.org/10.1016/j.scitotenv.2017.05.039","http://dx.doi.org/10.1016/j.scitotenv.2017.05.039")</f>
        <v>http://dx.doi.org/10.1016/j.scitotenv.2017.05.039</v>
      </c>
      <c r="BG40" s="14" t="s">
        <v>99</v>
      </c>
      <c r="BH40" s="14" t="s">
        <v>99</v>
      </c>
      <c r="BI40" s="14">
        <v>10.0</v>
      </c>
      <c r="BJ40" s="14" t="s">
        <v>1041</v>
      </c>
      <c r="BK40" s="14" t="s">
        <v>122</v>
      </c>
      <c r="BL40" s="14" t="s">
        <v>260</v>
      </c>
      <c r="BM40" s="14" t="s">
        <v>1042</v>
      </c>
      <c r="BN40" s="14">
        <v>2.8531948E7</v>
      </c>
      <c r="BO40" s="14" t="s">
        <v>1043</v>
      </c>
      <c r="BP40" s="14" t="s">
        <v>99</v>
      </c>
      <c r="BQ40" s="14" t="s">
        <v>99</v>
      </c>
      <c r="BR40" s="14" t="s">
        <v>124</v>
      </c>
      <c r="BS40" s="14" t="s">
        <v>1044</v>
      </c>
      <c r="BT40" s="14" t="str">
        <f>HYPERLINK("https%3A%2F%2Fwww.webofscience.com%2Fwos%2Fwoscc%2Ffull-record%2FWOS:000405253500033","View Full Record in Web of Science")</f>
        <v>View Full Record in Web of Science</v>
      </c>
    </row>
    <row r="41" ht="12.75" customHeight="1">
      <c r="A41" s="14" t="s">
        <v>97</v>
      </c>
      <c r="B41" s="14" t="s">
        <v>1045</v>
      </c>
      <c r="C41" s="14" t="s">
        <v>99</v>
      </c>
      <c r="D41" s="14" t="s">
        <v>99</v>
      </c>
      <c r="E41" s="14" t="s">
        <v>99</v>
      </c>
      <c r="F41" s="14" t="s">
        <v>1046</v>
      </c>
      <c r="G41" s="14" t="s">
        <v>99</v>
      </c>
      <c r="H41" s="14" t="s">
        <v>99</v>
      </c>
      <c r="I41" s="14" t="s">
        <v>1047</v>
      </c>
      <c r="J41" s="14" t="s">
        <v>1048</v>
      </c>
      <c r="K41" s="14" t="s">
        <v>99</v>
      </c>
      <c r="L41" s="14" t="s">
        <v>99</v>
      </c>
      <c r="M41" s="14" t="s">
        <v>103</v>
      </c>
      <c r="N41" s="14" t="s">
        <v>104</v>
      </c>
      <c r="O41" s="14" t="s">
        <v>99</v>
      </c>
      <c r="P41" s="14" t="s">
        <v>99</v>
      </c>
      <c r="Q41" s="14" t="s">
        <v>99</v>
      </c>
      <c r="R41" s="14" t="s">
        <v>99</v>
      </c>
      <c r="S41" s="14" t="s">
        <v>99</v>
      </c>
      <c r="T41" s="14" t="s">
        <v>1049</v>
      </c>
      <c r="U41" s="14" t="s">
        <v>1050</v>
      </c>
      <c r="V41" s="14" t="s">
        <v>1051</v>
      </c>
      <c r="W41" s="14" t="s">
        <v>1052</v>
      </c>
      <c r="X41" s="14" t="s">
        <v>99</v>
      </c>
      <c r="Y41" s="14" t="s">
        <v>1053</v>
      </c>
      <c r="Z41" s="14" t="s">
        <v>1054</v>
      </c>
      <c r="AA41" s="14" t="s">
        <v>99</v>
      </c>
      <c r="AB41" s="14" t="s">
        <v>99</v>
      </c>
      <c r="AC41" s="14" t="s">
        <v>99</v>
      </c>
      <c r="AD41" s="14" t="s">
        <v>99</v>
      </c>
      <c r="AE41" s="14" t="s">
        <v>99</v>
      </c>
      <c r="AF41" s="14" t="s">
        <v>99</v>
      </c>
      <c r="AG41" s="14">
        <v>47.0</v>
      </c>
      <c r="AH41" s="14">
        <v>24.0</v>
      </c>
      <c r="AI41" s="14">
        <v>27.0</v>
      </c>
      <c r="AJ41" s="14">
        <v>0.0</v>
      </c>
      <c r="AK41" s="14">
        <v>62.0</v>
      </c>
      <c r="AL41" s="14" t="s">
        <v>493</v>
      </c>
      <c r="AM41" s="14" t="s">
        <v>468</v>
      </c>
      <c r="AN41" s="14" t="s">
        <v>635</v>
      </c>
      <c r="AO41" s="14" t="s">
        <v>1055</v>
      </c>
      <c r="AP41" s="14" t="s">
        <v>1056</v>
      </c>
      <c r="AQ41" s="14" t="s">
        <v>99</v>
      </c>
      <c r="AR41" s="14" t="s">
        <v>1048</v>
      </c>
      <c r="AS41" s="14" t="s">
        <v>1057</v>
      </c>
      <c r="AT41" s="14" t="s">
        <v>1058</v>
      </c>
      <c r="AU41" s="14">
        <v>2017.0</v>
      </c>
      <c r="AV41" s="14">
        <v>69.0</v>
      </c>
      <c r="AW41" s="14" t="s">
        <v>99</v>
      </c>
      <c r="AX41" s="14" t="s">
        <v>99</v>
      </c>
      <c r="AY41" s="14" t="s">
        <v>99</v>
      </c>
      <c r="AZ41" s="14" t="s">
        <v>99</v>
      </c>
      <c r="BA41" s="14" t="s">
        <v>99</v>
      </c>
      <c r="BB41" s="14">
        <v>408.0</v>
      </c>
      <c r="BC41" s="14">
        <v>416.0</v>
      </c>
      <c r="BD41" s="14" t="s">
        <v>99</v>
      </c>
      <c r="BE41" s="14" t="s">
        <v>1059</v>
      </c>
      <c r="BF41" s="15" t="str">
        <f>HYPERLINK("http://dx.doi.org/10.1016/j.landusepol.2017.09.045","http://dx.doi.org/10.1016/j.landusepol.2017.09.045")</f>
        <v>http://dx.doi.org/10.1016/j.landusepol.2017.09.045</v>
      </c>
      <c r="BG41" s="14" t="s">
        <v>99</v>
      </c>
      <c r="BH41" s="14" t="s">
        <v>99</v>
      </c>
      <c r="BI41" s="14">
        <v>9.0</v>
      </c>
      <c r="BJ41" s="14" t="s">
        <v>1060</v>
      </c>
      <c r="BK41" s="14" t="s">
        <v>643</v>
      </c>
      <c r="BL41" s="14" t="s">
        <v>260</v>
      </c>
      <c r="BM41" s="14" t="s">
        <v>1061</v>
      </c>
      <c r="BN41" s="14" t="s">
        <v>99</v>
      </c>
      <c r="BO41" s="14" t="s">
        <v>99</v>
      </c>
      <c r="BP41" s="14" t="s">
        <v>99</v>
      </c>
      <c r="BQ41" s="14" t="s">
        <v>99</v>
      </c>
      <c r="BR41" s="14" t="s">
        <v>124</v>
      </c>
      <c r="BS41" s="14" t="s">
        <v>1062</v>
      </c>
      <c r="BT41" s="14" t="str">
        <f>HYPERLINK("https%3A%2F%2Fwww.webofscience.com%2Fwos%2Fwoscc%2Ffull-record%2FWOS:000414881200040","View Full Record in Web of Science")</f>
        <v>View Full Record in Web of Science</v>
      </c>
    </row>
    <row r="42" ht="12.75" customHeight="1">
      <c r="A42" s="14" t="s">
        <v>97</v>
      </c>
      <c r="B42" s="14" t="s">
        <v>1063</v>
      </c>
      <c r="C42" s="14" t="s">
        <v>99</v>
      </c>
      <c r="D42" s="14" t="s">
        <v>99</v>
      </c>
      <c r="E42" s="14" t="s">
        <v>99</v>
      </c>
      <c r="F42" s="14" t="s">
        <v>1064</v>
      </c>
      <c r="G42" s="14" t="s">
        <v>99</v>
      </c>
      <c r="H42" s="14" t="s">
        <v>99</v>
      </c>
      <c r="I42" s="14" t="s">
        <v>1065</v>
      </c>
      <c r="J42" s="14" t="s">
        <v>776</v>
      </c>
      <c r="K42" s="14" t="s">
        <v>99</v>
      </c>
      <c r="L42" s="14" t="s">
        <v>99</v>
      </c>
      <c r="M42" s="14" t="s">
        <v>103</v>
      </c>
      <c r="N42" s="14" t="s">
        <v>104</v>
      </c>
      <c r="O42" s="14" t="s">
        <v>99</v>
      </c>
      <c r="P42" s="14" t="s">
        <v>99</v>
      </c>
      <c r="Q42" s="14" t="s">
        <v>99</v>
      </c>
      <c r="R42" s="14" t="s">
        <v>99</v>
      </c>
      <c r="S42" s="14" t="s">
        <v>99</v>
      </c>
      <c r="T42" s="14" t="s">
        <v>1066</v>
      </c>
      <c r="U42" s="14" t="s">
        <v>1067</v>
      </c>
      <c r="V42" s="14" t="s">
        <v>1068</v>
      </c>
      <c r="W42" s="14" t="s">
        <v>1069</v>
      </c>
      <c r="X42" s="14" t="s">
        <v>1070</v>
      </c>
      <c r="Y42" s="14" t="s">
        <v>1071</v>
      </c>
      <c r="Z42" s="14" t="s">
        <v>1072</v>
      </c>
      <c r="AA42" s="14" t="s">
        <v>1073</v>
      </c>
      <c r="AB42" s="14" t="s">
        <v>99</v>
      </c>
      <c r="AC42" s="14" t="s">
        <v>1074</v>
      </c>
      <c r="AD42" s="14" t="s">
        <v>1075</v>
      </c>
      <c r="AE42" s="14" t="s">
        <v>1076</v>
      </c>
      <c r="AF42" s="14" t="s">
        <v>99</v>
      </c>
      <c r="AG42" s="14">
        <v>12.0</v>
      </c>
      <c r="AH42" s="14">
        <v>384.0</v>
      </c>
      <c r="AI42" s="14">
        <v>459.0</v>
      </c>
      <c r="AJ42" s="14">
        <v>2.0</v>
      </c>
      <c r="AK42" s="14">
        <v>88.0</v>
      </c>
      <c r="AL42" s="14" t="s">
        <v>788</v>
      </c>
      <c r="AM42" s="14" t="s">
        <v>789</v>
      </c>
      <c r="AN42" s="14" t="s">
        <v>790</v>
      </c>
      <c r="AO42" s="14" t="s">
        <v>791</v>
      </c>
      <c r="AP42" s="14" t="s">
        <v>99</v>
      </c>
      <c r="AQ42" s="14" t="s">
        <v>99</v>
      </c>
      <c r="AR42" s="14" t="s">
        <v>793</v>
      </c>
      <c r="AS42" s="14" t="s">
        <v>794</v>
      </c>
      <c r="AT42" s="14" t="s">
        <v>1077</v>
      </c>
      <c r="AU42" s="14">
        <v>2017.0</v>
      </c>
      <c r="AV42" s="14">
        <v>114.0</v>
      </c>
      <c r="AW42" s="14">
        <v>48.0</v>
      </c>
      <c r="AX42" s="14" t="s">
        <v>99</v>
      </c>
      <c r="AY42" s="14" t="s">
        <v>99</v>
      </c>
      <c r="AZ42" s="14" t="s">
        <v>99</v>
      </c>
      <c r="BA42" s="14" t="s">
        <v>99</v>
      </c>
      <c r="BB42" s="14">
        <v>12681.0</v>
      </c>
      <c r="BC42" s="14">
        <v>12684.0</v>
      </c>
      <c r="BD42" s="14" t="s">
        <v>99</v>
      </c>
      <c r="BE42" s="14" t="s">
        <v>1078</v>
      </c>
      <c r="BF42" s="15" t="str">
        <f>HYPERLINK("http://dx.doi.org/10.1073/pnas.1716222114","http://dx.doi.org/10.1073/pnas.1716222114")</f>
        <v>http://dx.doi.org/10.1073/pnas.1716222114</v>
      </c>
      <c r="BG42" s="14" t="s">
        <v>99</v>
      </c>
      <c r="BH42" s="14" t="s">
        <v>99</v>
      </c>
      <c r="BI42" s="14">
        <v>4.0</v>
      </c>
      <c r="BJ42" s="14" t="s">
        <v>799</v>
      </c>
      <c r="BK42" s="14" t="s">
        <v>122</v>
      </c>
      <c r="BL42" s="14" t="s">
        <v>801</v>
      </c>
      <c r="BM42" s="14" t="s">
        <v>1079</v>
      </c>
      <c r="BN42" s="14">
        <v>2.9133388E7</v>
      </c>
      <c r="BO42" s="14" t="s">
        <v>373</v>
      </c>
      <c r="BP42" s="14" t="s">
        <v>99</v>
      </c>
      <c r="BQ42" s="14" t="s">
        <v>99</v>
      </c>
      <c r="BR42" s="14" t="s">
        <v>124</v>
      </c>
      <c r="BS42" s="14" t="s">
        <v>1080</v>
      </c>
      <c r="BT42" s="14" t="str">
        <f>HYPERLINK("https%3A%2F%2Fwww.webofscience.com%2Fwos%2Fwoscc%2Ffull-record%2FWOS:000416891600045","View Full Record in Web of Science")</f>
        <v>View Full Record in Web of Science</v>
      </c>
    </row>
    <row r="43" ht="12.75" customHeight="1">
      <c r="A43" s="14" t="s">
        <v>97</v>
      </c>
      <c r="B43" s="14" t="s">
        <v>1081</v>
      </c>
      <c r="C43" s="14" t="s">
        <v>99</v>
      </c>
      <c r="D43" s="14" t="s">
        <v>99</v>
      </c>
      <c r="E43" s="14" t="s">
        <v>99</v>
      </c>
      <c r="F43" s="14" t="s">
        <v>1082</v>
      </c>
      <c r="G43" s="14" t="s">
        <v>99</v>
      </c>
      <c r="H43" s="14" t="s">
        <v>99</v>
      </c>
      <c r="I43" s="14" t="s">
        <v>1083</v>
      </c>
      <c r="J43" s="14" t="s">
        <v>328</v>
      </c>
      <c r="K43" s="14" t="s">
        <v>99</v>
      </c>
      <c r="L43" s="14" t="s">
        <v>99</v>
      </c>
      <c r="M43" s="14" t="s">
        <v>103</v>
      </c>
      <c r="N43" s="14" t="s">
        <v>104</v>
      </c>
      <c r="O43" s="14" t="s">
        <v>99</v>
      </c>
      <c r="P43" s="14" t="s">
        <v>99</v>
      </c>
      <c r="Q43" s="14" t="s">
        <v>99</v>
      </c>
      <c r="R43" s="14" t="s">
        <v>99</v>
      </c>
      <c r="S43" s="14" t="s">
        <v>99</v>
      </c>
      <c r="T43" s="14" t="s">
        <v>1084</v>
      </c>
      <c r="U43" s="14" t="s">
        <v>1085</v>
      </c>
      <c r="V43" s="14" t="s">
        <v>1086</v>
      </c>
      <c r="W43" s="14" t="s">
        <v>1087</v>
      </c>
      <c r="X43" s="14" t="s">
        <v>1088</v>
      </c>
      <c r="Y43" s="14" t="s">
        <v>1089</v>
      </c>
      <c r="Z43" s="14" t="s">
        <v>1090</v>
      </c>
      <c r="AA43" s="14" t="s">
        <v>1091</v>
      </c>
      <c r="AB43" s="14" t="s">
        <v>1092</v>
      </c>
      <c r="AC43" s="14" t="s">
        <v>1093</v>
      </c>
      <c r="AD43" s="14" t="s">
        <v>1094</v>
      </c>
      <c r="AE43" s="14" t="s">
        <v>1095</v>
      </c>
      <c r="AF43" s="14" t="s">
        <v>99</v>
      </c>
      <c r="AG43" s="14">
        <v>73.0</v>
      </c>
      <c r="AH43" s="14">
        <v>295.0</v>
      </c>
      <c r="AI43" s="14">
        <v>329.0</v>
      </c>
      <c r="AJ43" s="14">
        <v>19.0</v>
      </c>
      <c r="AK43" s="14">
        <v>347.0</v>
      </c>
      <c r="AL43" s="14" t="s">
        <v>341</v>
      </c>
      <c r="AM43" s="14" t="s">
        <v>342</v>
      </c>
      <c r="AN43" s="14" t="s">
        <v>343</v>
      </c>
      <c r="AO43" s="14" t="s">
        <v>344</v>
      </c>
      <c r="AP43" s="14" t="s">
        <v>345</v>
      </c>
      <c r="AQ43" s="14" t="s">
        <v>99</v>
      </c>
      <c r="AR43" s="14" t="s">
        <v>346</v>
      </c>
      <c r="AS43" s="14" t="s">
        <v>347</v>
      </c>
      <c r="AT43" s="14" t="s">
        <v>348</v>
      </c>
      <c r="AU43" s="14">
        <v>2017.0</v>
      </c>
      <c r="AV43" s="14">
        <v>23.0</v>
      </c>
      <c r="AW43" s="14">
        <v>11.0</v>
      </c>
      <c r="AX43" s="14" t="s">
        <v>99</v>
      </c>
      <c r="AY43" s="14" t="s">
        <v>99</v>
      </c>
      <c r="AZ43" s="14" t="s">
        <v>99</v>
      </c>
      <c r="BA43" s="14" t="s">
        <v>99</v>
      </c>
      <c r="BB43" s="14">
        <v>4946.0</v>
      </c>
      <c r="BC43" s="14">
        <v>4957.0</v>
      </c>
      <c r="BD43" s="14" t="s">
        <v>99</v>
      </c>
      <c r="BE43" s="14" t="s">
        <v>1096</v>
      </c>
      <c r="BF43" s="15" t="str">
        <f>HYPERLINK("http://dx.doi.org/10.1111/gcb.13714","http://dx.doi.org/10.1111/gcb.13714")</f>
        <v>http://dx.doi.org/10.1111/gcb.13714</v>
      </c>
      <c r="BG43" s="14" t="s">
        <v>99</v>
      </c>
      <c r="BH43" s="14" t="s">
        <v>99</v>
      </c>
      <c r="BI43" s="14">
        <v>12.0</v>
      </c>
      <c r="BJ43" s="14" t="s">
        <v>351</v>
      </c>
      <c r="BK43" s="14" t="s">
        <v>122</v>
      </c>
      <c r="BL43" s="14" t="s">
        <v>352</v>
      </c>
      <c r="BM43" s="14" t="s">
        <v>1097</v>
      </c>
      <c r="BN43" s="14">
        <v>2.8488295E7</v>
      </c>
      <c r="BO43" s="14" t="s">
        <v>373</v>
      </c>
      <c r="BP43" s="14" t="s">
        <v>99</v>
      </c>
      <c r="BQ43" s="14" t="s">
        <v>99</v>
      </c>
      <c r="BR43" s="14" t="s">
        <v>124</v>
      </c>
      <c r="BS43" s="14" t="s">
        <v>1098</v>
      </c>
      <c r="BT43" s="14" t="str">
        <f>HYPERLINK("https%3A%2F%2Fwww.webofscience.com%2Fwos%2Fwoscc%2Ffull-record%2FWOS:000412322700041","View Full Record in Web of Science")</f>
        <v>View Full Record in Web of Science</v>
      </c>
    </row>
    <row r="44" ht="12.75" customHeight="1">
      <c r="A44" s="14" t="s">
        <v>97</v>
      </c>
      <c r="B44" s="14" t="s">
        <v>1099</v>
      </c>
      <c r="C44" s="14" t="s">
        <v>99</v>
      </c>
      <c r="D44" s="14" t="s">
        <v>99</v>
      </c>
      <c r="E44" s="14" t="s">
        <v>99</v>
      </c>
      <c r="F44" s="14" t="s">
        <v>1100</v>
      </c>
      <c r="G44" s="14" t="s">
        <v>99</v>
      </c>
      <c r="H44" s="14" t="s">
        <v>99</v>
      </c>
      <c r="I44" s="14" t="s">
        <v>1101</v>
      </c>
      <c r="J44" s="14" t="s">
        <v>1102</v>
      </c>
      <c r="K44" s="14" t="s">
        <v>99</v>
      </c>
      <c r="L44" s="14" t="s">
        <v>99</v>
      </c>
      <c r="M44" s="14" t="s">
        <v>103</v>
      </c>
      <c r="N44" s="14" t="s">
        <v>104</v>
      </c>
      <c r="O44" s="14" t="s">
        <v>99</v>
      </c>
      <c r="P44" s="14" t="s">
        <v>99</v>
      </c>
      <c r="Q44" s="14" t="s">
        <v>99</v>
      </c>
      <c r="R44" s="14" t="s">
        <v>99</v>
      </c>
      <c r="S44" s="14" t="s">
        <v>99</v>
      </c>
      <c r="T44" s="14" t="s">
        <v>1103</v>
      </c>
      <c r="U44" s="14" t="s">
        <v>1104</v>
      </c>
      <c r="V44" s="14" t="s">
        <v>1105</v>
      </c>
      <c r="W44" s="14" t="s">
        <v>1106</v>
      </c>
      <c r="X44" s="14" t="s">
        <v>1107</v>
      </c>
      <c r="Y44" s="14" t="s">
        <v>1108</v>
      </c>
      <c r="Z44" s="14" t="s">
        <v>1109</v>
      </c>
      <c r="AA44" s="14" t="s">
        <v>1110</v>
      </c>
      <c r="AB44" s="14" t="s">
        <v>1111</v>
      </c>
      <c r="AC44" s="14" t="s">
        <v>99</v>
      </c>
      <c r="AD44" s="14" t="s">
        <v>99</v>
      </c>
      <c r="AE44" s="14" t="s">
        <v>99</v>
      </c>
      <c r="AF44" s="14" t="s">
        <v>99</v>
      </c>
      <c r="AG44" s="14">
        <v>64.0</v>
      </c>
      <c r="AH44" s="14">
        <v>11.0</v>
      </c>
      <c r="AI44" s="14">
        <v>11.0</v>
      </c>
      <c r="AJ44" s="14">
        <v>0.0</v>
      </c>
      <c r="AK44" s="14">
        <v>48.0</v>
      </c>
      <c r="AL44" s="14" t="s">
        <v>493</v>
      </c>
      <c r="AM44" s="14" t="s">
        <v>468</v>
      </c>
      <c r="AN44" s="14" t="s">
        <v>635</v>
      </c>
      <c r="AO44" s="14" t="s">
        <v>1112</v>
      </c>
      <c r="AP44" s="14" t="s">
        <v>1113</v>
      </c>
      <c r="AQ44" s="14" t="s">
        <v>99</v>
      </c>
      <c r="AR44" s="14" t="s">
        <v>1114</v>
      </c>
      <c r="AS44" s="14" t="s">
        <v>1115</v>
      </c>
      <c r="AT44" s="14" t="s">
        <v>348</v>
      </c>
      <c r="AU44" s="14">
        <v>2017.0</v>
      </c>
      <c r="AV44" s="14">
        <v>215.0</v>
      </c>
      <c r="AW44" s="14" t="s">
        <v>99</v>
      </c>
      <c r="AX44" s="14" t="s">
        <v>99</v>
      </c>
      <c r="AY44" s="14" t="s">
        <v>99</v>
      </c>
      <c r="AZ44" s="14" t="s">
        <v>99</v>
      </c>
      <c r="BA44" s="14" t="s">
        <v>99</v>
      </c>
      <c r="BB44" s="14">
        <v>19.0</v>
      </c>
      <c r="BC44" s="14">
        <v>29.0</v>
      </c>
      <c r="BD44" s="14" t="s">
        <v>99</v>
      </c>
      <c r="BE44" s="14" t="s">
        <v>1116</v>
      </c>
      <c r="BF44" s="15" t="str">
        <f>HYPERLINK("http://dx.doi.org/10.1016/j.biocon.2017.08.032","http://dx.doi.org/10.1016/j.biocon.2017.08.032")</f>
        <v>http://dx.doi.org/10.1016/j.biocon.2017.08.032</v>
      </c>
      <c r="BG44" s="14" t="s">
        <v>99</v>
      </c>
      <c r="BH44" s="14" t="s">
        <v>99</v>
      </c>
      <c r="BI44" s="14">
        <v>11.0</v>
      </c>
      <c r="BJ44" s="14" t="s">
        <v>351</v>
      </c>
      <c r="BK44" s="14" t="s">
        <v>122</v>
      </c>
      <c r="BL44" s="14" t="s">
        <v>352</v>
      </c>
      <c r="BM44" s="14" t="s">
        <v>1117</v>
      </c>
      <c r="BN44" s="14" t="s">
        <v>99</v>
      </c>
      <c r="BO44" s="14" t="s">
        <v>1118</v>
      </c>
      <c r="BP44" s="14" t="s">
        <v>99</v>
      </c>
      <c r="BQ44" s="14" t="s">
        <v>99</v>
      </c>
      <c r="BR44" s="14" t="s">
        <v>124</v>
      </c>
      <c r="BS44" s="14" t="s">
        <v>1119</v>
      </c>
      <c r="BT44" s="14" t="str">
        <f>HYPERLINK("https%3A%2F%2Fwww.webofscience.com%2Fwos%2Fwoscc%2Ffull-record%2FWOS:000414883000003","View Full Record in Web of Science")</f>
        <v>View Full Record in Web of Science</v>
      </c>
    </row>
    <row r="45" ht="12.75" customHeight="1">
      <c r="A45" s="14" t="s">
        <v>97</v>
      </c>
      <c r="B45" s="14" t="s">
        <v>1120</v>
      </c>
      <c r="C45" s="14" t="s">
        <v>99</v>
      </c>
      <c r="D45" s="14" t="s">
        <v>99</v>
      </c>
      <c r="E45" s="14" t="s">
        <v>99</v>
      </c>
      <c r="F45" s="14" t="s">
        <v>1121</v>
      </c>
      <c r="G45" s="14" t="s">
        <v>99</v>
      </c>
      <c r="H45" s="14" t="s">
        <v>99</v>
      </c>
      <c r="I45" s="14" t="s">
        <v>1122</v>
      </c>
      <c r="J45" s="14" t="s">
        <v>1123</v>
      </c>
      <c r="K45" s="14" t="s">
        <v>99</v>
      </c>
      <c r="L45" s="14" t="s">
        <v>99</v>
      </c>
      <c r="M45" s="14" t="s">
        <v>103</v>
      </c>
      <c r="N45" s="14" t="s">
        <v>104</v>
      </c>
      <c r="O45" s="14" t="s">
        <v>99</v>
      </c>
      <c r="P45" s="14" t="s">
        <v>99</v>
      </c>
      <c r="Q45" s="14" t="s">
        <v>99</v>
      </c>
      <c r="R45" s="14" t="s">
        <v>99</v>
      </c>
      <c r="S45" s="14" t="s">
        <v>99</v>
      </c>
      <c r="T45" s="14" t="s">
        <v>1124</v>
      </c>
      <c r="U45" s="14" t="s">
        <v>1125</v>
      </c>
      <c r="V45" s="14" t="s">
        <v>1126</v>
      </c>
      <c r="W45" s="14" t="s">
        <v>1127</v>
      </c>
      <c r="X45" s="14" t="s">
        <v>1128</v>
      </c>
      <c r="Y45" s="14" t="s">
        <v>1129</v>
      </c>
      <c r="Z45" s="14" t="s">
        <v>1130</v>
      </c>
      <c r="AA45" s="14" t="s">
        <v>1131</v>
      </c>
      <c r="AB45" s="14" t="s">
        <v>1132</v>
      </c>
      <c r="AC45" s="14" t="s">
        <v>1133</v>
      </c>
      <c r="AD45" s="14" t="s">
        <v>1134</v>
      </c>
      <c r="AE45" s="14" t="s">
        <v>1135</v>
      </c>
      <c r="AF45" s="14" t="s">
        <v>99</v>
      </c>
      <c r="AG45" s="14">
        <v>72.0</v>
      </c>
      <c r="AH45" s="14">
        <v>45.0</v>
      </c>
      <c r="AI45" s="14">
        <v>48.0</v>
      </c>
      <c r="AJ45" s="14">
        <v>4.0</v>
      </c>
      <c r="AK45" s="14">
        <v>113.0</v>
      </c>
      <c r="AL45" s="14" t="s">
        <v>341</v>
      </c>
      <c r="AM45" s="14" t="s">
        <v>342</v>
      </c>
      <c r="AN45" s="14" t="s">
        <v>343</v>
      </c>
      <c r="AO45" s="14" t="s">
        <v>1136</v>
      </c>
      <c r="AP45" s="14" t="s">
        <v>1137</v>
      </c>
      <c r="AQ45" s="14" t="s">
        <v>99</v>
      </c>
      <c r="AR45" s="14" t="s">
        <v>1138</v>
      </c>
      <c r="AS45" s="14" t="s">
        <v>1139</v>
      </c>
      <c r="AT45" s="14" t="s">
        <v>348</v>
      </c>
      <c r="AU45" s="14">
        <v>2017.0</v>
      </c>
      <c r="AV45" s="14">
        <v>28.0</v>
      </c>
      <c r="AW45" s="14">
        <v>6.0</v>
      </c>
      <c r="AX45" s="14" t="s">
        <v>99</v>
      </c>
      <c r="AY45" s="14" t="s">
        <v>99</v>
      </c>
      <c r="AZ45" s="14" t="s">
        <v>99</v>
      </c>
      <c r="BA45" s="14" t="s">
        <v>99</v>
      </c>
      <c r="BB45" s="14">
        <v>1220.0</v>
      </c>
      <c r="BC45" s="14">
        <v>1229.0</v>
      </c>
      <c r="BD45" s="14" t="s">
        <v>99</v>
      </c>
      <c r="BE45" s="14" t="s">
        <v>1140</v>
      </c>
      <c r="BF45" s="15" t="str">
        <f>HYPERLINK("http://dx.doi.org/10.1111/jvs.12579","http://dx.doi.org/10.1111/jvs.12579")</f>
        <v>http://dx.doi.org/10.1111/jvs.12579</v>
      </c>
      <c r="BG45" s="14" t="s">
        <v>99</v>
      </c>
      <c r="BH45" s="14" t="s">
        <v>99</v>
      </c>
      <c r="BI45" s="14">
        <v>10.0</v>
      </c>
      <c r="BJ45" s="14" t="s">
        <v>1141</v>
      </c>
      <c r="BK45" s="14" t="s">
        <v>122</v>
      </c>
      <c r="BL45" s="14" t="s">
        <v>1142</v>
      </c>
      <c r="BM45" s="14" t="s">
        <v>1143</v>
      </c>
      <c r="BN45" s="14" t="s">
        <v>99</v>
      </c>
      <c r="BO45" s="14" t="s">
        <v>99</v>
      </c>
      <c r="BP45" s="14" t="s">
        <v>99</v>
      </c>
      <c r="BQ45" s="14" t="s">
        <v>99</v>
      </c>
      <c r="BR45" s="14" t="s">
        <v>124</v>
      </c>
      <c r="BS45" s="14" t="s">
        <v>1144</v>
      </c>
      <c r="BT45" s="14" t="str">
        <f>HYPERLINK("https%3A%2F%2Fwww.webofscience.com%2Fwos%2Fwoscc%2Ffull-record%2FWOS:000423189400012","View Full Record in Web of Science")</f>
        <v>View Full Record in Web of Science</v>
      </c>
    </row>
    <row r="46" ht="12.75" customHeight="1">
      <c r="A46" s="14" t="s">
        <v>97</v>
      </c>
      <c r="B46" s="14" t="s">
        <v>1145</v>
      </c>
      <c r="C46" s="14" t="s">
        <v>99</v>
      </c>
      <c r="D46" s="14" t="s">
        <v>99</v>
      </c>
      <c r="E46" s="14" t="s">
        <v>99</v>
      </c>
      <c r="F46" s="14" t="s">
        <v>1146</v>
      </c>
      <c r="G46" s="14" t="s">
        <v>99</v>
      </c>
      <c r="H46" s="14" t="s">
        <v>99</v>
      </c>
      <c r="I46" s="14" t="s">
        <v>1147</v>
      </c>
      <c r="J46" s="14" t="s">
        <v>456</v>
      </c>
      <c r="K46" s="14" t="s">
        <v>99</v>
      </c>
      <c r="L46" s="14" t="s">
        <v>99</v>
      </c>
      <c r="M46" s="14" t="s">
        <v>103</v>
      </c>
      <c r="N46" s="14" t="s">
        <v>104</v>
      </c>
      <c r="O46" s="14" t="s">
        <v>99</v>
      </c>
      <c r="P46" s="14" t="s">
        <v>99</v>
      </c>
      <c r="Q46" s="14" t="s">
        <v>99</v>
      </c>
      <c r="R46" s="14" t="s">
        <v>99</v>
      </c>
      <c r="S46" s="14" t="s">
        <v>99</v>
      </c>
      <c r="T46" s="14" t="s">
        <v>1148</v>
      </c>
      <c r="U46" s="14" t="s">
        <v>1149</v>
      </c>
      <c r="V46" s="14" t="s">
        <v>1150</v>
      </c>
      <c r="W46" s="14" t="s">
        <v>1151</v>
      </c>
      <c r="X46" s="14" t="s">
        <v>1152</v>
      </c>
      <c r="Y46" s="14" t="s">
        <v>1153</v>
      </c>
      <c r="Z46" s="14" t="s">
        <v>1154</v>
      </c>
      <c r="AA46" s="14" t="s">
        <v>1155</v>
      </c>
      <c r="AB46" s="14" t="s">
        <v>1156</v>
      </c>
      <c r="AC46" s="14" t="s">
        <v>1157</v>
      </c>
      <c r="AD46" s="14" t="s">
        <v>1158</v>
      </c>
      <c r="AE46" s="14" t="s">
        <v>1159</v>
      </c>
      <c r="AF46" s="14" t="s">
        <v>99</v>
      </c>
      <c r="AG46" s="14">
        <v>40.0</v>
      </c>
      <c r="AH46" s="14">
        <v>10.0</v>
      </c>
      <c r="AI46" s="14">
        <v>12.0</v>
      </c>
      <c r="AJ46" s="14">
        <v>0.0</v>
      </c>
      <c r="AK46" s="14">
        <v>36.0</v>
      </c>
      <c r="AL46" s="14" t="s">
        <v>467</v>
      </c>
      <c r="AM46" s="14" t="s">
        <v>468</v>
      </c>
      <c r="AN46" s="14" t="s">
        <v>469</v>
      </c>
      <c r="AO46" s="14" t="s">
        <v>470</v>
      </c>
      <c r="AP46" s="14" t="s">
        <v>471</v>
      </c>
      <c r="AQ46" s="14" t="s">
        <v>99</v>
      </c>
      <c r="AR46" s="14" t="s">
        <v>472</v>
      </c>
      <c r="AS46" s="14" t="s">
        <v>473</v>
      </c>
      <c r="AT46" s="14" t="s">
        <v>1160</v>
      </c>
      <c r="AU46" s="14">
        <v>2017.0</v>
      </c>
      <c r="AV46" s="14">
        <v>122.0</v>
      </c>
      <c r="AW46" s="14" t="s">
        <v>1161</v>
      </c>
      <c r="AX46" s="14" t="s">
        <v>99</v>
      </c>
      <c r="AY46" s="14" t="s">
        <v>99</v>
      </c>
      <c r="AZ46" s="14" t="s">
        <v>99</v>
      </c>
      <c r="BA46" s="14" t="s">
        <v>99</v>
      </c>
      <c r="BB46" s="14">
        <v>259.0</v>
      </c>
      <c r="BC46" s="14">
        <v>262.0</v>
      </c>
      <c r="BD46" s="14" t="s">
        <v>99</v>
      </c>
      <c r="BE46" s="14" t="s">
        <v>1162</v>
      </c>
      <c r="BF46" s="15" t="str">
        <f>HYPERLINK("http://dx.doi.org/10.1016/j.marpolbul.2017.06.054","http://dx.doi.org/10.1016/j.marpolbul.2017.06.054")</f>
        <v>http://dx.doi.org/10.1016/j.marpolbul.2017.06.054</v>
      </c>
      <c r="BG46" s="14" t="s">
        <v>99</v>
      </c>
      <c r="BH46" s="14" t="s">
        <v>99</v>
      </c>
      <c r="BI46" s="14">
        <v>4.0</v>
      </c>
      <c r="BJ46" s="14" t="s">
        <v>396</v>
      </c>
      <c r="BK46" s="14" t="s">
        <v>122</v>
      </c>
      <c r="BL46" s="14" t="s">
        <v>397</v>
      </c>
      <c r="BM46" s="14" t="s">
        <v>1163</v>
      </c>
      <c r="BN46" s="14">
        <v>2.8662981E7</v>
      </c>
      <c r="BO46" s="14" t="s">
        <v>99</v>
      </c>
      <c r="BP46" s="14" t="s">
        <v>99</v>
      </c>
      <c r="BQ46" s="14" t="s">
        <v>99</v>
      </c>
      <c r="BR46" s="14" t="s">
        <v>124</v>
      </c>
      <c r="BS46" s="14" t="s">
        <v>1164</v>
      </c>
      <c r="BT46" s="14" t="str">
        <f>HYPERLINK("https%3A%2F%2Fwww.webofscience.com%2Fwos%2Fwoscc%2Ffull-record%2FWOS:000408076900039","View Full Record in Web of Science")</f>
        <v>View Full Record in Web of Science</v>
      </c>
    </row>
    <row r="47" ht="12.75" customHeight="1">
      <c r="A47" s="14" t="s">
        <v>97</v>
      </c>
      <c r="B47" s="14" t="s">
        <v>1165</v>
      </c>
      <c r="C47" s="14" t="s">
        <v>99</v>
      </c>
      <c r="D47" s="14" t="s">
        <v>99</v>
      </c>
      <c r="E47" s="14" t="s">
        <v>99</v>
      </c>
      <c r="F47" s="14" t="s">
        <v>1166</v>
      </c>
      <c r="G47" s="14" t="s">
        <v>99</v>
      </c>
      <c r="H47" s="14" t="s">
        <v>99</v>
      </c>
      <c r="I47" s="14" t="s">
        <v>1167</v>
      </c>
      <c r="J47" s="14" t="s">
        <v>1168</v>
      </c>
      <c r="K47" s="14" t="s">
        <v>99</v>
      </c>
      <c r="L47" s="14" t="s">
        <v>99</v>
      </c>
      <c r="M47" s="14" t="s">
        <v>103</v>
      </c>
      <c r="N47" s="14" t="s">
        <v>104</v>
      </c>
      <c r="O47" s="14" t="s">
        <v>99</v>
      </c>
      <c r="P47" s="14" t="s">
        <v>99</v>
      </c>
      <c r="Q47" s="14" t="s">
        <v>99</v>
      </c>
      <c r="R47" s="14" t="s">
        <v>99</v>
      </c>
      <c r="S47" s="14" t="s">
        <v>99</v>
      </c>
      <c r="T47" s="14" t="s">
        <v>1169</v>
      </c>
      <c r="U47" s="14" t="s">
        <v>1170</v>
      </c>
      <c r="V47" s="14" t="s">
        <v>1171</v>
      </c>
      <c r="W47" s="14" t="s">
        <v>1172</v>
      </c>
      <c r="X47" s="14" t="s">
        <v>1173</v>
      </c>
      <c r="Y47" s="14" t="s">
        <v>1174</v>
      </c>
      <c r="Z47" s="14" t="s">
        <v>1175</v>
      </c>
      <c r="AA47" s="14" t="s">
        <v>99</v>
      </c>
      <c r="AB47" s="14" t="s">
        <v>99</v>
      </c>
      <c r="AC47" s="14" t="s">
        <v>1176</v>
      </c>
      <c r="AD47" s="14" t="s">
        <v>1176</v>
      </c>
      <c r="AE47" s="14" t="s">
        <v>1177</v>
      </c>
      <c r="AF47" s="14" t="s">
        <v>99</v>
      </c>
      <c r="AG47" s="14">
        <v>44.0</v>
      </c>
      <c r="AH47" s="14">
        <v>9.0</v>
      </c>
      <c r="AI47" s="14">
        <v>13.0</v>
      </c>
      <c r="AJ47" s="14">
        <v>1.0</v>
      </c>
      <c r="AK47" s="14">
        <v>44.0</v>
      </c>
      <c r="AL47" s="14" t="s">
        <v>341</v>
      </c>
      <c r="AM47" s="14" t="s">
        <v>342</v>
      </c>
      <c r="AN47" s="14" t="s">
        <v>343</v>
      </c>
      <c r="AO47" s="14" t="s">
        <v>1178</v>
      </c>
      <c r="AP47" s="14" t="s">
        <v>1179</v>
      </c>
      <c r="AQ47" s="14" t="s">
        <v>99</v>
      </c>
      <c r="AR47" s="14" t="s">
        <v>1180</v>
      </c>
      <c r="AS47" s="14" t="s">
        <v>1181</v>
      </c>
      <c r="AT47" s="14" t="s">
        <v>421</v>
      </c>
      <c r="AU47" s="14">
        <v>2017.0</v>
      </c>
      <c r="AV47" s="14">
        <v>88.0</v>
      </c>
      <c r="AW47" s="14">
        <v>3.0</v>
      </c>
      <c r="AX47" s="14" t="s">
        <v>99</v>
      </c>
      <c r="AY47" s="14" t="s">
        <v>99</v>
      </c>
      <c r="AZ47" s="14" t="s">
        <v>99</v>
      </c>
      <c r="BA47" s="14" t="s">
        <v>99</v>
      </c>
      <c r="BB47" s="14">
        <v>211.0</v>
      </c>
      <c r="BC47" s="14">
        <v>228.0</v>
      </c>
      <c r="BD47" s="14" t="s">
        <v>99</v>
      </c>
      <c r="BE47" s="14" t="s">
        <v>1182</v>
      </c>
      <c r="BF47" s="15" t="str">
        <f>HYPERLINK("http://dx.doi.org/10.1111/jofo.12204","http://dx.doi.org/10.1111/jofo.12204")</f>
        <v>http://dx.doi.org/10.1111/jofo.12204</v>
      </c>
      <c r="BG47" s="14" t="s">
        <v>99</v>
      </c>
      <c r="BH47" s="14" t="s">
        <v>99</v>
      </c>
      <c r="BI47" s="14">
        <v>18.0</v>
      </c>
      <c r="BJ47" s="14" t="s">
        <v>1183</v>
      </c>
      <c r="BK47" s="14" t="s">
        <v>122</v>
      </c>
      <c r="BL47" s="14" t="s">
        <v>121</v>
      </c>
      <c r="BM47" s="14" t="s">
        <v>1184</v>
      </c>
      <c r="BN47" s="14" t="s">
        <v>99</v>
      </c>
      <c r="BO47" s="14" t="s">
        <v>99</v>
      </c>
      <c r="BP47" s="14" t="s">
        <v>99</v>
      </c>
      <c r="BQ47" s="14" t="s">
        <v>99</v>
      </c>
      <c r="BR47" s="14" t="s">
        <v>124</v>
      </c>
      <c r="BS47" s="14" t="s">
        <v>1185</v>
      </c>
      <c r="BT47" s="14" t="str">
        <f>HYPERLINK("https%3A%2F%2Fwww.webofscience.com%2Fwos%2Fwoscc%2Ffull-record%2FWOS:000411343300001","View Full Record in Web of Science")</f>
        <v>View Full Record in Web of Science</v>
      </c>
    </row>
    <row r="48" ht="12.75" customHeight="1">
      <c r="A48" s="14" t="s">
        <v>97</v>
      </c>
      <c r="B48" s="14" t="s">
        <v>1186</v>
      </c>
      <c r="C48" s="14" t="s">
        <v>99</v>
      </c>
      <c r="D48" s="14" t="s">
        <v>99</v>
      </c>
      <c r="E48" s="14" t="s">
        <v>99</v>
      </c>
      <c r="F48" s="14" t="s">
        <v>1187</v>
      </c>
      <c r="G48" s="14" t="s">
        <v>99</v>
      </c>
      <c r="H48" s="14" t="s">
        <v>99</v>
      </c>
      <c r="I48" s="14" t="s">
        <v>1188</v>
      </c>
      <c r="J48" s="14" t="s">
        <v>749</v>
      </c>
      <c r="K48" s="14" t="s">
        <v>99</v>
      </c>
      <c r="L48" s="14" t="s">
        <v>99</v>
      </c>
      <c r="M48" s="14" t="s">
        <v>103</v>
      </c>
      <c r="N48" s="14" t="s">
        <v>104</v>
      </c>
      <c r="O48" s="14" t="s">
        <v>99</v>
      </c>
      <c r="P48" s="14" t="s">
        <v>99</v>
      </c>
      <c r="Q48" s="14" t="s">
        <v>99</v>
      </c>
      <c r="R48" s="14" t="s">
        <v>99</v>
      </c>
      <c r="S48" s="14" t="s">
        <v>99</v>
      </c>
      <c r="T48" s="14" t="s">
        <v>1189</v>
      </c>
      <c r="U48" s="14" t="s">
        <v>1190</v>
      </c>
      <c r="V48" s="14" t="s">
        <v>1191</v>
      </c>
      <c r="W48" s="14" t="s">
        <v>1192</v>
      </c>
      <c r="X48" s="14" t="s">
        <v>1193</v>
      </c>
      <c r="Y48" s="14" t="s">
        <v>1194</v>
      </c>
      <c r="Z48" s="14" t="s">
        <v>1195</v>
      </c>
      <c r="AA48" s="14" t="s">
        <v>1196</v>
      </c>
      <c r="AB48" s="14" t="s">
        <v>1197</v>
      </c>
      <c r="AC48" s="14" t="s">
        <v>1198</v>
      </c>
      <c r="AD48" s="14" t="s">
        <v>1199</v>
      </c>
      <c r="AE48" s="14" t="s">
        <v>1200</v>
      </c>
      <c r="AF48" s="14" t="s">
        <v>99</v>
      </c>
      <c r="AG48" s="14">
        <v>77.0</v>
      </c>
      <c r="AH48" s="14">
        <v>30.0</v>
      </c>
      <c r="AI48" s="14">
        <v>32.0</v>
      </c>
      <c r="AJ48" s="14">
        <v>0.0</v>
      </c>
      <c r="AK48" s="14">
        <v>64.0</v>
      </c>
      <c r="AL48" s="14" t="s">
        <v>762</v>
      </c>
      <c r="AM48" s="14" t="s">
        <v>763</v>
      </c>
      <c r="AN48" s="14" t="s">
        <v>764</v>
      </c>
      <c r="AO48" s="14" t="s">
        <v>765</v>
      </c>
      <c r="AP48" s="14" t="s">
        <v>766</v>
      </c>
      <c r="AQ48" s="14" t="s">
        <v>99</v>
      </c>
      <c r="AR48" s="14" t="s">
        <v>767</v>
      </c>
      <c r="AS48" s="14" t="s">
        <v>768</v>
      </c>
      <c r="AT48" s="14" t="s">
        <v>1201</v>
      </c>
      <c r="AU48" s="14">
        <v>2017.0</v>
      </c>
      <c r="AV48" s="14">
        <v>576.0</v>
      </c>
      <c r="AW48" s="14" t="s">
        <v>99</v>
      </c>
      <c r="AX48" s="14" t="s">
        <v>99</v>
      </c>
      <c r="AY48" s="14" t="s">
        <v>99</v>
      </c>
      <c r="AZ48" s="14" t="s">
        <v>99</v>
      </c>
      <c r="BA48" s="14" t="s">
        <v>99</v>
      </c>
      <c r="BB48" s="14">
        <v>55.0</v>
      </c>
      <c r="BC48" s="14">
        <v>68.0</v>
      </c>
      <c r="BD48" s="14" t="s">
        <v>99</v>
      </c>
      <c r="BE48" s="14" t="s">
        <v>1202</v>
      </c>
      <c r="BF48" s="15" t="str">
        <f>HYPERLINK("http://dx.doi.org/10.3354/meps12221","http://dx.doi.org/10.3354/meps12221")</f>
        <v>http://dx.doi.org/10.3354/meps12221</v>
      </c>
      <c r="BG48" s="14" t="s">
        <v>99</v>
      </c>
      <c r="BH48" s="14" t="s">
        <v>99</v>
      </c>
      <c r="BI48" s="14">
        <v>14.0</v>
      </c>
      <c r="BJ48" s="14" t="s">
        <v>301</v>
      </c>
      <c r="BK48" s="14" t="s">
        <v>800</v>
      </c>
      <c r="BL48" s="14" t="s">
        <v>303</v>
      </c>
      <c r="BM48" s="14" t="s">
        <v>1203</v>
      </c>
      <c r="BN48" s="14" t="s">
        <v>99</v>
      </c>
      <c r="BO48" s="14" t="s">
        <v>99</v>
      </c>
      <c r="BP48" s="14" t="s">
        <v>99</v>
      </c>
      <c r="BQ48" s="14" t="s">
        <v>99</v>
      </c>
      <c r="BR48" s="14" t="s">
        <v>124</v>
      </c>
      <c r="BS48" s="14" t="s">
        <v>1204</v>
      </c>
      <c r="BT48" s="14" t="str">
        <f>HYPERLINK("https%3A%2F%2Fwww.webofscience.com%2Fwos%2Fwoscc%2Ffull-record%2FWOS:000407443900005","View Full Record in Web of Science")</f>
        <v>View Full Record in Web of Science</v>
      </c>
    </row>
    <row r="49" ht="12.75" customHeight="1">
      <c r="A49" s="14" t="s">
        <v>97</v>
      </c>
      <c r="B49" s="14" t="s">
        <v>1205</v>
      </c>
      <c r="C49" s="14" t="s">
        <v>99</v>
      </c>
      <c r="D49" s="14" t="s">
        <v>99</v>
      </c>
      <c r="E49" s="14" t="s">
        <v>99</v>
      </c>
      <c r="F49" s="14" t="s">
        <v>1206</v>
      </c>
      <c r="G49" s="14" t="s">
        <v>99</v>
      </c>
      <c r="H49" s="14" t="s">
        <v>99</v>
      </c>
      <c r="I49" s="14" t="s">
        <v>1207</v>
      </c>
      <c r="J49" s="14" t="s">
        <v>1208</v>
      </c>
      <c r="K49" s="14" t="s">
        <v>99</v>
      </c>
      <c r="L49" s="14" t="s">
        <v>99</v>
      </c>
      <c r="M49" s="14" t="s">
        <v>103</v>
      </c>
      <c r="N49" s="14" t="s">
        <v>104</v>
      </c>
      <c r="O49" s="14" t="s">
        <v>99</v>
      </c>
      <c r="P49" s="14" t="s">
        <v>99</v>
      </c>
      <c r="Q49" s="14" t="s">
        <v>99</v>
      </c>
      <c r="R49" s="14" t="s">
        <v>99</v>
      </c>
      <c r="S49" s="14" t="s">
        <v>99</v>
      </c>
      <c r="T49" s="14" t="s">
        <v>99</v>
      </c>
      <c r="U49" s="14" t="s">
        <v>1209</v>
      </c>
      <c r="V49" s="14" t="s">
        <v>1210</v>
      </c>
      <c r="W49" s="14" t="s">
        <v>1211</v>
      </c>
      <c r="X49" s="14" t="s">
        <v>1212</v>
      </c>
      <c r="Y49" s="14" t="s">
        <v>1213</v>
      </c>
      <c r="Z49" s="14" t="s">
        <v>1214</v>
      </c>
      <c r="AA49" s="14" t="s">
        <v>1215</v>
      </c>
      <c r="AB49" s="14" t="s">
        <v>1216</v>
      </c>
      <c r="AC49" s="14" t="s">
        <v>1217</v>
      </c>
      <c r="AD49" s="14" t="s">
        <v>1218</v>
      </c>
      <c r="AE49" s="14" t="s">
        <v>1219</v>
      </c>
      <c r="AF49" s="14" t="s">
        <v>99</v>
      </c>
      <c r="AG49" s="14">
        <v>45.0</v>
      </c>
      <c r="AH49" s="14">
        <v>354.0</v>
      </c>
      <c r="AI49" s="14">
        <v>392.0</v>
      </c>
      <c r="AJ49" s="14">
        <v>19.0</v>
      </c>
      <c r="AK49" s="14">
        <v>362.0</v>
      </c>
      <c r="AL49" s="14" t="s">
        <v>909</v>
      </c>
      <c r="AM49" s="14" t="s">
        <v>910</v>
      </c>
      <c r="AN49" s="14" t="s">
        <v>911</v>
      </c>
      <c r="AO49" s="14" t="s">
        <v>1220</v>
      </c>
      <c r="AP49" s="14" t="s">
        <v>99</v>
      </c>
      <c r="AQ49" s="14" t="s">
        <v>99</v>
      </c>
      <c r="AR49" s="14" t="s">
        <v>1221</v>
      </c>
      <c r="AS49" s="14" t="s">
        <v>1222</v>
      </c>
      <c r="AT49" s="14" t="s">
        <v>525</v>
      </c>
      <c r="AU49" s="14">
        <v>2017.0</v>
      </c>
      <c r="AV49" s="14">
        <v>1.0</v>
      </c>
      <c r="AW49" s="14">
        <v>7.0</v>
      </c>
      <c r="AX49" s="14" t="s">
        <v>99</v>
      </c>
      <c r="AY49" s="14" t="s">
        <v>99</v>
      </c>
      <c r="AZ49" s="14" t="s">
        <v>99</v>
      </c>
      <c r="BA49" s="14" t="s">
        <v>99</v>
      </c>
      <c r="BB49" s="14" t="s">
        <v>99</v>
      </c>
      <c r="BC49" s="14" t="s">
        <v>99</v>
      </c>
      <c r="BD49" s="14">
        <v>186.0</v>
      </c>
      <c r="BE49" s="14" t="s">
        <v>1223</v>
      </c>
      <c r="BF49" s="15" t="str">
        <f>HYPERLINK("http://dx.doi.org/10.1038/s41559-017-0186","http://dx.doi.org/10.1038/s41559-017-0186")</f>
        <v>http://dx.doi.org/10.1038/s41559-017-0186</v>
      </c>
      <c r="BG49" s="14" t="s">
        <v>99</v>
      </c>
      <c r="BH49" s="14" t="s">
        <v>99</v>
      </c>
      <c r="BI49" s="14">
        <v>7.0</v>
      </c>
      <c r="BJ49" s="14" t="s">
        <v>1224</v>
      </c>
      <c r="BK49" s="14" t="s">
        <v>122</v>
      </c>
      <c r="BL49" s="14" t="s">
        <v>1225</v>
      </c>
      <c r="BM49" s="14" t="s">
        <v>1226</v>
      </c>
      <c r="BN49" s="14" t="s">
        <v>99</v>
      </c>
      <c r="BO49" s="14" t="s">
        <v>576</v>
      </c>
      <c r="BP49" s="14" t="s">
        <v>99</v>
      </c>
      <c r="BQ49" s="14" t="s">
        <v>99</v>
      </c>
      <c r="BR49" s="14" t="s">
        <v>124</v>
      </c>
      <c r="BS49" s="14" t="s">
        <v>1227</v>
      </c>
      <c r="BT49" s="14" t="str">
        <f>HYPERLINK("https%3A%2F%2Fwww.webofscience.com%2Fwos%2Fwoscc%2Ffull-record%2FWOS:000417179000015","View Full Record in Web of Science")</f>
        <v>View Full Record in Web of Science</v>
      </c>
    </row>
    <row r="50" ht="12.75" customHeight="1">
      <c r="A50" s="14" t="s">
        <v>97</v>
      </c>
      <c r="B50" s="14" t="s">
        <v>1228</v>
      </c>
      <c r="C50" s="14" t="s">
        <v>99</v>
      </c>
      <c r="D50" s="14" t="s">
        <v>99</v>
      </c>
      <c r="E50" s="14" t="s">
        <v>99</v>
      </c>
      <c r="F50" s="14" t="s">
        <v>1229</v>
      </c>
      <c r="G50" s="14" t="s">
        <v>99</v>
      </c>
      <c r="H50" s="14" t="s">
        <v>99</v>
      </c>
      <c r="I50" s="14" t="s">
        <v>1230</v>
      </c>
      <c r="J50" s="14" t="s">
        <v>1231</v>
      </c>
      <c r="K50" s="14" t="s">
        <v>99</v>
      </c>
      <c r="L50" s="14" t="s">
        <v>99</v>
      </c>
      <c r="M50" s="14" t="s">
        <v>103</v>
      </c>
      <c r="N50" s="14" t="s">
        <v>104</v>
      </c>
      <c r="O50" s="14" t="s">
        <v>99</v>
      </c>
      <c r="P50" s="14" t="s">
        <v>99</v>
      </c>
      <c r="Q50" s="14" t="s">
        <v>99</v>
      </c>
      <c r="R50" s="14" t="s">
        <v>99</v>
      </c>
      <c r="S50" s="14" t="s">
        <v>99</v>
      </c>
      <c r="T50" s="14" t="s">
        <v>99</v>
      </c>
      <c r="U50" s="14" t="s">
        <v>1232</v>
      </c>
      <c r="V50" s="14" t="s">
        <v>1233</v>
      </c>
      <c r="W50" s="14" t="s">
        <v>1234</v>
      </c>
      <c r="X50" s="14" t="s">
        <v>1235</v>
      </c>
      <c r="Y50" s="14" t="s">
        <v>1236</v>
      </c>
      <c r="Z50" s="14" t="s">
        <v>1237</v>
      </c>
      <c r="AA50" s="14" t="s">
        <v>1238</v>
      </c>
      <c r="AB50" s="14" t="s">
        <v>1239</v>
      </c>
      <c r="AC50" s="14" t="s">
        <v>1240</v>
      </c>
      <c r="AD50" s="14" t="s">
        <v>1241</v>
      </c>
      <c r="AE50" s="14" t="s">
        <v>1242</v>
      </c>
      <c r="AF50" s="14" t="s">
        <v>99</v>
      </c>
      <c r="AG50" s="14">
        <v>42.0</v>
      </c>
      <c r="AH50" s="14">
        <v>12057.0</v>
      </c>
      <c r="AI50" s="14">
        <v>14062.0</v>
      </c>
      <c r="AJ50" s="14">
        <v>444.0</v>
      </c>
      <c r="AK50" s="14">
        <v>7717.0</v>
      </c>
      <c r="AL50" s="14" t="s">
        <v>1243</v>
      </c>
      <c r="AM50" s="14" t="s">
        <v>789</v>
      </c>
      <c r="AN50" s="14" t="s">
        <v>1244</v>
      </c>
      <c r="AO50" s="14" t="s">
        <v>1245</v>
      </c>
      <c r="AP50" s="14" t="s">
        <v>99</v>
      </c>
      <c r="AQ50" s="14" t="s">
        <v>99</v>
      </c>
      <c r="AR50" s="14" t="s">
        <v>1246</v>
      </c>
      <c r="AS50" s="14" t="s">
        <v>1247</v>
      </c>
      <c r="AT50" s="14" t="s">
        <v>525</v>
      </c>
      <c r="AU50" s="14">
        <v>2017.0</v>
      </c>
      <c r="AV50" s="14">
        <v>3.0</v>
      </c>
      <c r="AW50" s="14">
        <v>7.0</v>
      </c>
      <c r="AX50" s="14" t="s">
        <v>99</v>
      </c>
      <c r="AY50" s="14" t="s">
        <v>99</v>
      </c>
      <c r="AZ50" s="14" t="s">
        <v>99</v>
      </c>
      <c r="BA50" s="14" t="s">
        <v>99</v>
      </c>
      <c r="BB50" s="14" t="s">
        <v>99</v>
      </c>
      <c r="BC50" s="14" t="s">
        <v>99</v>
      </c>
      <c r="BD50" s="14" t="s">
        <v>1248</v>
      </c>
      <c r="BE50" s="14" t="s">
        <v>1249</v>
      </c>
      <c r="BF50" s="15" t="str">
        <f>HYPERLINK("http://dx.doi.org/10.1126/sciadv.1700782","http://dx.doi.org/10.1126/sciadv.1700782")</f>
        <v>http://dx.doi.org/10.1126/sciadv.1700782</v>
      </c>
      <c r="BG50" s="14" t="s">
        <v>99</v>
      </c>
      <c r="BH50" s="14" t="s">
        <v>99</v>
      </c>
      <c r="BI50" s="14">
        <v>5.0</v>
      </c>
      <c r="BJ50" s="14" t="s">
        <v>799</v>
      </c>
      <c r="BK50" s="14" t="s">
        <v>122</v>
      </c>
      <c r="BL50" s="14" t="s">
        <v>801</v>
      </c>
      <c r="BM50" s="14" t="s">
        <v>1250</v>
      </c>
      <c r="BN50" s="14">
        <v>2.8776036E7</v>
      </c>
      <c r="BO50" s="14" t="s">
        <v>1251</v>
      </c>
      <c r="BP50" s="14" t="s">
        <v>99</v>
      </c>
      <c r="BQ50" s="14" t="s">
        <v>99</v>
      </c>
      <c r="BR50" s="14" t="s">
        <v>124</v>
      </c>
      <c r="BS50" s="14" t="s">
        <v>1252</v>
      </c>
      <c r="BT50" s="14" t="str">
        <f>HYPERLINK("https%3A%2F%2Fwww.webofscience.com%2Fwos%2Fwoscc%2Ffull-record%2FWOS:000411588000033","View Full Record in Web of Science")</f>
        <v>View Full Record in Web of Science</v>
      </c>
    </row>
    <row r="51" ht="12.75" customHeight="1">
      <c r="A51" s="14" t="s">
        <v>97</v>
      </c>
      <c r="B51" s="14" t="s">
        <v>1253</v>
      </c>
      <c r="C51" s="14" t="s">
        <v>99</v>
      </c>
      <c r="D51" s="14" t="s">
        <v>99</v>
      </c>
      <c r="E51" s="14" t="s">
        <v>99</v>
      </c>
      <c r="F51" s="14" t="s">
        <v>1254</v>
      </c>
      <c r="G51" s="14" t="s">
        <v>99</v>
      </c>
      <c r="H51" s="14" t="s">
        <v>99</v>
      </c>
      <c r="I51" s="14" t="s">
        <v>1255</v>
      </c>
      <c r="J51" s="14" t="s">
        <v>1256</v>
      </c>
      <c r="K51" s="14" t="s">
        <v>99</v>
      </c>
      <c r="L51" s="14" t="s">
        <v>99</v>
      </c>
      <c r="M51" s="14" t="s">
        <v>103</v>
      </c>
      <c r="N51" s="14" t="s">
        <v>104</v>
      </c>
      <c r="O51" s="14" t="s">
        <v>99</v>
      </c>
      <c r="P51" s="14" t="s">
        <v>99</v>
      </c>
      <c r="Q51" s="14" t="s">
        <v>99</v>
      </c>
      <c r="R51" s="14" t="s">
        <v>99</v>
      </c>
      <c r="S51" s="14" t="s">
        <v>99</v>
      </c>
      <c r="T51" s="14" t="s">
        <v>1257</v>
      </c>
      <c r="U51" s="14" t="s">
        <v>1258</v>
      </c>
      <c r="V51" s="14" t="s">
        <v>1259</v>
      </c>
      <c r="W51" s="14" t="s">
        <v>1260</v>
      </c>
      <c r="X51" s="14" t="s">
        <v>1261</v>
      </c>
      <c r="Y51" s="14" t="s">
        <v>1262</v>
      </c>
      <c r="Z51" s="14" t="s">
        <v>1263</v>
      </c>
      <c r="AA51" s="14" t="s">
        <v>1264</v>
      </c>
      <c r="AB51" s="14" t="s">
        <v>1265</v>
      </c>
      <c r="AC51" s="14" t="s">
        <v>1266</v>
      </c>
      <c r="AD51" s="14" t="s">
        <v>1267</v>
      </c>
      <c r="AE51" s="14" t="s">
        <v>1268</v>
      </c>
      <c r="AF51" s="14" t="s">
        <v>99</v>
      </c>
      <c r="AG51" s="14">
        <v>56.0</v>
      </c>
      <c r="AH51" s="14">
        <v>21.0</v>
      </c>
      <c r="AI51" s="14">
        <v>21.0</v>
      </c>
      <c r="AJ51" s="14">
        <v>0.0</v>
      </c>
      <c r="AK51" s="14">
        <v>26.0</v>
      </c>
      <c r="AL51" s="14" t="s">
        <v>341</v>
      </c>
      <c r="AM51" s="14" t="s">
        <v>342</v>
      </c>
      <c r="AN51" s="14" t="s">
        <v>343</v>
      </c>
      <c r="AO51" s="14" t="s">
        <v>1269</v>
      </c>
      <c r="AP51" s="14" t="s">
        <v>1270</v>
      </c>
      <c r="AQ51" s="14" t="s">
        <v>99</v>
      </c>
      <c r="AR51" s="14" t="s">
        <v>1271</v>
      </c>
      <c r="AS51" s="14" t="s">
        <v>1272</v>
      </c>
      <c r="AT51" s="14" t="s">
        <v>525</v>
      </c>
      <c r="AU51" s="14">
        <v>2017.0</v>
      </c>
      <c r="AV51" s="14">
        <v>62.0</v>
      </c>
      <c r="AW51" s="14">
        <v>7.0</v>
      </c>
      <c r="AX51" s="14" t="s">
        <v>99</v>
      </c>
      <c r="AY51" s="14" t="s">
        <v>99</v>
      </c>
      <c r="AZ51" s="14" t="s">
        <v>99</v>
      </c>
      <c r="BA51" s="14" t="s">
        <v>99</v>
      </c>
      <c r="BB51" s="14">
        <v>1117.0</v>
      </c>
      <c r="BC51" s="14">
        <v>1129.0</v>
      </c>
      <c r="BD51" s="14" t="s">
        <v>99</v>
      </c>
      <c r="BE51" s="14" t="s">
        <v>1273</v>
      </c>
      <c r="BF51" s="15" t="str">
        <f>HYPERLINK("http://dx.doi.org/10.1111/fwb.12929","http://dx.doi.org/10.1111/fwb.12929")</f>
        <v>http://dx.doi.org/10.1111/fwb.12929</v>
      </c>
      <c r="BG51" s="14" t="s">
        <v>99</v>
      </c>
      <c r="BH51" s="14" t="s">
        <v>99</v>
      </c>
      <c r="BI51" s="14">
        <v>13.0</v>
      </c>
      <c r="BJ51" s="14" t="s">
        <v>1274</v>
      </c>
      <c r="BK51" s="14" t="s">
        <v>122</v>
      </c>
      <c r="BL51" s="14" t="s">
        <v>397</v>
      </c>
      <c r="BM51" s="14" t="s">
        <v>1275</v>
      </c>
      <c r="BN51" s="14" t="s">
        <v>99</v>
      </c>
      <c r="BO51" s="14" t="s">
        <v>99</v>
      </c>
      <c r="BP51" s="14" t="s">
        <v>99</v>
      </c>
      <c r="BQ51" s="14" t="s">
        <v>99</v>
      </c>
      <c r="BR51" s="14" t="s">
        <v>124</v>
      </c>
      <c r="BS51" s="14" t="s">
        <v>1276</v>
      </c>
      <c r="BT51" s="14" t="str">
        <f>HYPERLINK("https%3A%2F%2Fwww.webofscience.com%2Fwos%2Fwoscc%2Ffull-record%2FWOS:000403021500001","View Full Record in Web of Science")</f>
        <v>View Full Record in Web of Science</v>
      </c>
    </row>
    <row r="52" ht="12.75" customHeight="1">
      <c r="A52" s="14" t="s">
        <v>97</v>
      </c>
      <c r="B52" s="14" t="s">
        <v>1277</v>
      </c>
      <c r="C52" s="14" t="s">
        <v>99</v>
      </c>
      <c r="D52" s="14" t="s">
        <v>99</v>
      </c>
      <c r="E52" s="14" t="s">
        <v>99</v>
      </c>
      <c r="F52" s="14" t="s">
        <v>1278</v>
      </c>
      <c r="G52" s="14" t="s">
        <v>99</v>
      </c>
      <c r="H52" s="14" t="s">
        <v>99</v>
      </c>
      <c r="I52" s="14" t="s">
        <v>1279</v>
      </c>
      <c r="J52" s="14" t="s">
        <v>945</v>
      </c>
      <c r="K52" s="14" t="s">
        <v>99</v>
      </c>
      <c r="L52" s="14" t="s">
        <v>99</v>
      </c>
      <c r="M52" s="14" t="s">
        <v>103</v>
      </c>
      <c r="N52" s="14" t="s">
        <v>104</v>
      </c>
      <c r="O52" s="14" t="s">
        <v>99</v>
      </c>
      <c r="P52" s="14" t="s">
        <v>99</v>
      </c>
      <c r="Q52" s="14" t="s">
        <v>99</v>
      </c>
      <c r="R52" s="14" t="s">
        <v>99</v>
      </c>
      <c r="S52" s="14" t="s">
        <v>99</v>
      </c>
      <c r="T52" s="14" t="s">
        <v>99</v>
      </c>
      <c r="U52" s="14" t="s">
        <v>1280</v>
      </c>
      <c r="V52" s="14" t="s">
        <v>1281</v>
      </c>
      <c r="W52" s="14" t="s">
        <v>1282</v>
      </c>
      <c r="X52" s="14" t="s">
        <v>1283</v>
      </c>
      <c r="Y52" s="14" t="s">
        <v>1284</v>
      </c>
      <c r="Z52" s="14" t="s">
        <v>1285</v>
      </c>
      <c r="AA52" s="14" t="s">
        <v>1286</v>
      </c>
      <c r="AB52" s="14" t="s">
        <v>1287</v>
      </c>
      <c r="AC52" s="14" t="s">
        <v>1288</v>
      </c>
      <c r="AD52" s="14" t="s">
        <v>1289</v>
      </c>
      <c r="AE52" s="14" t="s">
        <v>1290</v>
      </c>
      <c r="AF52" s="14" t="s">
        <v>99</v>
      </c>
      <c r="AG52" s="14">
        <v>56.0</v>
      </c>
      <c r="AH52" s="14">
        <v>292.0</v>
      </c>
      <c r="AI52" s="14">
        <v>306.0</v>
      </c>
      <c r="AJ52" s="14">
        <v>4.0</v>
      </c>
      <c r="AK52" s="14">
        <v>64.0</v>
      </c>
      <c r="AL52" s="14" t="s">
        <v>952</v>
      </c>
      <c r="AM52" s="14" t="s">
        <v>953</v>
      </c>
      <c r="AN52" s="14" t="s">
        <v>954</v>
      </c>
      <c r="AO52" s="14" t="s">
        <v>955</v>
      </c>
      <c r="AP52" s="14" t="s">
        <v>956</v>
      </c>
      <c r="AQ52" s="14" t="s">
        <v>99</v>
      </c>
      <c r="AR52" s="14" t="s">
        <v>957</v>
      </c>
      <c r="AS52" s="14" t="s">
        <v>958</v>
      </c>
      <c r="AT52" s="14" t="s">
        <v>525</v>
      </c>
      <c r="AU52" s="14">
        <v>2017.0</v>
      </c>
      <c r="AV52" s="14">
        <v>98.0</v>
      </c>
      <c r="AW52" s="14">
        <v>7.0</v>
      </c>
      <c r="AX52" s="14" t="s">
        <v>99</v>
      </c>
      <c r="AY52" s="14" t="s">
        <v>99</v>
      </c>
      <c r="AZ52" s="14" t="s">
        <v>99</v>
      </c>
      <c r="BA52" s="14" t="s">
        <v>99</v>
      </c>
      <c r="BB52" s="14">
        <v>1363.0</v>
      </c>
      <c r="BC52" s="14">
        <v>1382.0</v>
      </c>
      <c r="BD52" s="14" t="s">
        <v>99</v>
      </c>
      <c r="BE52" s="14" t="s">
        <v>1291</v>
      </c>
      <c r="BF52" s="15" t="str">
        <f>HYPERLINK("http://dx.doi.org/10.1175/BAMS-D-16-0009.1","http://dx.doi.org/10.1175/BAMS-D-16-0009.1")</f>
        <v>http://dx.doi.org/10.1175/BAMS-D-16-0009.1</v>
      </c>
      <c r="BG52" s="14" t="s">
        <v>99</v>
      </c>
      <c r="BH52" s="14" t="s">
        <v>99</v>
      </c>
      <c r="BI52" s="14">
        <v>20.0</v>
      </c>
      <c r="BJ52" s="14" t="s">
        <v>963</v>
      </c>
      <c r="BK52" s="14" t="s">
        <v>122</v>
      </c>
      <c r="BL52" s="14" t="s">
        <v>963</v>
      </c>
      <c r="BM52" s="14" t="s">
        <v>1292</v>
      </c>
      <c r="BN52" s="14" t="s">
        <v>99</v>
      </c>
      <c r="BO52" s="14" t="s">
        <v>576</v>
      </c>
      <c r="BP52" s="14" t="s">
        <v>99</v>
      </c>
      <c r="BQ52" s="14" t="s">
        <v>99</v>
      </c>
      <c r="BR52" s="14" t="s">
        <v>124</v>
      </c>
      <c r="BS52" s="14" t="s">
        <v>1293</v>
      </c>
      <c r="BT52" s="14" t="str">
        <f>HYPERLINK("https%3A%2F%2Fwww.webofscience.com%2Fwos%2Fwoscc%2Ffull-record%2FWOS:000406502800006","View Full Record in Web of Science")</f>
        <v>View Full Record in Web of Science</v>
      </c>
    </row>
    <row r="53" ht="12.75" customHeight="1">
      <c r="A53" s="14" t="s">
        <v>97</v>
      </c>
      <c r="B53" s="14" t="s">
        <v>1294</v>
      </c>
      <c r="C53" s="14" t="s">
        <v>99</v>
      </c>
      <c r="D53" s="14" t="s">
        <v>99</v>
      </c>
      <c r="E53" s="14" t="s">
        <v>99</v>
      </c>
      <c r="F53" s="14" t="s">
        <v>1295</v>
      </c>
      <c r="G53" s="14" t="s">
        <v>99</v>
      </c>
      <c r="H53" s="14" t="s">
        <v>99</v>
      </c>
      <c r="I53" s="14" t="s">
        <v>1296</v>
      </c>
      <c r="J53" s="14" t="s">
        <v>1020</v>
      </c>
      <c r="K53" s="14" t="s">
        <v>99</v>
      </c>
      <c r="L53" s="14" t="s">
        <v>99</v>
      </c>
      <c r="M53" s="14" t="s">
        <v>103</v>
      </c>
      <c r="N53" s="14" t="s">
        <v>104</v>
      </c>
      <c r="O53" s="14" t="s">
        <v>99</v>
      </c>
      <c r="P53" s="14" t="s">
        <v>99</v>
      </c>
      <c r="Q53" s="14" t="s">
        <v>99</v>
      </c>
      <c r="R53" s="14" t="s">
        <v>99</v>
      </c>
      <c r="S53" s="14" t="s">
        <v>99</v>
      </c>
      <c r="T53" s="14" t="s">
        <v>1297</v>
      </c>
      <c r="U53" s="14" t="s">
        <v>1298</v>
      </c>
      <c r="V53" s="14" t="s">
        <v>1299</v>
      </c>
      <c r="W53" s="14" t="s">
        <v>1300</v>
      </c>
      <c r="X53" s="14" t="s">
        <v>1301</v>
      </c>
      <c r="Y53" s="14" t="s">
        <v>1302</v>
      </c>
      <c r="Z53" s="14" t="s">
        <v>1303</v>
      </c>
      <c r="AA53" s="14" t="s">
        <v>1304</v>
      </c>
      <c r="AB53" s="14" t="s">
        <v>1305</v>
      </c>
      <c r="AC53" s="14" t="s">
        <v>1306</v>
      </c>
      <c r="AD53" s="14" t="s">
        <v>1307</v>
      </c>
      <c r="AE53" s="14" t="s">
        <v>1308</v>
      </c>
      <c r="AF53" s="14" t="s">
        <v>99</v>
      </c>
      <c r="AG53" s="14">
        <v>60.0</v>
      </c>
      <c r="AH53" s="14">
        <v>34.0</v>
      </c>
      <c r="AI53" s="14">
        <v>38.0</v>
      </c>
      <c r="AJ53" s="14">
        <v>2.0</v>
      </c>
      <c r="AK53" s="14">
        <v>150.0</v>
      </c>
      <c r="AL53" s="14" t="s">
        <v>1033</v>
      </c>
      <c r="AM53" s="14" t="s">
        <v>442</v>
      </c>
      <c r="AN53" s="14" t="s">
        <v>1034</v>
      </c>
      <c r="AO53" s="14" t="s">
        <v>1035</v>
      </c>
      <c r="AP53" s="14" t="s">
        <v>1036</v>
      </c>
      <c r="AQ53" s="14" t="s">
        <v>99</v>
      </c>
      <c r="AR53" s="14" t="s">
        <v>1037</v>
      </c>
      <c r="AS53" s="14" t="s">
        <v>1038</v>
      </c>
      <c r="AT53" s="14" t="s">
        <v>1309</v>
      </c>
      <c r="AU53" s="14">
        <v>2017.0</v>
      </c>
      <c r="AV53" s="14">
        <v>589.0</v>
      </c>
      <c r="AW53" s="14" t="s">
        <v>99</v>
      </c>
      <c r="AX53" s="14" t="s">
        <v>99</v>
      </c>
      <c r="AY53" s="14" t="s">
        <v>99</v>
      </c>
      <c r="AZ53" s="14" t="s">
        <v>99</v>
      </c>
      <c r="BA53" s="14" t="s">
        <v>99</v>
      </c>
      <c r="BB53" s="14">
        <v>73.0</v>
      </c>
      <c r="BC53" s="14">
        <v>88.0</v>
      </c>
      <c r="BD53" s="14" t="s">
        <v>99</v>
      </c>
      <c r="BE53" s="14" t="s">
        <v>1310</v>
      </c>
      <c r="BF53" s="15" t="str">
        <f>HYPERLINK("http://dx.doi.org/10.1016/j.scitotenv.2017.02.210","http://dx.doi.org/10.1016/j.scitotenv.2017.02.210")</f>
        <v>http://dx.doi.org/10.1016/j.scitotenv.2017.02.210</v>
      </c>
      <c r="BG53" s="14" t="s">
        <v>99</v>
      </c>
      <c r="BH53" s="14" t="s">
        <v>99</v>
      </c>
      <c r="BI53" s="14">
        <v>16.0</v>
      </c>
      <c r="BJ53" s="14" t="s">
        <v>1041</v>
      </c>
      <c r="BK53" s="14" t="s">
        <v>122</v>
      </c>
      <c r="BL53" s="14" t="s">
        <v>260</v>
      </c>
      <c r="BM53" s="14" t="s">
        <v>1311</v>
      </c>
      <c r="BN53" s="14">
        <v>2.8264774E7</v>
      </c>
      <c r="BO53" s="14" t="s">
        <v>99</v>
      </c>
      <c r="BP53" s="14" t="s">
        <v>99</v>
      </c>
      <c r="BQ53" s="14" t="s">
        <v>99</v>
      </c>
      <c r="BR53" s="14" t="s">
        <v>124</v>
      </c>
      <c r="BS53" s="14" t="s">
        <v>1312</v>
      </c>
      <c r="BT53" s="14" t="str">
        <f>HYPERLINK("https%3A%2F%2Fwww.webofscience.com%2Fwos%2Fwoscc%2Ffull-record%2FWOS:000399848100008","View Full Record in Web of Science")</f>
        <v>View Full Record in Web of Science</v>
      </c>
    </row>
    <row r="54" ht="12.75" customHeight="1">
      <c r="A54" s="14" t="s">
        <v>97</v>
      </c>
      <c r="B54" s="14" t="s">
        <v>1313</v>
      </c>
      <c r="C54" s="14" t="s">
        <v>99</v>
      </c>
      <c r="D54" s="14" t="s">
        <v>99</v>
      </c>
      <c r="E54" s="14" t="s">
        <v>99</v>
      </c>
      <c r="F54" s="14" t="s">
        <v>1314</v>
      </c>
      <c r="G54" s="14" t="s">
        <v>99</v>
      </c>
      <c r="H54" s="14" t="s">
        <v>99</v>
      </c>
      <c r="I54" s="14" t="s">
        <v>1315</v>
      </c>
      <c r="J54" s="14" t="s">
        <v>997</v>
      </c>
      <c r="K54" s="14" t="s">
        <v>99</v>
      </c>
      <c r="L54" s="14" t="s">
        <v>99</v>
      </c>
      <c r="M54" s="14" t="s">
        <v>103</v>
      </c>
      <c r="N54" s="14" t="s">
        <v>104</v>
      </c>
      <c r="O54" s="14" t="s">
        <v>99</v>
      </c>
      <c r="P54" s="14" t="s">
        <v>99</v>
      </c>
      <c r="Q54" s="14" t="s">
        <v>99</v>
      </c>
      <c r="R54" s="14" t="s">
        <v>99</v>
      </c>
      <c r="S54" s="14" t="s">
        <v>99</v>
      </c>
      <c r="T54" s="14" t="s">
        <v>99</v>
      </c>
      <c r="U54" s="14" t="s">
        <v>1316</v>
      </c>
      <c r="V54" s="14" t="s">
        <v>1317</v>
      </c>
      <c r="W54" s="14" t="s">
        <v>1318</v>
      </c>
      <c r="X54" s="14" t="s">
        <v>1319</v>
      </c>
      <c r="Y54" s="14" t="s">
        <v>1320</v>
      </c>
      <c r="Z54" s="14" t="s">
        <v>1321</v>
      </c>
      <c r="AA54" s="14" t="s">
        <v>1322</v>
      </c>
      <c r="AB54" s="14" t="s">
        <v>1323</v>
      </c>
      <c r="AC54" s="14" t="s">
        <v>1324</v>
      </c>
      <c r="AD54" s="14" t="s">
        <v>1324</v>
      </c>
      <c r="AE54" s="14" t="s">
        <v>1325</v>
      </c>
      <c r="AF54" s="14" t="s">
        <v>99</v>
      </c>
      <c r="AG54" s="14">
        <v>44.0</v>
      </c>
      <c r="AH54" s="14">
        <v>2775.0</v>
      </c>
      <c r="AI54" s="14">
        <v>3185.0</v>
      </c>
      <c r="AJ54" s="14">
        <v>88.0</v>
      </c>
      <c r="AK54" s="14">
        <v>1760.0</v>
      </c>
      <c r="AL54" s="14" t="s">
        <v>1326</v>
      </c>
      <c r="AM54" s="14" t="s">
        <v>274</v>
      </c>
      <c r="AN54" s="14" t="s">
        <v>1327</v>
      </c>
      <c r="AO54" s="14" t="s">
        <v>1009</v>
      </c>
      <c r="AP54" s="14" t="s">
        <v>99</v>
      </c>
      <c r="AQ54" s="14" t="s">
        <v>99</v>
      </c>
      <c r="AR54" s="14" t="s">
        <v>1010</v>
      </c>
      <c r="AS54" s="14" t="s">
        <v>1011</v>
      </c>
      <c r="AT54" s="14" t="s">
        <v>1328</v>
      </c>
      <c r="AU54" s="14">
        <v>2017.0</v>
      </c>
      <c r="AV54" s="14">
        <v>8.0</v>
      </c>
      <c r="AW54" s="14" t="s">
        <v>99</v>
      </c>
      <c r="AX54" s="14" t="s">
        <v>99</v>
      </c>
      <c r="AY54" s="14" t="s">
        <v>99</v>
      </c>
      <c r="AZ54" s="14" t="s">
        <v>99</v>
      </c>
      <c r="BA54" s="14" t="s">
        <v>99</v>
      </c>
      <c r="BB54" s="14" t="s">
        <v>99</v>
      </c>
      <c r="BC54" s="14" t="s">
        <v>99</v>
      </c>
      <c r="BD54" s="14">
        <v>15611.0</v>
      </c>
      <c r="BE54" s="14" t="s">
        <v>1329</v>
      </c>
      <c r="BF54" s="15" t="str">
        <f>HYPERLINK("http://dx.doi.org/10.1038/ncomms15611","http://dx.doi.org/10.1038/ncomms15611")</f>
        <v>http://dx.doi.org/10.1038/ncomms15611</v>
      </c>
      <c r="BG54" s="14" t="s">
        <v>99</v>
      </c>
      <c r="BH54" s="14" t="s">
        <v>99</v>
      </c>
      <c r="BI54" s="14">
        <v>10.0</v>
      </c>
      <c r="BJ54" s="14" t="s">
        <v>799</v>
      </c>
      <c r="BK54" s="14" t="s">
        <v>122</v>
      </c>
      <c r="BL54" s="14" t="s">
        <v>801</v>
      </c>
      <c r="BM54" s="14" t="s">
        <v>1330</v>
      </c>
      <c r="BN54" s="14">
        <v>2.8589961E7</v>
      </c>
      <c r="BO54" s="14" t="s">
        <v>1251</v>
      </c>
      <c r="BP54" s="14" t="s">
        <v>99</v>
      </c>
      <c r="BQ54" s="14" t="s">
        <v>99</v>
      </c>
      <c r="BR54" s="14" t="s">
        <v>124</v>
      </c>
      <c r="BS54" s="14" t="s">
        <v>1331</v>
      </c>
      <c r="BT54" s="14" t="str">
        <f>HYPERLINK("https%3A%2F%2Fwww.webofscience.com%2Fwos%2Fwoscc%2Ffull-record%2FWOS:000402803800001","View Full Record in Web of Science")</f>
        <v>View Full Record in Web of Science</v>
      </c>
    </row>
    <row r="55" ht="12.75" customHeight="1">
      <c r="A55" s="14" t="s">
        <v>97</v>
      </c>
      <c r="B55" s="14" t="s">
        <v>1332</v>
      </c>
      <c r="C55" s="14" t="s">
        <v>99</v>
      </c>
      <c r="D55" s="14" t="s">
        <v>99</v>
      </c>
      <c r="E55" s="14" t="s">
        <v>99</v>
      </c>
      <c r="F55" s="14" t="s">
        <v>1333</v>
      </c>
      <c r="G55" s="14" t="s">
        <v>99</v>
      </c>
      <c r="H55" s="14" t="s">
        <v>99</v>
      </c>
      <c r="I55" s="14" t="s">
        <v>1334</v>
      </c>
      <c r="J55" s="14" t="s">
        <v>1335</v>
      </c>
      <c r="K55" s="14" t="s">
        <v>99</v>
      </c>
      <c r="L55" s="14" t="s">
        <v>99</v>
      </c>
      <c r="M55" s="14" t="s">
        <v>103</v>
      </c>
      <c r="N55" s="14" t="s">
        <v>104</v>
      </c>
      <c r="O55" s="14" t="s">
        <v>99</v>
      </c>
      <c r="P55" s="14" t="s">
        <v>99</v>
      </c>
      <c r="Q55" s="14" t="s">
        <v>99</v>
      </c>
      <c r="R55" s="14" t="s">
        <v>99</v>
      </c>
      <c r="S55" s="14" t="s">
        <v>99</v>
      </c>
      <c r="T55" s="14" t="s">
        <v>1336</v>
      </c>
      <c r="U55" s="14" t="s">
        <v>1337</v>
      </c>
      <c r="V55" s="14" t="s">
        <v>1338</v>
      </c>
      <c r="W55" s="14" t="s">
        <v>1339</v>
      </c>
      <c r="X55" s="14" t="s">
        <v>1340</v>
      </c>
      <c r="Y55" s="14" t="s">
        <v>1341</v>
      </c>
      <c r="Z55" s="14" t="s">
        <v>1342</v>
      </c>
      <c r="AA55" s="14" t="s">
        <v>99</v>
      </c>
      <c r="AB55" s="14" t="s">
        <v>1343</v>
      </c>
      <c r="AC55" s="14" t="s">
        <v>1344</v>
      </c>
      <c r="AD55" s="14" t="s">
        <v>1345</v>
      </c>
      <c r="AE55" s="14" t="s">
        <v>1346</v>
      </c>
      <c r="AF55" s="14" t="s">
        <v>99</v>
      </c>
      <c r="AG55" s="14">
        <v>69.0</v>
      </c>
      <c r="AH55" s="14">
        <v>72.0</v>
      </c>
      <c r="AI55" s="14">
        <v>80.0</v>
      </c>
      <c r="AJ55" s="14">
        <v>5.0</v>
      </c>
      <c r="AK55" s="14">
        <v>35.0</v>
      </c>
      <c r="AL55" s="14" t="s">
        <v>1347</v>
      </c>
      <c r="AM55" s="14" t="s">
        <v>1348</v>
      </c>
      <c r="AN55" s="14" t="s">
        <v>1349</v>
      </c>
      <c r="AO55" s="14" t="s">
        <v>99</v>
      </c>
      <c r="AP55" s="14" t="s">
        <v>1350</v>
      </c>
      <c r="AQ55" s="14" t="s">
        <v>99</v>
      </c>
      <c r="AR55" s="14" t="s">
        <v>1351</v>
      </c>
      <c r="AS55" s="14" t="s">
        <v>1352</v>
      </c>
      <c r="AT55" s="14" t="s">
        <v>616</v>
      </c>
      <c r="AU55" s="14">
        <v>2017.0</v>
      </c>
      <c r="AV55" s="14">
        <v>9.0</v>
      </c>
      <c r="AW55" s="14">
        <v>6.0</v>
      </c>
      <c r="AX55" s="14" t="s">
        <v>99</v>
      </c>
      <c r="AY55" s="14" t="s">
        <v>99</v>
      </c>
      <c r="AZ55" s="14" t="s">
        <v>99</v>
      </c>
      <c r="BA55" s="14" t="s">
        <v>99</v>
      </c>
      <c r="BB55" s="14" t="s">
        <v>99</v>
      </c>
      <c r="BC55" s="14" t="s">
        <v>99</v>
      </c>
      <c r="BD55" s="14">
        <v>525.0</v>
      </c>
      <c r="BE55" s="14" t="s">
        <v>1353</v>
      </c>
      <c r="BF55" s="15" t="str">
        <f>HYPERLINK("http://dx.doi.org/10.3390/rs9060525","http://dx.doi.org/10.3390/rs9060525")</f>
        <v>http://dx.doi.org/10.3390/rs9060525</v>
      </c>
      <c r="BG55" s="14" t="s">
        <v>99</v>
      </c>
      <c r="BH55" s="14" t="s">
        <v>99</v>
      </c>
      <c r="BI55" s="14">
        <v>20.0</v>
      </c>
      <c r="BJ55" s="14" t="s">
        <v>1354</v>
      </c>
      <c r="BK55" s="14" t="s">
        <v>122</v>
      </c>
      <c r="BL55" s="14" t="s">
        <v>1355</v>
      </c>
      <c r="BM55" s="14" t="s">
        <v>1356</v>
      </c>
      <c r="BN55" s="14" t="s">
        <v>99</v>
      </c>
      <c r="BO55" s="14" t="s">
        <v>1251</v>
      </c>
      <c r="BP55" s="14" t="s">
        <v>99</v>
      </c>
      <c r="BQ55" s="14" t="s">
        <v>99</v>
      </c>
      <c r="BR55" s="14" t="s">
        <v>124</v>
      </c>
      <c r="BS55" s="14" t="s">
        <v>1357</v>
      </c>
      <c r="BT55" s="14" t="str">
        <f>HYPERLINK("https%3A%2F%2Fwww.webofscience.com%2Fwos%2Fwoscc%2Ffull-record%2FWOS:000404623900016","View Full Record in Web of Science")</f>
        <v>View Full Record in Web of Science</v>
      </c>
    </row>
    <row r="56" ht="12.75" customHeight="1">
      <c r="A56" s="14" t="s">
        <v>97</v>
      </c>
      <c r="B56" s="14" t="s">
        <v>1358</v>
      </c>
      <c r="C56" s="14" t="s">
        <v>99</v>
      </c>
      <c r="D56" s="14" t="s">
        <v>99</v>
      </c>
      <c r="E56" s="14" t="s">
        <v>99</v>
      </c>
      <c r="F56" s="14" t="s">
        <v>1359</v>
      </c>
      <c r="G56" s="14" t="s">
        <v>99</v>
      </c>
      <c r="H56" s="14" t="s">
        <v>99</v>
      </c>
      <c r="I56" s="14" t="s">
        <v>1360</v>
      </c>
      <c r="J56" s="14" t="s">
        <v>532</v>
      </c>
      <c r="K56" s="14" t="s">
        <v>99</v>
      </c>
      <c r="L56" s="14" t="s">
        <v>99</v>
      </c>
      <c r="M56" s="14" t="s">
        <v>103</v>
      </c>
      <c r="N56" s="14" t="s">
        <v>104</v>
      </c>
      <c r="O56" s="14" t="s">
        <v>99</v>
      </c>
      <c r="P56" s="14" t="s">
        <v>99</v>
      </c>
      <c r="Q56" s="14" t="s">
        <v>99</v>
      </c>
      <c r="R56" s="14" t="s">
        <v>99</v>
      </c>
      <c r="S56" s="14" t="s">
        <v>99</v>
      </c>
      <c r="T56" s="14" t="s">
        <v>1361</v>
      </c>
      <c r="U56" s="14" t="s">
        <v>1362</v>
      </c>
      <c r="V56" s="14" t="s">
        <v>1363</v>
      </c>
      <c r="W56" s="14" t="s">
        <v>1364</v>
      </c>
      <c r="X56" s="14" t="s">
        <v>1365</v>
      </c>
      <c r="Y56" s="14" t="s">
        <v>1366</v>
      </c>
      <c r="Z56" s="14" t="s">
        <v>1367</v>
      </c>
      <c r="AA56" s="14" t="s">
        <v>1368</v>
      </c>
      <c r="AB56" s="14" t="s">
        <v>1369</v>
      </c>
      <c r="AC56" s="14" t="s">
        <v>99</v>
      </c>
      <c r="AD56" s="14" t="s">
        <v>99</v>
      </c>
      <c r="AE56" s="14" t="s">
        <v>99</v>
      </c>
      <c r="AF56" s="14" t="s">
        <v>99</v>
      </c>
      <c r="AG56" s="14">
        <v>50.0</v>
      </c>
      <c r="AH56" s="14">
        <v>64.0</v>
      </c>
      <c r="AI56" s="14">
        <v>75.0</v>
      </c>
      <c r="AJ56" s="14">
        <v>2.0</v>
      </c>
      <c r="AK56" s="14">
        <v>99.0</v>
      </c>
      <c r="AL56" s="14" t="s">
        <v>341</v>
      </c>
      <c r="AM56" s="14" t="s">
        <v>342</v>
      </c>
      <c r="AN56" s="14" t="s">
        <v>343</v>
      </c>
      <c r="AO56" s="14" t="s">
        <v>545</v>
      </c>
      <c r="AP56" s="14" t="s">
        <v>546</v>
      </c>
      <c r="AQ56" s="14" t="s">
        <v>99</v>
      </c>
      <c r="AR56" s="14" t="s">
        <v>547</v>
      </c>
      <c r="AS56" s="14" t="s">
        <v>548</v>
      </c>
      <c r="AT56" s="14" t="s">
        <v>616</v>
      </c>
      <c r="AU56" s="14">
        <v>2017.0</v>
      </c>
      <c r="AV56" s="14">
        <v>54.0</v>
      </c>
      <c r="AW56" s="14">
        <v>3.0</v>
      </c>
      <c r="AX56" s="14" t="s">
        <v>99</v>
      </c>
      <c r="AY56" s="14" t="s">
        <v>99</v>
      </c>
      <c r="AZ56" s="14" t="s">
        <v>99</v>
      </c>
      <c r="BA56" s="14" t="s">
        <v>99</v>
      </c>
      <c r="BB56" s="14">
        <v>805.0</v>
      </c>
      <c r="BC56" s="14">
        <v>814.0</v>
      </c>
      <c r="BD56" s="14" t="s">
        <v>99</v>
      </c>
      <c r="BE56" s="14" t="s">
        <v>1370</v>
      </c>
      <c r="BF56" s="15" t="str">
        <f>HYPERLINK("http://dx.doi.org/10.1111/1365-2664.12798","http://dx.doi.org/10.1111/1365-2664.12798")</f>
        <v>http://dx.doi.org/10.1111/1365-2664.12798</v>
      </c>
      <c r="BG56" s="14" t="s">
        <v>99</v>
      </c>
      <c r="BH56" s="14" t="s">
        <v>99</v>
      </c>
      <c r="BI56" s="14">
        <v>10.0</v>
      </c>
      <c r="BJ56" s="14" t="s">
        <v>550</v>
      </c>
      <c r="BK56" s="14" t="s">
        <v>122</v>
      </c>
      <c r="BL56" s="14" t="s">
        <v>352</v>
      </c>
      <c r="BM56" s="14" t="s">
        <v>1371</v>
      </c>
      <c r="BN56" s="14" t="s">
        <v>99</v>
      </c>
      <c r="BO56" s="14" t="s">
        <v>373</v>
      </c>
      <c r="BP56" s="14" t="s">
        <v>99</v>
      </c>
      <c r="BQ56" s="14" t="s">
        <v>99</v>
      </c>
      <c r="BR56" s="14" t="s">
        <v>124</v>
      </c>
      <c r="BS56" s="14" t="s">
        <v>1372</v>
      </c>
      <c r="BT56" s="14" t="str">
        <f>HYPERLINK("https%3A%2F%2Fwww.webofscience.com%2Fwos%2Fwoscc%2Ffull-record%2FWOS:000401239100014","View Full Record in Web of Science")</f>
        <v>View Full Record in Web of Science</v>
      </c>
    </row>
    <row r="57" ht="12.75" customHeight="1">
      <c r="A57" s="14" t="s">
        <v>97</v>
      </c>
      <c r="B57" s="14" t="s">
        <v>1373</v>
      </c>
      <c r="C57" s="14" t="s">
        <v>99</v>
      </c>
      <c r="D57" s="14" t="s">
        <v>99</v>
      </c>
      <c r="E57" s="14" t="s">
        <v>99</v>
      </c>
      <c r="F57" s="14" t="s">
        <v>1374</v>
      </c>
      <c r="G57" s="14" t="s">
        <v>99</v>
      </c>
      <c r="H57" s="14" t="s">
        <v>99</v>
      </c>
      <c r="I57" s="14" t="s">
        <v>1375</v>
      </c>
      <c r="J57" s="14" t="s">
        <v>1376</v>
      </c>
      <c r="K57" s="14" t="s">
        <v>99</v>
      </c>
      <c r="L57" s="14" t="s">
        <v>99</v>
      </c>
      <c r="M57" s="14" t="s">
        <v>103</v>
      </c>
      <c r="N57" s="14" t="s">
        <v>104</v>
      </c>
      <c r="O57" s="14" t="s">
        <v>99</v>
      </c>
      <c r="P57" s="14" t="s">
        <v>99</v>
      </c>
      <c r="Q57" s="14" t="s">
        <v>99</v>
      </c>
      <c r="R57" s="14" t="s">
        <v>99</v>
      </c>
      <c r="S57" s="14" t="s">
        <v>99</v>
      </c>
      <c r="T57" s="14" t="s">
        <v>99</v>
      </c>
      <c r="U57" s="14" t="s">
        <v>1377</v>
      </c>
      <c r="V57" s="14" t="s">
        <v>1378</v>
      </c>
      <c r="W57" s="14" t="s">
        <v>1379</v>
      </c>
      <c r="X57" s="14" t="s">
        <v>1380</v>
      </c>
      <c r="Y57" s="14" t="s">
        <v>1381</v>
      </c>
      <c r="Z57" s="14" t="s">
        <v>1382</v>
      </c>
      <c r="AA57" s="14" t="s">
        <v>1383</v>
      </c>
      <c r="AB57" s="14" t="s">
        <v>1384</v>
      </c>
      <c r="AC57" s="14" t="s">
        <v>1385</v>
      </c>
      <c r="AD57" s="14" t="s">
        <v>1386</v>
      </c>
      <c r="AE57" s="14" t="s">
        <v>1387</v>
      </c>
      <c r="AF57" s="14" t="s">
        <v>99</v>
      </c>
      <c r="AG57" s="14">
        <v>59.0</v>
      </c>
      <c r="AH57" s="14">
        <v>48.0</v>
      </c>
      <c r="AI57" s="14">
        <v>52.0</v>
      </c>
      <c r="AJ57" s="14">
        <v>0.0</v>
      </c>
      <c r="AK57" s="14">
        <v>62.0</v>
      </c>
      <c r="AL57" s="14" t="s">
        <v>1388</v>
      </c>
      <c r="AM57" s="14" t="s">
        <v>1389</v>
      </c>
      <c r="AN57" s="14" t="s">
        <v>1390</v>
      </c>
      <c r="AO57" s="14" t="s">
        <v>1391</v>
      </c>
      <c r="AP57" s="14" t="s">
        <v>1392</v>
      </c>
      <c r="AQ57" s="14" t="s">
        <v>99</v>
      </c>
      <c r="AR57" s="14" t="s">
        <v>1376</v>
      </c>
      <c r="AS57" s="14" t="s">
        <v>1393</v>
      </c>
      <c r="AT57" s="14" t="s">
        <v>1394</v>
      </c>
      <c r="AU57" s="14">
        <v>2017.0</v>
      </c>
      <c r="AV57" s="14">
        <v>14.0</v>
      </c>
      <c r="AW57" s="14">
        <v>9.0</v>
      </c>
      <c r="AX57" s="14" t="s">
        <v>99</v>
      </c>
      <c r="AY57" s="14" t="s">
        <v>99</v>
      </c>
      <c r="AZ57" s="14" t="s">
        <v>99</v>
      </c>
      <c r="BA57" s="14" t="s">
        <v>99</v>
      </c>
      <c r="BB57" s="14">
        <v>2387.0</v>
      </c>
      <c r="BC57" s="14">
        <v>2405.0</v>
      </c>
      <c r="BD57" s="14" t="s">
        <v>99</v>
      </c>
      <c r="BE57" s="14" t="s">
        <v>1395</v>
      </c>
      <c r="BF57" s="15" t="str">
        <f>HYPERLINK("http://dx.doi.org/10.5194/bg-14-2387-2017","http://dx.doi.org/10.5194/bg-14-2387-2017")</f>
        <v>http://dx.doi.org/10.5194/bg-14-2387-2017</v>
      </c>
      <c r="BG57" s="14" t="s">
        <v>99</v>
      </c>
      <c r="BH57" s="14" t="s">
        <v>99</v>
      </c>
      <c r="BI57" s="14">
        <v>19.0</v>
      </c>
      <c r="BJ57" s="14" t="s">
        <v>1396</v>
      </c>
      <c r="BK57" s="14" t="s">
        <v>122</v>
      </c>
      <c r="BL57" s="14" t="s">
        <v>1397</v>
      </c>
      <c r="BM57" s="14" t="s">
        <v>1398</v>
      </c>
      <c r="BN57" s="14" t="s">
        <v>99</v>
      </c>
      <c r="BO57" s="14" t="s">
        <v>1251</v>
      </c>
      <c r="BP57" s="14" t="s">
        <v>99</v>
      </c>
      <c r="BQ57" s="14" t="s">
        <v>99</v>
      </c>
      <c r="BR57" s="14" t="s">
        <v>124</v>
      </c>
      <c r="BS57" s="14" t="s">
        <v>1399</v>
      </c>
      <c r="BT57" s="14" t="str">
        <f>HYPERLINK("https%3A%2F%2Fwww.webofscience.com%2Fwos%2Fwoscc%2Ffull-record%2FWOS:000401104900001","View Full Record in Web of Science")</f>
        <v>View Full Record in Web of Science</v>
      </c>
    </row>
    <row r="58" ht="12.75" customHeight="1">
      <c r="A58" s="14" t="s">
        <v>97</v>
      </c>
      <c r="B58" s="14" t="s">
        <v>1400</v>
      </c>
      <c r="C58" s="14" t="s">
        <v>99</v>
      </c>
      <c r="D58" s="14" t="s">
        <v>99</v>
      </c>
      <c r="E58" s="14" t="s">
        <v>99</v>
      </c>
      <c r="F58" s="14" t="s">
        <v>1401</v>
      </c>
      <c r="G58" s="14" t="s">
        <v>99</v>
      </c>
      <c r="H58" s="14" t="s">
        <v>99</v>
      </c>
      <c r="I58" s="14" t="s">
        <v>1402</v>
      </c>
      <c r="J58" s="14" t="s">
        <v>776</v>
      </c>
      <c r="K58" s="14" t="s">
        <v>99</v>
      </c>
      <c r="L58" s="14" t="s">
        <v>99</v>
      </c>
      <c r="M58" s="14" t="s">
        <v>103</v>
      </c>
      <c r="N58" s="14" t="s">
        <v>104</v>
      </c>
      <c r="O58" s="14" t="s">
        <v>99</v>
      </c>
      <c r="P58" s="14" t="s">
        <v>99</v>
      </c>
      <c r="Q58" s="14" t="s">
        <v>99</v>
      </c>
      <c r="R58" s="14" t="s">
        <v>99</v>
      </c>
      <c r="S58" s="14" t="s">
        <v>99</v>
      </c>
      <c r="T58" s="14" t="s">
        <v>1403</v>
      </c>
      <c r="U58" s="14" t="s">
        <v>1404</v>
      </c>
      <c r="V58" s="14" t="s">
        <v>1405</v>
      </c>
      <c r="W58" s="14" t="s">
        <v>1406</v>
      </c>
      <c r="X58" s="14" t="s">
        <v>1407</v>
      </c>
      <c r="Y58" s="14" t="s">
        <v>1408</v>
      </c>
      <c r="Z58" s="14" t="s">
        <v>1409</v>
      </c>
      <c r="AA58" s="14" t="s">
        <v>1410</v>
      </c>
      <c r="AB58" s="14" t="s">
        <v>1411</v>
      </c>
      <c r="AC58" s="14" t="s">
        <v>1412</v>
      </c>
      <c r="AD58" s="14" t="s">
        <v>1413</v>
      </c>
      <c r="AE58" s="14" t="s">
        <v>1414</v>
      </c>
      <c r="AF58" s="14" t="s">
        <v>99</v>
      </c>
      <c r="AG58" s="14">
        <v>71.0</v>
      </c>
      <c r="AH58" s="14">
        <v>227.0</v>
      </c>
      <c r="AI58" s="14">
        <v>258.0</v>
      </c>
      <c r="AJ58" s="14">
        <v>2.0</v>
      </c>
      <c r="AK58" s="14">
        <v>343.0</v>
      </c>
      <c r="AL58" s="14" t="s">
        <v>788</v>
      </c>
      <c r="AM58" s="14" t="s">
        <v>789</v>
      </c>
      <c r="AN58" s="14" t="s">
        <v>790</v>
      </c>
      <c r="AO58" s="14" t="s">
        <v>791</v>
      </c>
      <c r="AP58" s="14" t="s">
        <v>99</v>
      </c>
      <c r="AQ58" s="14" t="s">
        <v>99</v>
      </c>
      <c r="AR58" s="14" t="s">
        <v>793</v>
      </c>
      <c r="AS58" s="14" t="s">
        <v>794</v>
      </c>
      <c r="AT58" s="14" t="s">
        <v>1415</v>
      </c>
      <c r="AU58" s="14">
        <v>2017.0</v>
      </c>
      <c r="AV58" s="14">
        <v>114.0</v>
      </c>
      <c r="AW58" s="14">
        <v>14.0</v>
      </c>
      <c r="AX58" s="14" t="s">
        <v>99</v>
      </c>
      <c r="AY58" s="14" t="s">
        <v>99</v>
      </c>
      <c r="AZ58" s="14" t="s">
        <v>99</v>
      </c>
      <c r="BA58" s="14" t="s">
        <v>99</v>
      </c>
      <c r="BB58" s="14">
        <v>3660.0</v>
      </c>
      <c r="BC58" s="14">
        <v>3665.0</v>
      </c>
      <c r="BD58" s="14" t="s">
        <v>99</v>
      </c>
      <c r="BE58" s="14" t="s">
        <v>1416</v>
      </c>
      <c r="BF58" s="15" t="str">
        <f>HYPERLINK("http://dx.doi.org/10.1073/pnas.1621517114","http://dx.doi.org/10.1073/pnas.1621517114")</f>
        <v>http://dx.doi.org/10.1073/pnas.1621517114</v>
      </c>
      <c r="BG58" s="14" t="s">
        <v>99</v>
      </c>
      <c r="BH58" s="14" t="s">
        <v>99</v>
      </c>
      <c r="BI58" s="14">
        <v>6.0</v>
      </c>
      <c r="BJ58" s="14" t="s">
        <v>799</v>
      </c>
      <c r="BK58" s="14" t="s">
        <v>122</v>
      </c>
      <c r="BL58" s="14" t="s">
        <v>801</v>
      </c>
      <c r="BM58" s="14" t="s">
        <v>1417</v>
      </c>
      <c r="BN58" s="14">
        <v>2.8320966E7</v>
      </c>
      <c r="BO58" s="14" t="s">
        <v>373</v>
      </c>
      <c r="BP58" s="14" t="s">
        <v>99</v>
      </c>
      <c r="BQ58" s="14" t="s">
        <v>99</v>
      </c>
      <c r="BR58" s="14" t="s">
        <v>124</v>
      </c>
      <c r="BS58" s="14" t="s">
        <v>1418</v>
      </c>
      <c r="BT58" s="14" t="str">
        <f>HYPERLINK("https%3A%2F%2Fwww.webofscience.com%2Fwos%2Fwoscc%2Ffull-record%2FWOS:000398159000048","View Full Record in Web of Science")</f>
        <v>View Full Record in Web of Science</v>
      </c>
    </row>
    <row r="59" ht="12.75" customHeight="1">
      <c r="A59" s="14" t="s">
        <v>97</v>
      </c>
      <c r="B59" s="14" t="s">
        <v>1419</v>
      </c>
      <c r="C59" s="14" t="s">
        <v>99</v>
      </c>
      <c r="D59" s="14" t="s">
        <v>99</v>
      </c>
      <c r="E59" s="14" t="s">
        <v>99</v>
      </c>
      <c r="F59" s="14" t="s">
        <v>1420</v>
      </c>
      <c r="G59" s="14" t="s">
        <v>99</v>
      </c>
      <c r="H59" s="14" t="s">
        <v>99</v>
      </c>
      <c r="I59" s="14" t="s">
        <v>1421</v>
      </c>
      <c r="J59" s="14" t="s">
        <v>1422</v>
      </c>
      <c r="K59" s="14" t="s">
        <v>99</v>
      </c>
      <c r="L59" s="14" t="s">
        <v>99</v>
      </c>
      <c r="M59" s="14" t="s">
        <v>103</v>
      </c>
      <c r="N59" s="14" t="s">
        <v>104</v>
      </c>
      <c r="O59" s="14" t="s">
        <v>99</v>
      </c>
      <c r="P59" s="14" t="s">
        <v>99</v>
      </c>
      <c r="Q59" s="14" t="s">
        <v>99</v>
      </c>
      <c r="R59" s="14" t="s">
        <v>99</v>
      </c>
      <c r="S59" s="14" t="s">
        <v>99</v>
      </c>
      <c r="T59" s="14" t="s">
        <v>99</v>
      </c>
      <c r="U59" s="14" t="s">
        <v>1423</v>
      </c>
      <c r="V59" s="14" t="s">
        <v>1424</v>
      </c>
      <c r="W59" s="14" t="s">
        <v>1425</v>
      </c>
      <c r="X59" s="14" t="s">
        <v>1426</v>
      </c>
      <c r="Y59" s="14" t="s">
        <v>1427</v>
      </c>
      <c r="Z59" s="14" t="s">
        <v>1428</v>
      </c>
      <c r="AA59" s="14" t="s">
        <v>1429</v>
      </c>
      <c r="AB59" s="14" t="s">
        <v>1430</v>
      </c>
      <c r="AC59" s="14" t="s">
        <v>99</v>
      </c>
      <c r="AD59" s="14" t="s">
        <v>99</v>
      </c>
      <c r="AE59" s="14" t="s">
        <v>99</v>
      </c>
      <c r="AF59" s="14" t="s">
        <v>99</v>
      </c>
      <c r="AG59" s="14">
        <v>52.0</v>
      </c>
      <c r="AH59" s="14">
        <v>145.0</v>
      </c>
      <c r="AI59" s="14">
        <v>154.0</v>
      </c>
      <c r="AJ59" s="14">
        <v>8.0</v>
      </c>
      <c r="AK59" s="14">
        <v>197.0</v>
      </c>
      <c r="AL59" s="14" t="s">
        <v>1431</v>
      </c>
      <c r="AM59" s="14" t="s">
        <v>789</v>
      </c>
      <c r="AN59" s="14" t="s">
        <v>1432</v>
      </c>
      <c r="AO59" s="14" t="s">
        <v>1433</v>
      </c>
      <c r="AP59" s="14" t="s">
        <v>1434</v>
      </c>
      <c r="AQ59" s="14" t="s">
        <v>99</v>
      </c>
      <c r="AR59" s="14" t="s">
        <v>1435</v>
      </c>
      <c r="AS59" s="14" t="s">
        <v>1436</v>
      </c>
      <c r="AT59" s="14" t="s">
        <v>1437</v>
      </c>
      <c r="AU59" s="14">
        <v>2017.0</v>
      </c>
      <c r="AV59" s="14">
        <v>51.0</v>
      </c>
      <c r="AW59" s="14">
        <v>6.0</v>
      </c>
      <c r="AX59" s="14" t="s">
        <v>99</v>
      </c>
      <c r="AY59" s="14" t="s">
        <v>99</v>
      </c>
      <c r="AZ59" s="14" t="s">
        <v>99</v>
      </c>
      <c r="BA59" s="14" t="s">
        <v>99</v>
      </c>
      <c r="BB59" s="14">
        <v>3298.0</v>
      </c>
      <c r="BC59" s="14">
        <v>3306.0</v>
      </c>
      <c r="BD59" s="14" t="s">
        <v>99</v>
      </c>
      <c r="BE59" s="14" t="s">
        <v>1438</v>
      </c>
      <c r="BF59" s="15" t="str">
        <f>HYPERLINK("http://dx.doi.org/10.1021/acs.est.6b05296","http://dx.doi.org/10.1021/acs.est.6b05296")</f>
        <v>http://dx.doi.org/10.1021/acs.est.6b05296</v>
      </c>
      <c r="BG59" s="14" t="s">
        <v>99</v>
      </c>
      <c r="BH59" s="14" t="s">
        <v>99</v>
      </c>
      <c r="BI59" s="14">
        <v>9.0</v>
      </c>
      <c r="BJ59" s="14" t="s">
        <v>1439</v>
      </c>
      <c r="BK59" s="14" t="s">
        <v>800</v>
      </c>
      <c r="BL59" s="14" t="s">
        <v>1440</v>
      </c>
      <c r="BM59" s="14" t="s">
        <v>1441</v>
      </c>
      <c r="BN59" s="14">
        <v>2.8072521E7</v>
      </c>
      <c r="BO59" s="14" t="s">
        <v>99</v>
      </c>
      <c r="BP59" s="14" t="s">
        <v>99</v>
      </c>
      <c r="BQ59" s="14" t="s">
        <v>99</v>
      </c>
      <c r="BR59" s="14" t="s">
        <v>124</v>
      </c>
      <c r="BS59" s="14" t="s">
        <v>1442</v>
      </c>
      <c r="BT59" s="14" t="str">
        <f>HYPERLINK("https%3A%2F%2Fwww.webofscience.com%2Fwos%2Fwoscc%2Ffull-record%2FWOS:000397477900021","View Full Record in Web of Science")</f>
        <v>View Full Record in Web of Science</v>
      </c>
    </row>
    <row r="60" ht="12.75" customHeight="1">
      <c r="A60" s="14" t="s">
        <v>97</v>
      </c>
      <c r="B60" s="14" t="s">
        <v>1443</v>
      </c>
      <c r="C60" s="14" t="s">
        <v>99</v>
      </c>
      <c r="D60" s="14" t="s">
        <v>99</v>
      </c>
      <c r="E60" s="14" t="s">
        <v>99</v>
      </c>
      <c r="F60" s="14" t="s">
        <v>1444</v>
      </c>
      <c r="G60" s="14" t="s">
        <v>99</v>
      </c>
      <c r="H60" s="14" t="s">
        <v>99</v>
      </c>
      <c r="I60" s="14" t="s">
        <v>1445</v>
      </c>
      <c r="J60" s="14" t="s">
        <v>1446</v>
      </c>
      <c r="K60" s="14" t="s">
        <v>99</v>
      </c>
      <c r="L60" s="14" t="s">
        <v>99</v>
      </c>
      <c r="M60" s="14" t="s">
        <v>103</v>
      </c>
      <c r="N60" s="14" t="s">
        <v>104</v>
      </c>
      <c r="O60" s="14" t="s">
        <v>99</v>
      </c>
      <c r="P60" s="14" t="s">
        <v>99</v>
      </c>
      <c r="Q60" s="14" t="s">
        <v>99</v>
      </c>
      <c r="R60" s="14" t="s">
        <v>99</v>
      </c>
      <c r="S60" s="14" t="s">
        <v>99</v>
      </c>
      <c r="T60" s="14" t="s">
        <v>1447</v>
      </c>
      <c r="U60" s="14" t="s">
        <v>1448</v>
      </c>
      <c r="V60" s="14" t="s">
        <v>1449</v>
      </c>
      <c r="W60" s="14" t="s">
        <v>1450</v>
      </c>
      <c r="X60" s="14" t="s">
        <v>1451</v>
      </c>
      <c r="Y60" s="14" t="s">
        <v>1452</v>
      </c>
      <c r="Z60" s="14" t="s">
        <v>1453</v>
      </c>
      <c r="AA60" s="14" t="s">
        <v>1454</v>
      </c>
      <c r="AB60" s="14" t="s">
        <v>1455</v>
      </c>
      <c r="AC60" s="14" t="s">
        <v>1456</v>
      </c>
      <c r="AD60" s="14" t="s">
        <v>1457</v>
      </c>
      <c r="AE60" s="14" t="s">
        <v>1458</v>
      </c>
      <c r="AF60" s="14" t="s">
        <v>99</v>
      </c>
      <c r="AG60" s="14">
        <v>25.0</v>
      </c>
      <c r="AH60" s="14">
        <v>67.0</v>
      </c>
      <c r="AI60" s="14">
        <v>79.0</v>
      </c>
      <c r="AJ60" s="14">
        <v>3.0</v>
      </c>
      <c r="AK60" s="14">
        <v>68.0</v>
      </c>
      <c r="AL60" s="14" t="s">
        <v>341</v>
      </c>
      <c r="AM60" s="14" t="s">
        <v>342</v>
      </c>
      <c r="AN60" s="14" t="s">
        <v>343</v>
      </c>
      <c r="AO60" s="14" t="s">
        <v>1459</v>
      </c>
      <c r="AP60" s="14" t="s">
        <v>99</v>
      </c>
      <c r="AQ60" s="14" t="s">
        <v>99</v>
      </c>
      <c r="AR60" s="14" t="s">
        <v>1460</v>
      </c>
      <c r="AS60" s="14" t="s">
        <v>1461</v>
      </c>
      <c r="AT60" s="14" t="s">
        <v>1462</v>
      </c>
      <c r="AU60" s="14">
        <v>2017.0</v>
      </c>
      <c r="AV60" s="14">
        <v>10.0</v>
      </c>
      <c r="AW60" s="14">
        <v>2.0</v>
      </c>
      <c r="AX60" s="14" t="s">
        <v>99</v>
      </c>
      <c r="AY60" s="14" t="s">
        <v>99</v>
      </c>
      <c r="AZ60" s="14" t="s">
        <v>99</v>
      </c>
      <c r="BA60" s="14" t="s">
        <v>99</v>
      </c>
      <c r="BB60" s="14">
        <v>186.0</v>
      </c>
      <c r="BC60" s="14">
        <v>194.0</v>
      </c>
      <c r="BD60" s="14" t="s">
        <v>99</v>
      </c>
      <c r="BE60" s="14" t="s">
        <v>1463</v>
      </c>
      <c r="BF60" s="15" t="str">
        <f>HYPERLINK("http://dx.doi.org/10.1111/conl.12258","http://dx.doi.org/10.1111/conl.12258")</f>
        <v>http://dx.doi.org/10.1111/conl.12258</v>
      </c>
      <c r="BG60" s="14" t="s">
        <v>99</v>
      </c>
      <c r="BH60" s="14" t="s">
        <v>99</v>
      </c>
      <c r="BI60" s="14">
        <v>9.0</v>
      </c>
      <c r="BJ60" s="14" t="s">
        <v>693</v>
      </c>
      <c r="BK60" s="14" t="s">
        <v>122</v>
      </c>
      <c r="BL60" s="14" t="s">
        <v>694</v>
      </c>
      <c r="BM60" s="14" t="s">
        <v>1464</v>
      </c>
      <c r="BN60" s="14" t="s">
        <v>99</v>
      </c>
      <c r="BO60" s="14" t="s">
        <v>576</v>
      </c>
      <c r="BP60" s="14" t="s">
        <v>99</v>
      </c>
      <c r="BQ60" s="14" t="s">
        <v>99</v>
      </c>
      <c r="BR60" s="14" t="s">
        <v>124</v>
      </c>
      <c r="BS60" s="14" t="s">
        <v>1465</v>
      </c>
      <c r="BT60" s="14" t="str">
        <f>HYPERLINK("https%3A%2F%2Fwww.webofscience.com%2Fwos%2Fwoscc%2Ffull-record%2FWOS:000398563500003","View Full Record in Web of Science")</f>
        <v>View Full Record in Web of Science</v>
      </c>
    </row>
    <row r="61" ht="12.75" customHeight="1">
      <c r="A61" s="14" t="s">
        <v>97</v>
      </c>
      <c r="B61" s="14" t="s">
        <v>1466</v>
      </c>
      <c r="C61" s="14" t="s">
        <v>99</v>
      </c>
      <c r="D61" s="14" t="s">
        <v>99</v>
      </c>
      <c r="E61" s="14" t="s">
        <v>99</v>
      </c>
      <c r="F61" s="14" t="s">
        <v>1467</v>
      </c>
      <c r="G61" s="14" t="s">
        <v>99</v>
      </c>
      <c r="H61" s="14" t="s">
        <v>99</v>
      </c>
      <c r="I61" s="14" t="s">
        <v>1468</v>
      </c>
      <c r="J61" s="14" t="s">
        <v>1469</v>
      </c>
      <c r="K61" s="14" t="s">
        <v>99</v>
      </c>
      <c r="L61" s="14" t="s">
        <v>99</v>
      </c>
      <c r="M61" s="14" t="s">
        <v>103</v>
      </c>
      <c r="N61" s="14" t="s">
        <v>104</v>
      </c>
      <c r="O61" s="14" t="s">
        <v>99</v>
      </c>
      <c r="P61" s="14" t="s">
        <v>99</v>
      </c>
      <c r="Q61" s="14" t="s">
        <v>99</v>
      </c>
      <c r="R61" s="14" t="s">
        <v>99</v>
      </c>
      <c r="S61" s="14" t="s">
        <v>99</v>
      </c>
      <c r="T61" s="14" t="s">
        <v>1470</v>
      </c>
      <c r="U61" s="14" t="s">
        <v>1471</v>
      </c>
      <c r="V61" s="14" t="s">
        <v>1472</v>
      </c>
      <c r="W61" s="14" t="s">
        <v>1473</v>
      </c>
      <c r="X61" s="14" t="s">
        <v>1474</v>
      </c>
      <c r="Y61" s="14" t="s">
        <v>1475</v>
      </c>
      <c r="Z61" s="14" t="s">
        <v>1476</v>
      </c>
      <c r="AA61" s="14" t="s">
        <v>1477</v>
      </c>
      <c r="AB61" s="14" t="s">
        <v>1478</v>
      </c>
      <c r="AC61" s="14" t="s">
        <v>1479</v>
      </c>
      <c r="AD61" s="14" t="s">
        <v>1480</v>
      </c>
      <c r="AE61" s="14" t="s">
        <v>1481</v>
      </c>
      <c r="AF61" s="14" t="s">
        <v>99</v>
      </c>
      <c r="AG61" s="14">
        <v>44.0</v>
      </c>
      <c r="AH61" s="14">
        <v>169.0</v>
      </c>
      <c r="AI61" s="14">
        <v>202.0</v>
      </c>
      <c r="AJ61" s="14">
        <v>13.0</v>
      </c>
      <c r="AK61" s="14">
        <v>338.0</v>
      </c>
      <c r="AL61" s="14" t="s">
        <v>441</v>
      </c>
      <c r="AM61" s="14" t="s">
        <v>442</v>
      </c>
      <c r="AN61" s="14" t="s">
        <v>443</v>
      </c>
      <c r="AO61" s="14" t="s">
        <v>1482</v>
      </c>
      <c r="AP61" s="14" t="s">
        <v>1483</v>
      </c>
      <c r="AQ61" s="14" t="s">
        <v>99</v>
      </c>
      <c r="AR61" s="14" t="s">
        <v>1469</v>
      </c>
      <c r="AS61" s="14" t="s">
        <v>1484</v>
      </c>
      <c r="AT61" s="14" t="s">
        <v>1485</v>
      </c>
      <c r="AU61" s="14">
        <v>2017.0</v>
      </c>
      <c r="AV61" s="14">
        <v>150.0</v>
      </c>
      <c r="AW61" s="14" t="s">
        <v>99</v>
      </c>
      <c r="AX61" s="14" t="s">
        <v>99</v>
      </c>
      <c r="AY61" s="14" t="s">
        <v>99</v>
      </c>
      <c r="AZ61" s="14" t="s">
        <v>99</v>
      </c>
      <c r="BA61" s="14" t="s">
        <v>99</v>
      </c>
      <c r="BB61" s="14">
        <v>100.0</v>
      </c>
      <c r="BC61" s="14">
        <v>107.0</v>
      </c>
      <c r="BD61" s="14" t="s">
        <v>99</v>
      </c>
      <c r="BE61" s="14" t="s">
        <v>1486</v>
      </c>
      <c r="BF61" s="15" t="str">
        <f>HYPERLINK("http://dx.doi.org/10.1016/j.catena.2016.11.014","http://dx.doi.org/10.1016/j.catena.2016.11.014")</f>
        <v>http://dx.doi.org/10.1016/j.catena.2016.11.014</v>
      </c>
      <c r="BG61" s="14" t="s">
        <v>99</v>
      </c>
      <c r="BH61" s="14" t="s">
        <v>99</v>
      </c>
      <c r="BI61" s="14">
        <v>8.0</v>
      </c>
      <c r="BJ61" s="14" t="s">
        <v>1487</v>
      </c>
      <c r="BK61" s="14" t="s">
        <v>122</v>
      </c>
      <c r="BL61" s="14" t="s">
        <v>1488</v>
      </c>
      <c r="BM61" s="14" t="s">
        <v>1489</v>
      </c>
      <c r="BN61" s="14" t="s">
        <v>99</v>
      </c>
      <c r="BO61" s="14" t="s">
        <v>354</v>
      </c>
      <c r="BP61" s="14" t="s">
        <v>99</v>
      </c>
      <c r="BQ61" s="14" t="s">
        <v>99</v>
      </c>
      <c r="BR61" s="14" t="s">
        <v>124</v>
      </c>
      <c r="BS61" s="14" t="s">
        <v>1490</v>
      </c>
      <c r="BT61" s="14" t="str">
        <f>HYPERLINK("https%3A%2F%2Fwww.webofscience.com%2Fwos%2Fwoscc%2Ffull-record%2FWOS:000392686000012","View Full Record in Web of Science")</f>
        <v>View Full Record in Web of Science</v>
      </c>
    </row>
    <row r="62" ht="12.75" customHeight="1">
      <c r="A62" s="14" t="s">
        <v>97</v>
      </c>
      <c r="B62" s="14" t="s">
        <v>1491</v>
      </c>
      <c r="C62" s="14" t="s">
        <v>99</v>
      </c>
      <c r="D62" s="14" t="s">
        <v>99</v>
      </c>
      <c r="E62" s="14" t="s">
        <v>99</v>
      </c>
      <c r="F62" s="14" t="s">
        <v>1492</v>
      </c>
      <c r="G62" s="14" t="s">
        <v>99</v>
      </c>
      <c r="H62" s="14" t="s">
        <v>99</v>
      </c>
      <c r="I62" s="14" t="s">
        <v>1493</v>
      </c>
      <c r="J62" s="14" t="s">
        <v>997</v>
      </c>
      <c r="K62" s="14" t="s">
        <v>99</v>
      </c>
      <c r="L62" s="14" t="s">
        <v>99</v>
      </c>
      <c r="M62" s="14" t="s">
        <v>103</v>
      </c>
      <c r="N62" s="14" t="s">
        <v>104</v>
      </c>
      <c r="O62" s="14" t="s">
        <v>99</v>
      </c>
      <c r="P62" s="14" t="s">
        <v>99</v>
      </c>
      <c r="Q62" s="14" t="s">
        <v>99</v>
      </c>
      <c r="R62" s="14" t="s">
        <v>99</v>
      </c>
      <c r="S62" s="14" t="s">
        <v>99</v>
      </c>
      <c r="T62" s="14" t="s">
        <v>99</v>
      </c>
      <c r="U62" s="14" t="s">
        <v>1494</v>
      </c>
      <c r="V62" s="14" t="s">
        <v>1495</v>
      </c>
      <c r="W62" s="14" t="s">
        <v>1496</v>
      </c>
      <c r="X62" s="14" t="s">
        <v>1497</v>
      </c>
      <c r="Y62" s="14" t="s">
        <v>1498</v>
      </c>
      <c r="Z62" s="14" t="s">
        <v>1499</v>
      </c>
      <c r="AA62" s="14" t="s">
        <v>1500</v>
      </c>
      <c r="AB62" s="14" t="s">
        <v>1501</v>
      </c>
      <c r="AC62" s="14" t="s">
        <v>1502</v>
      </c>
      <c r="AD62" s="14" t="s">
        <v>1503</v>
      </c>
      <c r="AE62" s="14" t="s">
        <v>1504</v>
      </c>
      <c r="AF62" s="14" t="s">
        <v>99</v>
      </c>
      <c r="AG62" s="14">
        <v>44.0</v>
      </c>
      <c r="AH62" s="14">
        <v>1748.0</v>
      </c>
      <c r="AI62" s="14">
        <v>1939.0</v>
      </c>
      <c r="AJ62" s="14">
        <v>26.0</v>
      </c>
      <c r="AK62" s="14">
        <v>265.0</v>
      </c>
      <c r="AL62" s="14" t="s">
        <v>909</v>
      </c>
      <c r="AM62" s="14" t="s">
        <v>910</v>
      </c>
      <c r="AN62" s="14" t="s">
        <v>911</v>
      </c>
      <c r="AO62" s="14" t="s">
        <v>99</v>
      </c>
      <c r="AP62" s="14" t="s">
        <v>1009</v>
      </c>
      <c r="AQ62" s="14" t="s">
        <v>99</v>
      </c>
      <c r="AR62" s="14" t="s">
        <v>1010</v>
      </c>
      <c r="AS62" s="14" t="s">
        <v>1011</v>
      </c>
      <c r="AT62" s="14" t="s">
        <v>1505</v>
      </c>
      <c r="AU62" s="14">
        <v>2017.0</v>
      </c>
      <c r="AV62" s="14">
        <v>8.0</v>
      </c>
      <c r="AW62" s="14" t="s">
        <v>99</v>
      </c>
      <c r="AX62" s="14" t="s">
        <v>99</v>
      </c>
      <c r="AY62" s="14" t="s">
        <v>99</v>
      </c>
      <c r="AZ62" s="14" t="s">
        <v>99</v>
      </c>
      <c r="BA62" s="14" t="s">
        <v>99</v>
      </c>
      <c r="BB62" s="14" t="s">
        <v>99</v>
      </c>
      <c r="BC62" s="14" t="s">
        <v>99</v>
      </c>
      <c r="BD62" s="14">
        <v>14435.0</v>
      </c>
      <c r="BE62" s="14" t="s">
        <v>1506</v>
      </c>
      <c r="BF62" s="15" t="str">
        <f>HYPERLINK("http://dx.doi.org/10.1038/ncomms14435","http://dx.doi.org/10.1038/ncomms14435")</f>
        <v>http://dx.doi.org/10.1038/ncomms14435</v>
      </c>
      <c r="BG62" s="14" t="s">
        <v>99</v>
      </c>
      <c r="BH62" s="14" t="s">
        <v>99</v>
      </c>
      <c r="BI62" s="14">
        <v>9.0</v>
      </c>
      <c r="BJ62" s="14" t="s">
        <v>799</v>
      </c>
      <c r="BK62" s="14" t="s">
        <v>122</v>
      </c>
      <c r="BL62" s="14" t="s">
        <v>801</v>
      </c>
      <c r="BM62" s="14" t="s">
        <v>1507</v>
      </c>
      <c r="BN62" s="14">
        <v>2.819842E7</v>
      </c>
      <c r="BO62" s="14" t="s">
        <v>1508</v>
      </c>
      <c r="BP62" s="14" t="s">
        <v>99</v>
      </c>
      <c r="BQ62" s="14" t="s">
        <v>99</v>
      </c>
      <c r="BR62" s="14" t="s">
        <v>124</v>
      </c>
      <c r="BS62" s="14" t="s">
        <v>1509</v>
      </c>
      <c r="BT62" s="14" t="str">
        <f>HYPERLINK("https%3A%2F%2Fwww.webofscience.com%2Fwos%2Fwoscc%2Ffull-record%2FWOS:000394221600001","View Full Record in Web of Science")</f>
        <v>View Full Record in Web of Science</v>
      </c>
    </row>
    <row r="63" ht="12.75" customHeight="1">
      <c r="A63" s="14" t="s">
        <v>97</v>
      </c>
      <c r="B63" s="14" t="s">
        <v>1510</v>
      </c>
      <c r="C63" s="14" t="s">
        <v>99</v>
      </c>
      <c r="D63" s="14" t="s">
        <v>99</v>
      </c>
      <c r="E63" s="14" t="s">
        <v>99</v>
      </c>
      <c r="F63" s="14" t="s">
        <v>1511</v>
      </c>
      <c r="G63" s="14" t="s">
        <v>99</v>
      </c>
      <c r="H63" s="14" t="s">
        <v>99</v>
      </c>
      <c r="I63" s="14" t="s">
        <v>1512</v>
      </c>
      <c r="J63" s="14" t="s">
        <v>1256</v>
      </c>
      <c r="K63" s="14" t="s">
        <v>99</v>
      </c>
      <c r="L63" s="14" t="s">
        <v>99</v>
      </c>
      <c r="M63" s="14" t="s">
        <v>103</v>
      </c>
      <c r="N63" s="14" t="s">
        <v>104</v>
      </c>
      <c r="O63" s="14" t="s">
        <v>99</v>
      </c>
      <c r="P63" s="14" t="s">
        <v>99</v>
      </c>
      <c r="Q63" s="14" t="s">
        <v>99</v>
      </c>
      <c r="R63" s="14" t="s">
        <v>99</v>
      </c>
      <c r="S63" s="14" t="s">
        <v>99</v>
      </c>
      <c r="T63" s="14" t="s">
        <v>1513</v>
      </c>
      <c r="U63" s="14" t="s">
        <v>1514</v>
      </c>
      <c r="V63" s="14" t="s">
        <v>1515</v>
      </c>
      <c r="W63" s="14" t="s">
        <v>1516</v>
      </c>
      <c r="X63" s="14" t="s">
        <v>1517</v>
      </c>
      <c r="Y63" s="14" t="s">
        <v>1518</v>
      </c>
      <c r="Z63" s="14" t="s">
        <v>1519</v>
      </c>
      <c r="AA63" s="14" t="s">
        <v>1520</v>
      </c>
      <c r="AB63" s="14" t="s">
        <v>1521</v>
      </c>
      <c r="AC63" s="14" t="s">
        <v>1522</v>
      </c>
      <c r="AD63" s="14" t="s">
        <v>1523</v>
      </c>
      <c r="AE63" s="14" t="s">
        <v>1524</v>
      </c>
      <c r="AF63" s="14" t="s">
        <v>99</v>
      </c>
      <c r="AG63" s="14">
        <v>117.0</v>
      </c>
      <c r="AH63" s="14">
        <v>33.0</v>
      </c>
      <c r="AI63" s="14">
        <v>38.0</v>
      </c>
      <c r="AJ63" s="14">
        <v>3.0</v>
      </c>
      <c r="AK63" s="14">
        <v>58.0</v>
      </c>
      <c r="AL63" s="14" t="s">
        <v>341</v>
      </c>
      <c r="AM63" s="14" t="s">
        <v>342</v>
      </c>
      <c r="AN63" s="14" t="s">
        <v>343</v>
      </c>
      <c r="AO63" s="14" t="s">
        <v>1269</v>
      </c>
      <c r="AP63" s="14" t="s">
        <v>1270</v>
      </c>
      <c r="AQ63" s="14" t="s">
        <v>99</v>
      </c>
      <c r="AR63" s="14" t="s">
        <v>1271</v>
      </c>
      <c r="AS63" s="14" t="s">
        <v>1272</v>
      </c>
      <c r="AT63" s="14" t="s">
        <v>280</v>
      </c>
      <c r="AU63" s="14">
        <v>2017.0</v>
      </c>
      <c r="AV63" s="14">
        <v>62.0</v>
      </c>
      <c r="AW63" s="14">
        <v>2.0</v>
      </c>
      <c r="AX63" s="14" t="s">
        <v>99</v>
      </c>
      <c r="AY63" s="14" t="s">
        <v>99</v>
      </c>
      <c r="AZ63" s="14" t="s">
        <v>99</v>
      </c>
      <c r="BA63" s="14" t="s">
        <v>99</v>
      </c>
      <c r="BB63" s="14">
        <v>243.0</v>
      </c>
      <c r="BC63" s="14">
        <v>257.0</v>
      </c>
      <c r="BD63" s="14" t="s">
        <v>99</v>
      </c>
      <c r="BE63" s="14" t="s">
        <v>1525</v>
      </c>
      <c r="BF63" s="15" t="str">
        <f>HYPERLINK("http://dx.doi.org/10.1111/fwb.12864","http://dx.doi.org/10.1111/fwb.12864")</f>
        <v>http://dx.doi.org/10.1111/fwb.12864</v>
      </c>
      <c r="BG63" s="14" t="s">
        <v>99</v>
      </c>
      <c r="BH63" s="14" t="s">
        <v>99</v>
      </c>
      <c r="BI63" s="14">
        <v>15.0</v>
      </c>
      <c r="BJ63" s="14" t="s">
        <v>1274</v>
      </c>
      <c r="BK63" s="14" t="s">
        <v>122</v>
      </c>
      <c r="BL63" s="14" t="s">
        <v>397</v>
      </c>
      <c r="BM63" s="14" t="s">
        <v>1526</v>
      </c>
      <c r="BN63" s="14" t="s">
        <v>99</v>
      </c>
      <c r="BO63" s="14" t="s">
        <v>99</v>
      </c>
      <c r="BP63" s="14" t="s">
        <v>99</v>
      </c>
      <c r="BQ63" s="14" t="s">
        <v>99</v>
      </c>
      <c r="BR63" s="14" t="s">
        <v>124</v>
      </c>
      <c r="BS63" s="14" t="s">
        <v>1527</v>
      </c>
      <c r="BT63" s="14" t="str">
        <f>HYPERLINK("https%3A%2F%2Fwww.webofscience.com%2Fwos%2Fwoscc%2Ffull-record%2FWOS:000393793100003","View Full Record in Web of Science")</f>
        <v>View Full Record in Web of Science</v>
      </c>
    </row>
    <row r="64" ht="12.75" customHeight="1">
      <c r="A64" s="14" t="s">
        <v>97</v>
      </c>
      <c r="B64" s="14" t="s">
        <v>1528</v>
      </c>
      <c r="C64" s="14" t="s">
        <v>99</v>
      </c>
      <c r="D64" s="14" t="s">
        <v>99</v>
      </c>
      <c r="E64" s="14" t="s">
        <v>99</v>
      </c>
      <c r="F64" s="14" t="s">
        <v>1529</v>
      </c>
      <c r="G64" s="14" t="s">
        <v>99</v>
      </c>
      <c r="H64" s="14" t="s">
        <v>99</v>
      </c>
      <c r="I64" s="14" t="s">
        <v>1530</v>
      </c>
      <c r="J64" s="14" t="s">
        <v>1531</v>
      </c>
      <c r="K64" s="14" t="s">
        <v>99</v>
      </c>
      <c r="L64" s="14" t="s">
        <v>99</v>
      </c>
      <c r="M64" s="14" t="s">
        <v>103</v>
      </c>
      <c r="N64" s="14" t="s">
        <v>104</v>
      </c>
      <c r="O64" s="14" t="s">
        <v>99</v>
      </c>
      <c r="P64" s="14" t="s">
        <v>99</v>
      </c>
      <c r="Q64" s="14" t="s">
        <v>99</v>
      </c>
      <c r="R64" s="14" t="s">
        <v>99</v>
      </c>
      <c r="S64" s="14" t="s">
        <v>99</v>
      </c>
      <c r="T64" s="14" t="s">
        <v>1532</v>
      </c>
      <c r="U64" s="14" t="s">
        <v>1533</v>
      </c>
      <c r="V64" s="14" t="s">
        <v>1534</v>
      </c>
      <c r="W64" s="14" t="s">
        <v>1535</v>
      </c>
      <c r="X64" s="14" t="s">
        <v>1536</v>
      </c>
      <c r="Y64" s="14" t="s">
        <v>1537</v>
      </c>
      <c r="Z64" s="14" t="s">
        <v>1538</v>
      </c>
      <c r="AA64" s="14" t="s">
        <v>1539</v>
      </c>
      <c r="AB64" s="14" t="s">
        <v>1540</v>
      </c>
      <c r="AC64" s="14" t="s">
        <v>1541</v>
      </c>
      <c r="AD64" s="14" t="s">
        <v>1542</v>
      </c>
      <c r="AE64" s="14" t="s">
        <v>1543</v>
      </c>
      <c r="AF64" s="14" t="s">
        <v>99</v>
      </c>
      <c r="AG64" s="14">
        <v>21.0</v>
      </c>
      <c r="AH64" s="14">
        <v>26.0</v>
      </c>
      <c r="AI64" s="14">
        <v>29.0</v>
      </c>
      <c r="AJ64" s="14">
        <v>1.0</v>
      </c>
      <c r="AK64" s="14">
        <v>39.0</v>
      </c>
      <c r="AL64" s="14" t="s">
        <v>1544</v>
      </c>
      <c r="AM64" s="14" t="s">
        <v>274</v>
      </c>
      <c r="AN64" s="14" t="s">
        <v>1545</v>
      </c>
      <c r="AO64" s="14" t="s">
        <v>1546</v>
      </c>
      <c r="AP64" s="14" t="s">
        <v>1547</v>
      </c>
      <c r="AQ64" s="14" t="s">
        <v>99</v>
      </c>
      <c r="AR64" s="14" t="s">
        <v>1548</v>
      </c>
      <c r="AS64" s="14" t="s">
        <v>1549</v>
      </c>
      <c r="AT64" s="14" t="s">
        <v>1550</v>
      </c>
      <c r="AU64" s="14">
        <v>2017.0</v>
      </c>
      <c r="AV64" s="14">
        <v>13.0</v>
      </c>
      <c r="AW64" s="14">
        <v>2.0</v>
      </c>
      <c r="AX64" s="14" t="s">
        <v>99</v>
      </c>
      <c r="AY64" s="14" t="s">
        <v>99</v>
      </c>
      <c r="AZ64" s="14" t="s">
        <v>99</v>
      </c>
      <c r="BA64" s="14" t="s">
        <v>99</v>
      </c>
      <c r="BB64" s="14" t="s">
        <v>99</v>
      </c>
      <c r="BC64" s="14" t="s">
        <v>99</v>
      </c>
      <c r="BD64" s="14">
        <v>2.0160774E7</v>
      </c>
      <c r="BE64" s="14" t="s">
        <v>1551</v>
      </c>
      <c r="BF64" s="15" t="str">
        <f>HYPERLINK("http://dx.doi.org/10.1098/rsbl.2016.0774","http://dx.doi.org/10.1098/rsbl.2016.0774")</f>
        <v>http://dx.doi.org/10.1098/rsbl.2016.0774</v>
      </c>
      <c r="BG64" s="14" t="s">
        <v>99</v>
      </c>
      <c r="BH64" s="14" t="s">
        <v>99</v>
      </c>
      <c r="BI64" s="14">
        <v>4.0</v>
      </c>
      <c r="BJ64" s="14" t="s">
        <v>1552</v>
      </c>
      <c r="BK64" s="14" t="s">
        <v>122</v>
      </c>
      <c r="BL64" s="14" t="s">
        <v>1553</v>
      </c>
      <c r="BM64" s="14" t="s">
        <v>1554</v>
      </c>
      <c r="BN64" s="14">
        <v>2.8148833E7</v>
      </c>
      <c r="BO64" s="14" t="s">
        <v>1555</v>
      </c>
      <c r="BP64" s="14" t="s">
        <v>99</v>
      </c>
      <c r="BQ64" s="14" t="s">
        <v>99</v>
      </c>
      <c r="BR64" s="14" t="s">
        <v>124</v>
      </c>
      <c r="BS64" s="14" t="s">
        <v>1556</v>
      </c>
      <c r="BT64" s="14" t="str">
        <f>HYPERLINK("https%3A%2F%2Fwww.webofscience.com%2Fwos%2Fwoscc%2Ffull-record%2FWOS:000396015400004","View Full Record in Web of Science")</f>
        <v>View Full Record in Web of Science</v>
      </c>
    </row>
    <row r="65" ht="12.75" customHeight="1">
      <c r="A65" s="14" t="s">
        <v>97</v>
      </c>
      <c r="B65" s="14" t="s">
        <v>1557</v>
      </c>
      <c r="C65" s="14" t="s">
        <v>99</v>
      </c>
      <c r="D65" s="14" t="s">
        <v>99</v>
      </c>
      <c r="E65" s="14" t="s">
        <v>99</v>
      </c>
      <c r="F65" s="14" t="s">
        <v>1558</v>
      </c>
      <c r="G65" s="14" t="s">
        <v>99</v>
      </c>
      <c r="H65" s="14" t="s">
        <v>99</v>
      </c>
      <c r="I65" s="14" t="s">
        <v>1559</v>
      </c>
      <c r="J65" s="14" t="s">
        <v>1560</v>
      </c>
      <c r="K65" s="14" t="s">
        <v>99</v>
      </c>
      <c r="L65" s="14" t="s">
        <v>99</v>
      </c>
      <c r="M65" s="14" t="s">
        <v>103</v>
      </c>
      <c r="N65" s="14" t="s">
        <v>104</v>
      </c>
      <c r="O65" s="14" t="s">
        <v>99</v>
      </c>
      <c r="P65" s="14" t="s">
        <v>99</v>
      </c>
      <c r="Q65" s="14" t="s">
        <v>99</v>
      </c>
      <c r="R65" s="14" t="s">
        <v>99</v>
      </c>
      <c r="S65" s="14" t="s">
        <v>99</v>
      </c>
      <c r="T65" s="14" t="s">
        <v>1561</v>
      </c>
      <c r="U65" s="14" t="s">
        <v>1562</v>
      </c>
      <c r="V65" s="14" t="s">
        <v>1563</v>
      </c>
      <c r="W65" s="14" t="s">
        <v>1564</v>
      </c>
      <c r="X65" s="14" t="s">
        <v>99</v>
      </c>
      <c r="Y65" s="14" t="s">
        <v>1565</v>
      </c>
      <c r="Z65" s="14" t="s">
        <v>1566</v>
      </c>
      <c r="AA65" s="14" t="s">
        <v>99</v>
      </c>
      <c r="AB65" s="14" t="s">
        <v>99</v>
      </c>
      <c r="AC65" s="14" t="s">
        <v>1567</v>
      </c>
      <c r="AD65" s="14" t="s">
        <v>1567</v>
      </c>
      <c r="AE65" s="14" t="s">
        <v>1568</v>
      </c>
      <c r="AF65" s="14" t="s">
        <v>99</v>
      </c>
      <c r="AG65" s="14">
        <v>72.0</v>
      </c>
      <c r="AH65" s="14">
        <v>12.0</v>
      </c>
      <c r="AI65" s="14">
        <v>12.0</v>
      </c>
      <c r="AJ65" s="14">
        <v>1.0</v>
      </c>
      <c r="AK65" s="14">
        <v>34.0</v>
      </c>
      <c r="AL65" s="14" t="s">
        <v>161</v>
      </c>
      <c r="AM65" s="14" t="s">
        <v>162</v>
      </c>
      <c r="AN65" s="14" t="s">
        <v>163</v>
      </c>
      <c r="AO65" s="14" t="s">
        <v>1569</v>
      </c>
      <c r="AP65" s="14" t="s">
        <v>1570</v>
      </c>
      <c r="AQ65" s="14" t="s">
        <v>99</v>
      </c>
      <c r="AR65" s="14" t="s">
        <v>1571</v>
      </c>
      <c r="AS65" s="14" t="s">
        <v>1572</v>
      </c>
      <c r="AT65" s="14" t="s">
        <v>99</v>
      </c>
      <c r="AU65" s="14">
        <v>2017.0</v>
      </c>
      <c r="AV65" s="14">
        <v>32.0</v>
      </c>
      <c r="AW65" s="14">
        <v>1.0</v>
      </c>
      <c r="AX65" s="14" t="s">
        <v>99</v>
      </c>
      <c r="AY65" s="14" t="s">
        <v>99</v>
      </c>
      <c r="AZ65" s="14" t="s">
        <v>99</v>
      </c>
      <c r="BA65" s="14" t="s">
        <v>99</v>
      </c>
      <c r="BB65" s="14">
        <v>433.0</v>
      </c>
      <c r="BC65" s="14">
        <v>453.0</v>
      </c>
      <c r="BD65" s="14" t="s">
        <v>99</v>
      </c>
      <c r="BE65" s="14" t="s">
        <v>1573</v>
      </c>
      <c r="BF65" s="15" t="str">
        <f>HYPERLINK("http://dx.doi.org/10.1080/02705060.2017.1319431","http://dx.doi.org/10.1080/02705060.2017.1319431")</f>
        <v>http://dx.doi.org/10.1080/02705060.2017.1319431</v>
      </c>
      <c r="BG65" s="14" t="s">
        <v>99</v>
      </c>
      <c r="BH65" s="14" t="s">
        <v>99</v>
      </c>
      <c r="BI65" s="14">
        <v>21.0</v>
      </c>
      <c r="BJ65" s="14" t="s">
        <v>1574</v>
      </c>
      <c r="BK65" s="14" t="s">
        <v>122</v>
      </c>
      <c r="BL65" s="14" t="s">
        <v>397</v>
      </c>
      <c r="BM65" s="14" t="s">
        <v>1575</v>
      </c>
      <c r="BN65" s="14" t="s">
        <v>99</v>
      </c>
      <c r="BO65" s="14" t="s">
        <v>1251</v>
      </c>
      <c r="BP65" s="14" t="s">
        <v>99</v>
      </c>
      <c r="BQ65" s="14" t="s">
        <v>99</v>
      </c>
      <c r="BR65" s="14" t="s">
        <v>124</v>
      </c>
      <c r="BS65" s="14" t="s">
        <v>1576</v>
      </c>
      <c r="BT65" s="14" t="str">
        <f>HYPERLINK("https%3A%2F%2Fwww.webofscience.com%2Fwos%2Fwoscc%2Ffull-record%2FWOS:000401719600004","View Full Record in Web of Science")</f>
        <v>View Full Record in Web of Science</v>
      </c>
    </row>
    <row r="66" ht="12.75" customHeight="1">
      <c r="A66" s="14" t="s">
        <v>97</v>
      </c>
      <c r="B66" s="14" t="s">
        <v>1577</v>
      </c>
      <c r="C66" s="14" t="s">
        <v>99</v>
      </c>
      <c r="D66" s="14" t="s">
        <v>99</v>
      </c>
      <c r="E66" s="14" t="s">
        <v>99</v>
      </c>
      <c r="F66" s="14" t="s">
        <v>1578</v>
      </c>
      <c r="G66" s="14" t="s">
        <v>99</v>
      </c>
      <c r="H66" s="14" t="s">
        <v>99</v>
      </c>
      <c r="I66" s="14" t="s">
        <v>1579</v>
      </c>
      <c r="J66" s="14" t="s">
        <v>1580</v>
      </c>
      <c r="K66" s="14" t="s">
        <v>99</v>
      </c>
      <c r="L66" s="14" t="s">
        <v>99</v>
      </c>
      <c r="M66" s="14" t="s">
        <v>103</v>
      </c>
      <c r="N66" s="14" t="s">
        <v>104</v>
      </c>
      <c r="O66" s="14" t="s">
        <v>99</v>
      </c>
      <c r="P66" s="14" t="s">
        <v>99</v>
      </c>
      <c r="Q66" s="14" t="s">
        <v>99</v>
      </c>
      <c r="R66" s="14" t="s">
        <v>99</v>
      </c>
      <c r="S66" s="14" t="s">
        <v>99</v>
      </c>
      <c r="T66" s="14" t="s">
        <v>1581</v>
      </c>
      <c r="U66" s="14" t="s">
        <v>1582</v>
      </c>
      <c r="V66" s="14" t="s">
        <v>1583</v>
      </c>
      <c r="W66" s="14" t="s">
        <v>1584</v>
      </c>
      <c r="X66" s="14" t="s">
        <v>1585</v>
      </c>
      <c r="Y66" s="14" t="s">
        <v>1586</v>
      </c>
      <c r="Z66" s="14" t="s">
        <v>1587</v>
      </c>
      <c r="AA66" s="14" t="s">
        <v>1588</v>
      </c>
      <c r="AB66" s="14" t="s">
        <v>1589</v>
      </c>
      <c r="AC66" s="14" t="s">
        <v>1590</v>
      </c>
      <c r="AD66" s="14" t="s">
        <v>1591</v>
      </c>
      <c r="AE66" s="14" t="s">
        <v>1592</v>
      </c>
      <c r="AF66" s="14" t="s">
        <v>99</v>
      </c>
      <c r="AG66" s="14">
        <v>86.0</v>
      </c>
      <c r="AH66" s="14">
        <v>39.0</v>
      </c>
      <c r="AI66" s="14">
        <v>49.0</v>
      </c>
      <c r="AJ66" s="14">
        <v>1.0</v>
      </c>
      <c r="AK66" s="14">
        <v>72.0</v>
      </c>
      <c r="AL66" s="14" t="s">
        <v>1593</v>
      </c>
      <c r="AM66" s="14" t="s">
        <v>1594</v>
      </c>
      <c r="AN66" s="14" t="s">
        <v>1595</v>
      </c>
      <c r="AO66" s="14" t="s">
        <v>1596</v>
      </c>
      <c r="AP66" s="14" t="s">
        <v>1597</v>
      </c>
      <c r="AQ66" s="14" t="s">
        <v>99</v>
      </c>
      <c r="AR66" s="14" t="s">
        <v>1580</v>
      </c>
      <c r="AS66" s="14" t="s">
        <v>1598</v>
      </c>
      <c r="AT66" s="14" t="s">
        <v>935</v>
      </c>
      <c r="AU66" s="14">
        <v>2017.0</v>
      </c>
      <c r="AV66" s="14">
        <v>51.0</v>
      </c>
      <c r="AW66" s="14">
        <v>1.0</v>
      </c>
      <c r="AX66" s="14" t="s">
        <v>99</v>
      </c>
      <c r="AY66" s="14" t="s">
        <v>99</v>
      </c>
      <c r="AZ66" s="14" t="s">
        <v>99</v>
      </c>
      <c r="BA66" s="14" t="s">
        <v>99</v>
      </c>
      <c r="BB66" s="14">
        <v>87.0</v>
      </c>
      <c r="BC66" s="14">
        <v>97.0</v>
      </c>
      <c r="BD66" s="14" t="s">
        <v>99</v>
      </c>
      <c r="BE66" s="14" t="s">
        <v>1599</v>
      </c>
      <c r="BF66" s="15" t="str">
        <f>HYPERLINK("http://dx.doi.org/10.1017/S0030605315000836","http://dx.doi.org/10.1017/S0030605315000836")</f>
        <v>http://dx.doi.org/10.1017/S0030605315000836</v>
      </c>
      <c r="BG66" s="14" t="s">
        <v>99</v>
      </c>
      <c r="BH66" s="14" t="s">
        <v>99</v>
      </c>
      <c r="BI66" s="14">
        <v>11.0</v>
      </c>
      <c r="BJ66" s="14" t="s">
        <v>550</v>
      </c>
      <c r="BK66" s="14" t="s">
        <v>122</v>
      </c>
      <c r="BL66" s="14" t="s">
        <v>352</v>
      </c>
      <c r="BM66" s="14" t="s">
        <v>1600</v>
      </c>
      <c r="BN66" s="14" t="s">
        <v>99</v>
      </c>
      <c r="BO66" s="14" t="s">
        <v>373</v>
      </c>
      <c r="BP66" s="14" t="s">
        <v>99</v>
      </c>
      <c r="BQ66" s="14" t="s">
        <v>99</v>
      </c>
      <c r="BR66" s="14" t="s">
        <v>124</v>
      </c>
      <c r="BS66" s="14" t="s">
        <v>1601</v>
      </c>
      <c r="BT66" s="14" t="str">
        <f>HYPERLINK("https%3A%2F%2Fwww.webofscience.com%2Fwos%2Fwoscc%2Ffull-record%2FWOS:000392222700020","View Full Record in Web of Science")</f>
        <v>View Full Record in Web of Science</v>
      </c>
    </row>
    <row r="67" ht="12.75" customHeight="1">
      <c r="A67" s="14" t="s">
        <v>97</v>
      </c>
      <c r="B67" s="14" t="s">
        <v>1602</v>
      </c>
      <c r="C67" s="14" t="s">
        <v>99</v>
      </c>
      <c r="D67" s="14" t="s">
        <v>99</v>
      </c>
      <c r="E67" s="14" t="s">
        <v>99</v>
      </c>
      <c r="F67" s="14" t="s">
        <v>1603</v>
      </c>
      <c r="G67" s="14" t="s">
        <v>99</v>
      </c>
      <c r="H67" s="14" t="s">
        <v>99</v>
      </c>
      <c r="I67" s="14" t="s">
        <v>1604</v>
      </c>
      <c r="J67" s="14" t="s">
        <v>1605</v>
      </c>
      <c r="K67" s="14" t="s">
        <v>99</v>
      </c>
      <c r="L67" s="14" t="s">
        <v>99</v>
      </c>
      <c r="M67" s="14" t="s">
        <v>103</v>
      </c>
      <c r="N67" s="14" t="s">
        <v>104</v>
      </c>
      <c r="O67" s="14" t="s">
        <v>99</v>
      </c>
      <c r="P67" s="14" t="s">
        <v>99</v>
      </c>
      <c r="Q67" s="14" t="s">
        <v>99</v>
      </c>
      <c r="R67" s="14" t="s">
        <v>99</v>
      </c>
      <c r="S67" s="14" t="s">
        <v>99</v>
      </c>
      <c r="T67" s="14" t="s">
        <v>1606</v>
      </c>
      <c r="U67" s="14" t="s">
        <v>1607</v>
      </c>
      <c r="V67" s="14" t="s">
        <v>1608</v>
      </c>
      <c r="W67" s="14" t="s">
        <v>1609</v>
      </c>
      <c r="X67" s="14" t="s">
        <v>1610</v>
      </c>
      <c r="Y67" s="14" t="s">
        <v>1611</v>
      </c>
      <c r="Z67" s="14" t="s">
        <v>1612</v>
      </c>
      <c r="AA67" s="14" t="s">
        <v>1613</v>
      </c>
      <c r="AB67" s="14" t="s">
        <v>1614</v>
      </c>
      <c r="AC67" s="14" t="s">
        <v>1615</v>
      </c>
      <c r="AD67" s="14" t="s">
        <v>1616</v>
      </c>
      <c r="AE67" s="14" t="s">
        <v>1617</v>
      </c>
      <c r="AF67" s="14" t="s">
        <v>99</v>
      </c>
      <c r="AG67" s="14">
        <v>67.0</v>
      </c>
      <c r="AH67" s="14">
        <v>36.0</v>
      </c>
      <c r="AI67" s="14">
        <v>39.0</v>
      </c>
      <c r="AJ67" s="14">
        <v>1.0</v>
      </c>
      <c r="AK67" s="14">
        <v>51.0</v>
      </c>
      <c r="AL67" s="14" t="s">
        <v>341</v>
      </c>
      <c r="AM67" s="14" t="s">
        <v>342</v>
      </c>
      <c r="AN67" s="14" t="s">
        <v>343</v>
      </c>
      <c r="AO67" s="14" t="s">
        <v>1618</v>
      </c>
      <c r="AP67" s="14" t="s">
        <v>1619</v>
      </c>
      <c r="AQ67" s="14" t="s">
        <v>99</v>
      </c>
      <c r="AR67" s="14" t="s">
        <v>1620</v>
      </c>
      <c r="AS67" s="14" t="s">
        <v>1621</v>
      </c>
      <c r="AT67" s="14" t="s">
        <v>935</v>
      </c>
      <c r="AU67" s="14">
        <v>2017.0</v>
      </c>
      <c r="AV67" s="14">
        <v>44.0</v>
      </c>
      <c r="AW67" s="14">
        <v>1.0</v>
      </c>
      <c r="AX67" s="14" t="s">
        <v>99</v>
      </c>
      <c r="AY67" s="14" t="s">
        <v>99</v>
      </c>
      <c r="AZ67" s="14" t="s">
        <v>99</v>
      </c>
      <c r="BA67" s="14" t="s">
        <v>99</v>
      </c>
      <c r="BB67" s="14">
        <v>111.0</v>
      </c>
      <c r="BC67" s="14">
        <v>121.0</v>
      </c>
      <c r="BD67" s="14" t="s">
        <v>99</v>
      </c>
      <c r="BE67" s="14" t="s">
        <v>1622</v>
      </c>
      <c r="BF67" s="15" t="str">
        <f>HYPERLINK("http://dx.doi.org/10.1111/jbi.12808","http://dx.doi.org/10.1111/jbi.12808")</f>
        <v>http://dx.doi.org/10.1111/jbi.12808</v>
      </c>
      <c r="BG67" s="14" t="s">
        <v>99</v>
      </c>
      <c r="BH67" s="14" t="s">
        <v>99</v>
      </c>
      <c r="BI67" s="14">
        <v>11.0</v>
      </c>
      <c r="BJ67" s="14" t="s">
        <v>869</v>
      </c>
      <c r="BK67" s="14" t="s">
        <v>122</v>
      </c>
      <c r="BL67" s="14" t="s">
        <v>870</v>
      </c>
      <c r="BM67" s="14" t="s">
        <v>1623</v>
      </c>
      <c r="BN67" s="14" t="s">
        <v>99</v>
      </c>
      <c r="BO67" s="14" t="s">
        <v>99</v>
      </c>
      <c r="BP67" s="14" t="s">
        <v>99</v>
      </c>
      <c r="BQ67" s="14" t="s">
        <v>99</v>
      </c>
      <c r="BR67" s="14" t="s">
        <v>124</v>
      </c>
      <c r="BS67" s="14" t="s">
        <v>1624</v>
      </c>
      <c r="BT67" s="14" t="str">
        <f>HYPERLINK("https%3A%2F%2Fwww.webofscience.com%2Fwos%2Fwoscc%2Ffull-record%2FWOS:000391956900011","View Full Record in Web of Science")</f>
        <v>View Full Record in Web of Science</v>
      </c>
    </row>
    <row r="68" ht="12.75" customHeight="1">
      <c r="A68" s="14" t="s">
        <v>97</v>
      </c>
      <c r="B68" s="14" t="s">
        <v>1625</v>
      </c>
      <c r="C68" s="14" t="s">
        <v>99</v>
      </c>
      <c r="D68" s="14" t="s">
        <v>99</v>
      </c>
      <c r="E68" s="14" t="s">
        <v>99</v>
      </c>
      <c r="F68" s="14" t="s">
        <v>1626</v>
      </c>
      <c r="G68" s="14" t="s">
        <v>99</v>
      </c>
      <c r="H68" s="14" t="s">
        <v>99</v>
      </c>
      <c r="I68" s="14" t="s">
        <v>1627</v>
      </c>
      <c r="J68" s="14" t="s">
        <v>1231</v>
      </c>
      <c r="K68" s="14" t="s">
        <v>99</v>
      </c>
      <c r="L68" s="14" t="s">
        <v>99</v>
      </c>
      <c r="M68" s="14" t="s">
        <v>103</v>
      </c>
      <c r="N68" s="14" t="s">
        <v>104</v>
      </c>
      <c r="O68" s="14" t="s">
        <v>99</v>
      </c>
      <c r="P68" s="14" t="s">
        <v>99</v>
      </c>
      <c r="Q68" s="14" t="s">
        <v>99</v>
      </c>
      <c r="R68" s="14" t="s">
        <v>99</v>
      </c>
      <c r="S68" s="14" t="s">
        <v>99</v>
      </c>
      <c r="T68" s="14" t="s">
        <v>99</v>
      </c>
      <c r="U68" s="14" t="s">
        <v>1628</v>
      </c>
      <c r="V68" s="14" t="s">
        <v>1629</v>
      </c>
      <c r="W68" s="14" t="s">
        <v>1630</v>
      </c>
      <c r="X68" s="14" t="s">
        <v>1631</v>
      </c>
      <c r="Y68" s="14" t="s">
        <v>1632</v>
      </c>
      <c r="Z68" s="14" t="s">
        <v>1633</v>
      </c>
      <c r="AA68" s="14" t="s">
        <v>1634</v>
      </c>
      <c r="AB68" s="14" t="s">
        <v>1635</v>
      </c>
      <c r="AC68" s="14" t="s">
        <v>1636</v>
      </c>
      <c r="AD68" s="14" t="s">
        <v>1636</v>
      </c>
      <c r="AE68" s="14" t="s">
        <v>1637</v>
      </c>
      <c r="AF68" s="14" t="s">
        <v>99</v>
      </c>
      <c r="AG68" s="14">
        <v>53.0</v>
      </c>
      <c r="AH68" s="14">
        <v>597.0</v>
      </c>
      <c r="AI68" s="14">
        <v>666.0</v>
      </c>
      <c r="AJ68" s="14">
        <v>17.0</v>
      </c>
      <c r="AK68" s="14">
        <v>345.0</v>
      </c>
      <c r="AL68" s="14" t="s">
        <v>1243</v>
      </c>
      <c r="AM68" s="14" t="s">
        <v>789</v>
      </c>
      <c r="AN68" s="14" t="s">
        <v>1244</v>
      </c>
      <c r="AO68" s="14" t="s">
        <v>1245</v>
      </c>
      <c r="AP68" s="14" t="s">
        <v>99</v>
      </c>
      <c r="AQ68" s="14" t="s">
        <v>99</v>
      </c>
      <c r="AR68" s="14" t="s">
        <v>1246</v>
      </c>
      <c r="AS68" s="14" t="s">
        <v>1247</v>
      </c>
      <c r="AT68" s="14" t="s">
        <v>935</v>
      </c>
      <c r="AU68" s="14">
        <v>2017.0</v>
      </c>
      <c r="AV68" s="14">
        <v>3.0</v>
      </c>
      <c r="AW68" s="14">
        <v>1.0</v>
      </c>
      <c r="AX68" s="14" t="s">
        <v>99</v>
      </c>
      <c r="AY68" s="14" t="s">
        <v>99</v>
      </c>
      <c r="AZ68" s="14" t="s">
        <v>99</v>
      </c>
      <c r="BA68" s="14" t="s">
        <v>99</v>
      </c>
      <c r="BB68" s="14" t="s">
        <v>99</v>
      </c>
      <c r="BC68" s="14" t="s">
        <v>99</v>
      </c>
      <c r="BD68" s="14" t="s">
        <v>1638</v>
      </c>
      <c r="BE68" s="14" t="s">
        <v>1639</v>
      </c>
      <c r="BF68" s="15" t="str">
        <f>HYPERLINK("http://dx.doi.org/10.1126/sciadv.1600821","http://dx.doi.org/10.1126/sciadv.1600821")</f>
        <v>http://dx.doi.org/10.1126/sciadv.1600821</v>
      </c>
      <c r="BG68" s="14" t="s">
        <v>99</v>
      </c>
      <c r="BH68" s="14" t="s">
        <v>99</v>
      </c>
      <c r="BI68" s="14">
        <v>13.0</v>
      </c>
      <c r="BJ68" s="14" t="s">
        <v>799</v>
      </c>
      <c r="BK68" s="14" t="s">
        <v>122</v>
      </c>
      <c r="BL68" s="14" t="s">
        <v>801</v>
      </c>
      <c r="BM68" s="14" t="s">
        <v>1640</v>
      </c>
      <c r="BN68" s="14">
        <v>2.8097216E7</v>
      </c>
      <c r="BO68" s="14" t="s">
        <v>1251</v>
      </c>
      <c r="BP68" s="14" t="s">
        <v>99</v>
      </c>
      <c r="BQ68" s="14" t="s">
        <v>99</v>
      </c>
      <c r="BR68" s="14" t="s">
        <v>124</v>
      </c>
      <c r="BS68" s="14" t="s">
        <v>1641</v>
      </c>
      <c r="BT68" s="14" t="str">
        <f>HYPERLINK("https%3A%2F%2Fwww.webofscience.com%2Fwos%2Fwoscc%2Ffull-record%2FWOS:000393789900007","View Full Record in Web of Science")</f>
        <v>View Full Record in Web of Science</v>
      </c>
    </row>
    <row r="69" ht="12.75" customHeight="1">
      <c r="A69" s="14" t="s">
        <v>97</v>
      </c>
      <c r="B69" s="14" t="s">
        <v>1642</v>
      </c>
      <c r="C69" s="14" t="s">
        <v>99</v>
      </c>
      <c r="D69" s="14" t="s">
        <v>99</v>
      </c>
      <c r="E69" s="14" t="s">
        <v>99</v>
      </c>
      <c r="F69" s="14" t="s">
        <v>1643</v>
      </c>
      <c r="G69" s="14" t="s">
        <v>99</v>
      </c>
      <c r="H69" s="14" t="s">
        <v>99</v>
      </c>
      <c r="I69" s="14" t="s">
        <v>1644</v>
      </c>
      <c r="J69" s="14" t="s">
        <v>1645</v>
      </c>
      <c r="K69" s="14" t="s">
        <v>99</v>
      </c>
      <c r="L69" s="14" t="s">
        <v>99</v>
      </c>
      <c r="M69" s="14" t="s">
        <v>103</v>
      </c>
      <c r="N69" s="14" t="s">
        <v>104</v>
      </c>
      <c r="O69" s="14" t="s">
        <v>99</v>
      </c>
      <c r="P69" s="14" t="s">
        <v>99</v>
      </c>
      <c r="Q69" s="14" t="s">
        <v>99</v>
      </c>
      <c r="R69" s="14" t="s">
        <v>99</v>
      </c>
      <c r="S69" s="14" t="s">
        <v>99</v>
      </c>
      <c r="T69" s="14" t="s">
        <v>99</v>
      </c>
      <c r="U69" s="14" t="s">
        <v>1646</v>
      </c>
      <c r="V69" s="14" t="s">
        <v>1647</v>
      </c>
      <c r="W69" s="14" t="s">
        <v>1648</v>
      </c>
      <c r="X69" s="14" t="s">
        <v>1649</v>
      </c>
      <c r="Y69" s="14" t="s">
        <v>1650</v>
      </c>
      <c r="Z69" s="14" t="s">
        <v>1651</v>
      </c>
      <c r="AA69" s="14" t="s">
        <v>1652</v>
      </c>
      <c r="AB69" s="14" t="s">
        <v>1653</v>
      </c>
      <c r="AC69" s="14" t="s">
        <v>1654</v>
      </c>
      <c r="AD69" s="14" t="s">
        <v>1655</v>
      </c>
      <c r="AE69" s="14" t="s">
        <v>1656</v>
      </c>
      <c r="AF69" s="14" t="s">
        <v>99</v>
      </c>
      <c r="AG69" s="14">
        <v>75.0</v>
      </c>
      <c r="AH69" s="14">
        <v>404.0</v>
      </c>
      <c r="AI69" s="14">
        <v>471.0</v>
      </c>
      <c r="AJ69" s="14">
        <v>1.0</v>
      </c>
      <c r="AK69" s="14">
        <v>450.0</v>
      </c>
      <c r="AL69" s="14" t="s">
        <v>909</v>
      </c>
      <c r="AM69" s="14" t="s">
        <v>910</v>
      </c>
      <c r="AN69" s="14" t="s">
        <v>911</v>
      </c>
      <c r="AO69" s="14" t="s">
        <v>1657</v>
      </c>
      <c r="AP69" s="14" t="s">
        <v>99</v>
      </c>
      <c r="AQ69" s="14" t="s">
        <v>99</v>
      </c>
      <c r="AR69" s="14" t="s">
        <v>1658</v>
      </c>
      <c r="AS69" s="14" t="s">
        <v>1659</v>
      </c>
      <c r="AT69" s="14" t="s">
        <v>1660</v>
      </c>
      <c r="AU69" s="14">
        <v>2016.0</v>
      </c>
      <c r="AV69" s="14">
        <v>6.0</v>
      </c>
      <c r="AW69" s="14" t="s">
        <v>99</v>
      </c>
      <c r="AX69" s="14" t="s">
        <v>99</v>
      </c>
      <c r="AY69" s="14" t="s">
        <v>99</v>
      </c>
      <c r="AZ69" s="14" t="s">
        <v>99</v>
      </c>
      <c r="BA69" s="14" t="s">
        <v>99</v>
      </c>
      <c r="BB69" s="14" t="s">
        <v>99</v>
      </c>
      <c r="BC69" s="14" t="s">
        <v>99</v>
      </c>
      <c r="BD69" s="14">
        <v>38402.0</v>
      </c>
      <c r="BE69" s="14" t="s">
        <v>1661</v>
      </c>
      <c r="BF69" s="15" t="str">
        <f>HYPERLINK("http://dx.doi.org/10.1038/srep38402","http://dx.doi.org/10.1038/srep38402")</f>
        <v>http://dx.doi.org/10.1038/srep38402</v>
      </c>
      <c r="BG69" s="14" t="s">
        <v>99</v>
      </c>
      <c r="BH69" s="14" t="s">
        <v>99</v>
      </c>
      <c r="BI69" s="14">
        <v>14.0</v>
      </c>
      <c r="BJ69" s="14" t="s">
        <v>799</v>
      </c>
      <c r="BK69" s="14" t="s">
        <v>122</v>
      </c>
      <c r="BL69" s="14" t="s">
        <v>801</v>
      </c>
      <c r="BM69" s="14" t="s">
        <v>1662</v>
      </c>
      <c r="BN69" s="14">
        <v>2.792208E7</v>
      </c>
      <c r="BO69" s="14" t="s">
        <v>1251</v>
      </c>
      <c r="BP69" s="14" t="s">
        <v>99</v>
      </c>
      <c r="BQ69" s="14" t="s">
        <v>99</v>
      </c>
      <c r="BR69" s="14" t="s">
        <v>124</v>
      </c>
      <c r="BS69" s="14" t="s">
        <v>1663</v>
      </c>
      <c r="BT69" s="14" t="str">
        <f>HYPERLINK("https%3A%2F%2Fwww.webofscience.com%2Fwos%2Fwoscc%2Ffull-record%2FWOS:000389239400001","View Full Record in Web of Science")</f>
        <v>View Full Record in Web of Science</v>
      </c>
    </row>
    <row r="70" ht="12.75" customHeight="1">
      <c r="A70" s="14" t="s">
        <v>97</v>
      </c>
      <c r="B70" s="14" t="s">
        <v>1664</v>
      </c>
      <c r="C70" s="14" t="s">
        <v>99</v>
      </c>
      <c r="D70" s="14" t="s">
        <v>99</v>
      </c>
      <c r="E70" s="14" t="s">
        <v>99</v>
      </c>
      <c r="F70" s="14" t="s">
        <v>1665</v>
      </c>
      <c r="G70" s="14" t="s">
        <v>99</v>
      </c>
      <c r="H70" s="14" t="s">
        <v>99</v>
      </c>
      <c r="I70" s="14" t="s">
        <v>1666</v>
      </c>
      <c r="J70" s="14" t="s">
        <v>1020</v>
      </c>
      <c r="K70" s="14" t="s">
        <v>99</v>
      </c>
      <c r="L70" s="14" t="s">
        <v>99</v>
      </c>
      <c r="M70" s="14" t="s">
        <v>103</v>
      </c>
      <c r="N70" s="14" t="s">
        <v>104</v>
      </c>
      <c r="O70" s="14" t="s">
        <v>99</v>
      </c>
      <c r="P70" s="14" t="s">
        <v>99</v>
      </c>
      <c r="Q70" s="14" t="s">
        <v>99</v>
      </c>
      <c r="R70" s="14" t="s">
        <v>99</v>
      </c>
      <c r="S70" s="14" t="s">
        <v>99</v>
      </c>
      <c r="T70" s="14" t="s">
        <v>1667</v>
      </c>
      <c r="U70" s="14" t="s">
        <v>1668</v>
      </c>
      <c r="V70" s="14" t="s">
        <v>1669</v>
      </c>
      <c r="W70" s="14" t="s">
        <v>1670</v>
      </c>
      <c r="X70" s="14" t="s">
        <v>1671</v>
      </c>
      <c r="Y70" s="14" t="s">
        <v>1672</v>
      </c>
      <c r="Z70" s="14" t="s">
        <v>1673</v>
      </c>
      <c r="AA70" s="14" t="s">
        <v>1674</v>
      </c>
      <c r="AB70" s="14" t="s">
        <v>1675</v>
      </c>
      <c r="AC70" s="14" t="s">
        <v>1676</v>
      </c>
      <c r="AD70" s="14" t="s">
        <v>1677</v>
      </c>
      <c r="AE70" s="14" t="s">
        <v>1678</v>
      </c>
      <c r="AF70" s="14" t="s">
        <v>99</v>
      </c>
      <c r="AG70" s="14">
        <v>40.0</v>
      </c>
      <c r="AH70" s="14">
        <v>13.0</v>
      </c>
      <c r="AI70" s="14">
        <v>13.0</v>
      </c>
      <c r="AJ70" s="14">
        <v>3.0</v>
      </c>
      <c r="AK70" s="14">
        <v>58.0</v>
      </c>
      <c r="AL70" s="14" t="s">
        <v>441</v>
      </c>
      <c r="AM70" s="14" t="s">
        <v>442</v>
      </c>
      <c r="AN70" s="14" t="s">
        <v>443</v>
      </c>
      <c r="AO70" s="14" t="s">
        <v>1035</v>
      </c>
      <c r="AP70" s="14" t="s">
        <v>1036</v>
      </c>
      <c r="AQ70" s="14" t="s">
        <v>99</v>
      </c>
      <c r="AR70" s="14" t="s">
        <v>1037</v>
      </c>
      <c r="AS70" s="14" t="s">
        <v>1038</v>
      </c>
      <c r="AT70" s="14" t="s">
        <v>1039</v>
      </c>
      <c r="AU70" s="14">
        <v>2016.0</v>
      </c>
      <c r="AV70" s="14">
        <v>572.0</v>
      </c>
      <c r="AW70" s="14" t="s">
        <v>99</v>
      </c>
      <c r="AX70" s="14" t="s">
        <v>99</v>
      </c>
      <c r="AY70" s="14" t="s">
        <v>99</v>
      </c>
      <c r="AZ70" s="14" t="s">
        <v>99</v>
      </c>
      <c r="BA70" s="14" t="s">
        <v>99</v>
      </c>
      <c r="BB70" s="14">
        <v>1485.0</v>
      </c>
      <c r="BC70" s="14">
        <v>1495.0</v>
      </c>
      <c r="BD70" s="14" t="s">
        <v>99</v>
      </c>
      <c r="BE70" s="14" t="s">
        <v>1679</v>
      </c>
      <c r="BF70" s="15" t="str">
        <f>HYPERLINK("http://dx.doi.org/10.1016/j.scitotenv.2016.03.055","http://dx.doi.org/10.1016/j.scitotenv.2016.03.055")</f>
        <v>http://dx.doi.org/10.1016/j.scitotenv.2016.03.055</v>
      </c>
      <c r="BG70" s="14" t="s">
        <v>99</v>
      </c>
      <c r="BH70" s="14" t="s">
        <v>99</v>
      </c>
      <c r="BI70" s="14">
        <v>11.0</v>
      </c>
      <c r="BJ70" s="14" t="s">
        <v>1041</v>
      </c>
      <c r="BK70" s="14" t="s">
        <v>122</v>
      </c>
      <c r="BL70" s="14" t="s">
        <v>260</v>
      </c>
      <c r="BM70" s="14" t="s">
        <v>1680</v>
      </c>
      <c r="BN70" s="14">
        <v>2.7012185E7</v>
      </c>
      <c r="BO70" s="14" t="s">
        <v>1043</v>
      </c>
      <c r="BP70" s="14" t="s">
        <v>99</v>
      </c>
      <c r="BQ70" s="14" t="s">
        <v>99</v>
      </c>
      <c r="BR70" s="14" t="s">
        <v>124</v>
      </c>
      <c r="BS70" s="14" t="s">
        <v>1681</v>
      </c>
      <c r="BT70" s="14" t="str">
        <f>HYPERLINK("https%3A%2F%2Fwww.webofscience.com%2Fwos%2Fwoscc%2Ffull-record%2FWOS:000387807200143","View Full Record in Web of Science")</f>
        <v>View Full Record in Web of Science</v>
      </c>
    </row>
    <row r="71" ht="12.75" customHeight="1">
      <c r="A71" s="14" t="s">
        <v>97</v>
      </c>
      <c r="B71" s="14" t="s">
        <v>1682</v>
      </c>
      <c r="C71" s="14" t="s">
        <v>99</v>
      </c>
      <c r="D71" s="14" t="s">
        <v>99</v>
      </c>
      <c r="E71" s="14" t="s">
        <v>99</v>
      </c>
      <c r="F71" s="14" t="s">
        <v>1683</v>
      </c>
      <c r="G71" s="14" t="s">
        <v>99</v>
      </c>
      <c r="H71" s="14" t="s">
        <v>99</v>
      </c>
      <c r="I71" s="14" t="s">
        <v>1684</v>
      </c>
      <c r="J71" s="14" t="s">
        <v>1685</v>
      </c>
      <c r="K71" s="14" t="s">
        <v>99</v>
      </c>
      <c r="L71" s="14" t="s">
        <v>99</v>
      </c>
      <c r="M71" s="14" t="s">
        <v>103</v>
      </c>
      <c r="N71" s="14" t="s">
        <v>104</v>
      </c>
      <c r="O71" s="14" t="s">
        <v>99</v>
      </c>
      <c r="P71" s="14" t="s">
        <v>99</v>
      </c>
      <c r="Q71" s="14" t="s">
        <v>99</v>
      </c>
      <c r="R71" s="14" t="s">
        <v>99</v>
      </c>
      <c r="S71" s="14" t="s">
        <v>99</v>
      </c>
      <c r="T71" s="14" t="s">
        <v>1686</v>
      </c>
      <c r="U71" s="14" t="s">
        <v>1687</v>
      </c>
      <c r="V71" s="14" t="s">
        <v>1688</v>
      </c>
      <c r="W71" s="14" t="s">
        <v>1689</v>
      </c>
      <c r="X71" s="14" t="s">
        <v>1690</v>
      </c>
      <c r="Y71" s="14" t="s">
        <v>1691</v>
      </c>
      <c r="Z71" s="14" t="s">
        <v>1692</v>
      </c>
      <c r="AA71" s="14" t="s">
        <v>1693</v>
      </c>
      <c r="AB71" s="14" t="s">
        <v>1694</v>
      </c>
      <c r="AC71" s="14" t="s">
        <v>99</v>
      </c>
      <c r="AD71" s="14" t="s">
        <v>99</v>
      </c>
      <c r="AE71" s="14" t="s">
        <v>99</v>
      </c>
      <c r="AF71" s="14" t="s">
        <v>99</v>
      </c>
      <c r="AG71" s="14">
        <v>70.0</v>
      </c>
      <c r="AH71" s="14">
        <v>81.0</v>
      </c>
      <c r="AI71" s="14">
        <v>87.0</v>
      </c>
      <c r="AJ71" s="14">
        <v>3.0</v>
      </c>
      <c r="AK71" s="14">
        <v>106.0</v>
      </c>
      <c r="AL71" s="14" t="s">
        <v>1347</v>
      </c>
      <c r="AM71" s="14" t="s">
        <v>1348</v>
      </c>
      <c r="AN71" s="14" t="s">
        <v>1349</v>
      </c>
      <c r="AO71" s="14" t="s">
        <v>99</v>
      </c>
      <c r="AP71" s="14" t="s">
        <v>1695</v>
      </c>
      <c r="AQ71" s="14" t="s">
        <v>99</v>
      </c>
      <c r="AR71" s="14" t="s">
        <v>1685</v>
      </c>
      <c r="AS71" s="14" t="s">
        <v>1696</v>
      </c>
      <c r="AT71" s="14" t="s">
        <v>1058</v>
      </c>
      <c r="AU71" s="14">
        <v>2016.0</v>
      </c>
      <c r="AV71" s="14">
        <v>7.0</v>
      </c>
      <c r="AW71" s="14">
        <v>12.0</v>
      </c>
      <c r="AX71" s="14" t="s">
        <v>99</v>
      </c>
      <c r="AY71" s="14" t="s">
        <v>99</v>
      </c>
      <c r="AZ71" s="14" t="s">
        <v>99</v>
      </c>
      <c r="BA71" s="14" t="s">
        <v>99</v>
      </c>
      <c r="BB71" s="14" t="s">
        <v>99</v>
      </c>
      <c r="BC71" s="14" t="s">
        <v>99</v>
      </c>
      <c r="BD71" s="14">
        <v>305.0</v>
      </c>
      <c r="BE71" s="14" t="s">
        <v>1697</v>
      </c>
      <c r="BF71" s="15" t="str">
        <f>HYPERLINK("http://dx.doi.org/10.3390/f7120305","http://dx.doi.org/10.3390/f7120305")</f>
        <v>http://dx.doi.org/10.3390/f7120305</v>
      </c>
      <c r="BG71" s="14" t="s">
        <v>99</v>
      </c>
      <c r="BH71" s="14" t="s">
        <v>99</v>
      </c>
      <c r="BI71" s="14">
        <v>17.0</v>
      </c>
      <c r="BJ71" s="14" t="s">
        <v>281</v>
      </c>
      <c r="BK71" s="14" t="s">
        <v>122</v>
      </c>
      <c r="BL71" s="14" t="s">
        <v>281</v>
      </c>
      <c r="BM71" s="14" t="s">
        <v>1698</v>
      </c>
      <c r="BN71" s="14" t="s">
        <v>99</v>
      </c>
      <c r="BO71" s="14" t="s">
        <v>1251</v>
      </c>
      <c r="BP71" s="14" t="s">
        <v>99</v>
      </c>
      <c r="BQ71" s="14" t="s">
        <v>99</v>
      </c>
      <c r="BR71" s="14" t="s">
        <v>124</v>
      </c>
      <c r="BS71" s="14" t="s">
        <v>1699</v>
      </c>
      <c r="BT71" s="14" t="str">
        <f>HYPERLINK("https%3A%2F%2Fwww.webofscience.com%2Fwos%2Fwoscc%2Ffull-record%2FWOS:000393327700005","View Full Record in Web of Science")</f>
        <v>View Full Record in Web of Science</v>
      </c>
    </row>
    <row r="72" ht="12.75" customHeight="1">
      <c r="A72" s="14" t="s">
        <v>97</v>
      </c>
      <c r="B72" s="14" t="s">
        <v>1700</v>
      </c>
      <c r="C72" s="14" t="s">
        <v>99</v>
      </c>
      <c r="D72" s="14" t="s">
        <v>99</v>
      </c>
      <c r="E72" s="14" t="s">
        <v>99</v>
      </c>
      <c r="F72" s="14" t="s">
        <v>1701</v>
      </c>
      <c r="G72" s="14" t="s">
        <v>99</v>
      </c>
      <c r="H72" s="14" t="s">
        <v>99</v>
      </c>
      <c r="I72" s="14" t="s">
        <v>1702</v>
      </c>
      <c r="J72" s="14" t="s">
        <v>1048</v>
      </c>
      <c r="K72" s="14" t="s">
        <v>99</v>
      </c>
      <c r="L72" s="14" t="s">
        <v>99</v>
      </c>
      <c r="M72" s="14" t="s">
        <v>103</v>
      </c>
      <c r="N72" s="14" t="s">
        <v>104</v>
      </c>
      <c r="O72" s="14" t="s">
        <v>99</v>
      </c>
      <c r="P72" s="14" t="s">
        <v>99</v>
      </c>
      <c r="Q72" s="14" t="s">
        <v>99</v>
      </c>
      <c r="R72" s="14" t="s">
        <v>99</v>
      </c>
      <c r="S72" s="14" t="s">
        <v>99</v>
      </c>
      <c r="T72" s="14" t="s">
        <v>1703</v>
      </c>
      <c r="U72" s="14" t="s">
        <v>1704</v>
      </c>
      <c r="V72" s="14" t="s">
        <v>1705</v>
      </c>
      <c r="W72" s="14" t="s">
        <v>1706</v>
      </c>
      <c r="X72" s="14" t="s">
        <v>1707</v>
      </c>
      <c r="Y72" s="14" t="s">
        <v>1708</v>
      </c>
      <c r="Z72" s="14" t="s">
        <v>99</v>
      </c>
      <c r="AA72" s="14" t="s">
        <v>1709</v>
      </c>
      <c r="AB72" s="14" t="s">
        <v>1710</v>
      </c>
      <c r="AC72" s="14" t="s">
        <v>1711</v>
      </c>
      <c r="AD72" s="14" t="s">
        <v>1712</v>
      </c>
      <c r="AE72" s="14" t="s">
        <v>1713</v>
      </c>
      <c r="AF72" s="14" t="s">
        <v>99</v>
      </c>
      <c r="AG72" s="14">
        <v>49.0</v>
      </c>
      <c r="AH72" s="14">
        <v>64.0</v>
      </c>
      <c r="AI72" s="14">
        <v>81.0</v>
      </c>
      <c r="AJ72" s="14">
        <v>1.0</v>
      </c>
      <c r="AK72" s="14">
        <v>176.0</v>
      </c>
      <c r="AL72" s="14" t="s">
        <v>493</v>
      </c>
      <c r="AM72" s="14" t="s">
        <v>468</v>
      </c>
      <c r="AN72" s="14" t="s">
        <v>635</v>
      </c>
      <c r="AO72" s="14" t="s">
        <v>1055</v>
      </c>
      <c r="AP72" s="14" t="s">
        <v>1056</v>
      </c>
      <c r="AQ72" s="14" t="s">
        <v>99</v>
      </c>
      <c r="AR72" s="14" t="s">
        <v>1048</v>
      </c>
      <c r="AS72" s="14" t="s">
        <v>1057</v>
      </c>
      <c r="AT72" s="14" t="s">
        <v>1714</v>
      </c>
      <c r="AU72" s="14">
        <v>2016.0</v>
      </c>
      <c r="AV72" s="14">
        <v>57.0</v>
      </c>
      <c r="AW72" s="14" t="s">
        <v>99</v>
      </c>
      <c r="AX72" s="14" t="s">
        <v>99</v>
      </c>
      <c r="AY72" s="14" t="s">
        <v>99</v>
      </c>
      <c r="AZ72" s="14" t="s">
        <v>99</v>
      </c>
      <c r="BA72" s="14" t="s">
        <v>99</v>
      </c>
      <c r="BB72" s="14">
        <v>777.0</v>
      </c>
      <c r="BC72" s="14">
        <v>785.0</v>
      </c>
      <c r="BD72" s="14" t="s">
        <v>99</v>
      </c>
      <c r="BE72" s="14" t="s">
        <v>1715</v>
      </c>
      <c r="BF72" s="15" t="str">
        <f>HYPERLINK("http://dx.doi.org/10.1016/j.landusepol.2014.12.005","http://dx.doi.org/10.1016/j.landusepol.2014.12.005")</f>
        <v>http://dx.doi.org/10.1016/j.landusepol.2014.12.005</v>
      </c>
      <c r="BG72" s="14" t="s">
        <v>99</v>
      </c>
      <c r="BH72" s="14" t="s">
        <v>99</v>
      </c>
      <c r="BI72" s="14">
        <v>9.0</v>
      </c>
      <c r="BJ72" s="14" t="s">
        <v>1060</v>
      </c>
      <c r="BK72" s="14" t="s">
        <v>643</v>
      </c>
      <c r="BL72" s="14" t="s">
        <v>260</v>
      </c>
      <c r="BM72" s="14" t="s">
        <v>1716</v>
      </c>
      <c r="BN72" s="14" t="s">
        <v>99</v>
      </c>
      <c r="BO72" s="14" t="s">
        <v>99</v>
      </c>
      <c r="BP72" s="14" t="s">
        <v>99</v>
      </c>
      <c r="BQ72" s="14" t="s">
        <v>99</v>
      </c>
      <c r="BR72" s="14" t="s">
        <v>124</v>
      </c>
      <c r="BS72" s="14" t="s">
        <v>1717</v>
      </c>
      <c r="BT72" s="14" t="str">
        <f>HYPERLINK("https%3A%2F%2Fwww.webofscience.com%2Fwos%2Fwoscc%2Ffull-record%2FWOS:000382341200071","View Full Record in Web of Science")</f>
        <v>View Full Record in Web of Science</v>
      </c>
    </row>
    <row r="73" ht="12.75" customHeight="1">
      <c r="A73" s="14" t="s">
        <v>97</v>
      </c>
      <c r="B73" s="14" t="s">
        <v>1718</v>
      </c>
      <c r="C73" s="14" t="s">
        <v>99</v>
      </c>
      <c r="D73" s="14" t="s">
        <v>99</v>
      </c>
      <c r="E73" s="14" t="s">
        <v>99</v>
      </c>
      <c r="F73" s="14" t="s">
        <v>1719</v>
      </c>
      <c r="G73" s="14" t="s">
        <v>99</v>
      </c>
      <c r="H73" s="14" t="s">
        <v>99</v>
      </c>
      <c r="I73" s="14" t="s">
        <v>1720</v>
      </c>
      <c r="J73" s="14" t="s">
        <v>1721</v>
      </c>
      <c r="K73" s="14" t="s">
        <v>99</v>
      </c>
      <c r="L73" s="14" t="s">
        <v>99</v>
      </c>
      <c r="M73" s="14" t="s">
        <v>103</v>
      </c>
      <c r="N73" s="14" t="s">
        <v>104</v>
      </c>
      <c r="O73" s="14" t="s">
        <v>99</v>
      </c>
      <c r="P73" s="14" t="s">
        <v>99</v>
      </c>
      <c r="Q73" s="14" t="s">
        <v>99</v>
      </c>
      <c r="R73" s="14" t="s">
        <v>99</v>
      </c>
      <c r="S73" s="14" t="s">
        <v>99</v>
      </c>
      <c r="T73" s="14" t="s">
        <v>1722</v>
      </c>
      <c r="U73" s="14" t="s">
        <v>1723</v>
      </c>
      <c r="V73" s="14" t="s">
        <v>1724</v>
      </c>
      <c r="W73" s="14" t="s">
        <v>1725</v>
      </c>
      <c r="X73" s="14" t="s">
        <v>1726</v>
      </c>
      <c r="Y73" s="14" t="s">
        <v>1727</v>
      </c>
      <c r="Z73" s="14" t="s">
        <v>1728</v>
      </c>
      <c r="AA73" s="14" t="s">
        <v>1729</v>
      </c>
      <c r="AB73" s="14" t="s">
        <v>1730</v>
      </c>
      <c r="AC73" s="14" t="s">
        <v>99</v>
      </c>
      <c r="AD73" s="14" t="s">
        <v>99</v>
      </c>
      <c r="AE73" s="14" t="s">
        <v>99</v>
      </c>
      <c r="AF73" s="14" t="s">
        <v>99</v>
      </c>
      <c r="AG73" s="14">
        <v>118.0</v>
      </c>
      <c r="AH73" s="14">
        <v>40.0</v>
      </c>
      <c r="AI73" s="14">
        <v>55.0</v>
      </c>
      <c r="AJ73" s="14">
        <v>5.0</v>
      </c>
      <c r="AK73" s="14">
        <v>70.0</v>
      </c>
      <c r="AL73" s="14" t="s">
        <v>1731</v>
      </c>
      <c r="AM73" s="14" t="s">
        <v>1732</v>
      </c>
      <c r="AN73" s="14" t="s">
        <v>1733</v>
      </c>
      <c r="AO73" s="14" t="s">
        <v>1734</v>
      </c>
      <c r="AP73" s="14" t="s">
        <v>1735</v>
      </c>
      <c r="AQ73" s="14" t="s">
        <v>99</v>
      </c>
      <c r="AR73" s="14" t="s">
        <v>1736</v>
      </c>
      <c r="AS73" s="14" t="s">
        <v>1737</v>
      </c>
      <c r="AT73" s="14" t="s">
        <v>348</v>
      </c>
      <c r="AU73" s="14">
        <v>2016.0</v>
      </c>
      <c r="AV73" s="14">
        <v>25.0</v>
      </c>
      <c r="AW73" s="14">
        <v>12.0</v>
      </c>
      <c r="AX73" s="14" t="s">
        <v>99</v>
      </c>
      <c r="AY73" s="14" t="s">
        <v>99</v>
      </c>
      <c r="AZ73" s="14" t="s">
        <v>1738</v>
      </c>
      <c r="BA73" s="14" t="s">
        <v>99</v>
      </c>
      <c r="BB73" s="14">
        <v>2491.0</v>
      </c>
      <c r="BC73" s="14">
        <v>2519.0</v>
      </c>
      <c r="BD73" s="14" t="s">
        <v>99</v>
      </c>
      <c r="BE73" s="14" t="s">
        <v>1739</v>
      </c>
      <c r="BF73" s="15" t="str">
        <f>HYPERLINK("http://dx.doi.org/10.1007/s10531-016-1172-0","http://dx.doi.org/10.1007/s10531-016-1172-0")</f>
        <v>http://dx.doi.org/10.1007/s10531-016-1172-0</v>
      </c>
      <c r="BG73" s="14" t="s">
        <v>99</v>
      </c>
      <c r="BH73" s="14" t="s">
        <v>99</v>
      </c>
      <c r="BI73" s="14">
        <v>29.0</v>
      </c>
      <c r="BJ73" s="14" t="s">
        <v>351</v>
      </c>
      <c r="BK73" s="14" t="s">
        <v>122</v>
      </c>
      <c r="BL73" s="14" t="s">
        <v>352</v>
      </c>
      <c r="BM73" s="14" t="s">
        <v>1740</v>
      </c>
      <c r="BN73" s="14" t="s">
        <v>99</v>
      </c>
      <c r="BO73" s="14" t="s">
        <v>425</v>
      </c>
      <c r="BP73" s="14" t="s">
        <v>99</v>
      </c>
      <c r="BQ73" s="14" t="s">
        <v>99</v>
      </c>
      <c r="BR73" s="14" t="s">
        <v>124</v>
      </c>
      <c r="BS73" s="14" t="s">
        <v>1741</v>
      </c>
      <c r="BT73" s="14" t="str">
        <f>HYPERLINK("https%3A%2F%2Fwww.webofscience.com%2Fwos%2Fwoscc%2Ffull-record%2FWOS:000386500700016","View Full Record in Web of Science")</f>
        <v>View Full Record in Web of Science</v>
      </c>
    </row>
    <row r="74" ht="12.75" customHeight="1">
      <c r="A74" s="14" t="s">
        <v>97</v>
      </c>
      <c r="B74" s="14" t="s">
        <v>1742</v>
      </c>
      <c r="C74" s="14" t="s">
        <v>99</v>
      </c>
      <c r="D74" s="14" t="s">
        <v>99</v>
      </c>
      <c r="E74" s="14" t="s">
        <v>99</v>
      </c>
      <c r="F74" s="14" t="s">
        <v>1743</v>
      </c>
      <c r="G74" s="14" t="s">
        <v>99</v>
      </c>
      <c r="H74" s="14" t="s">
        <v>99</v>
      </c>
      <c r="I74" s="14" t="s">
        <v>1744</v>
      </c>
      <c r="J74" s="14" t="s">
        <v>1231</v>
      </c>
      <c r="K74" s="14" t="s">
        <v>99</v>
      </c>
      <c r="L74" s="14" t="s">
        <v>99</v>
      </c>
      <c r="M74" s="14" t="s">
        <v>103</v>
      </c>
      <c r="N74" s="14" t="s">
        <v>104</v>
      </c>
      <c r="O74" s="14" t="s">
        <v>99</v>
      </c>
      <c r="P74" s="14" t="s">
        <v>99</v>
      </c>
      <c r="Q74" s="14" t="s">
        <v>99</v>
      </c>
      <c r="R74" s="14" t="s">
        <v>99</v>
      </c>
      <c r="S74" s="14" t="s">
        <v>99</v>
      </c>
      <c r="T74" s="14" t="s">
        <v>99</v>
      </c>
      <c r="U74" s="14" t="s">
        <v>1745</v>
      </c>
      <c r="V74" s="14" t="s">
        <v>1746</v>
      </c>
      <c r="W74" s="14" t="s">
        <v>1747</v>
      </c>
      <c r="X74" s="14" t="s">
        <v>1748</v>
      </c>
      <c r="Y74" s="14" t="s">
        <v>1749</v>
      </c>
      <c r="Z74" s="14" t="s">
        <v>1750</v>
      </c>
      <c r="AA74" s="14" t="s">
        <v>1751</v>
      </c>
      <c r="AB74" s="14" t="s">
        <v>1752</v>
      </c>
      <c r="AC74" s="14" t="s">
        <v>1753</v>
      </c>
      <c r="AD74" s="14" t="s">
        <v>1754</v>
      </c>
      <c r="AE74" s="14" t="s">
        <v>1755</v>
      </c>
      <c r="AF74" s="14" t="s">
        <v>99</v>
      </c>
      <c r="AG74" s="14">
        <v>98.0</v>
      </c>
      <c r="AH74" s="14">
        <v>126.0</v>
      </c>
      <c r="AI74" s="14">
        <v>141.0</v>
      </c>
      <c r="AJ74" s="14">
        <v>0.0</v>
      </c>
      <c r="AK74" s="14">
        <v>36.0</v>
      </c>
      <c r="AL74" s="14" t="s">
        <v>1243</v>
      </c>
      <c r="AM74" s="14" t="s">
        <v>789</v>
      </c>
      <c r="AN74" s="14" t="s">
        <v>1244</v>
      </c>
      <c r="AO74" s="14" t="s">
        <v>1245</v>
      </c>
      <c r="AP74" s="14" t="s">
        <v>99</v>
      </c>
      <c r="AQ74" s="14" t="s">
        <v>99</v>
      </c>
      <c r="AR74" s="14" t="s">
        <v>1246</v>
      </c>
      <c r="AS74" s="14" t="s">
        <v>1247</v>
      </c>
      <c r="AT74" s="14" t="s">
        <v>348</v>
      </c>
      <c r="AU74" s="14">
        <v>2016.0</v>
      </c>
      <c r="AV74" s="14">
        <v>2.0</v>
      </c>
      <c r="AW74" s="14">
        <v>11.0</v>
      </c>
      <c r="AX74" s="14" t="s">
        <v>99</v>
      </c>
      <c r="AY74" s="14" t="s">
        <v>99</v>
      </c>
      <c r="AZ74" s="14" t="s">
        <v>99</v>
      </c>
      <c r="BA74" s="14" t="s">
        <v>99</v>
      </c>
      <c r="BB74" s="14" t="s">
        <v>99</v>
      </c>
      <c r="BC74" s="14" t="s">
        <v>99</v>
      </c>
      <c r="BD74" s="14" t="s">
        <v>1756</v>
      </c>
      <c r="BE74" s="14" t="s">
        <v>1757</v>
      </c>
      <c r="BF74" s="15" t="str">
        <f>HYPERLINK("http://dx.doi.org/10.1126/sciadv.1501923","http://dx.doi.org/10.1126/sciadv.1501923")</f>
        <v>http://dx.doi.org/10.1126/sciadv.1501923</v>
      </c>
      <c r="BG74" s="14" t="s">
        <v>99</v>
      </c>
      <c r="BH74" s="14" t="s">
        <v>99</v>
      </c>
      <c r="BI74" s="14">
        <v>11.0</v>
      </c>
      <c r="BJ74" s="14" t="s">
        <v>799</v>
      </c>
      <c r="BK74" s="14" t="s">
        <v>122</v>
      </c>
      <c r="BL74" s="14" t="s">
        <v>801</v>
      </c>
      <c r="BM74" s="14" t="s">
        <v>1758</v>
      </c>
      <c r="BN74" s="14">
        <v>2.8861462E7</v>
      </c>
      <c r="BO74" s="14" t="s">
        <v>1251</v>
      </c>
      <c r="BP74" s="14" t="s">
        <v>99</v>
      </c>
      <c r="BQ74" s="14" t="s">
        <v>99</v>
      </c>
      <c r="BR74" s="14" t="s">
        <v>124</v>
      </c>
      <c r="BS74" s="14" t="s">
        <v>1759</v>
      </c>
      <c r="BT74" s="14" t="str">
        <f>HYPERLINK("https%3A%2F%2Fwww.webofscience.com%2Fwos%2Fwoscc%2Ffull-record%2FWOS:000391267800002","View Full Record in Web of Science")</f>
        <v>View Full Record in Web of Science</v>
      </c>
    </row>
    <row r="75" ht="12.75" customHeight="1">
      <c r="A75" s="14" t="s">
        <v>97</v>
      </c>
      <c r="B75" s="14" t="s">
        <v>1760</v>
      </c>
      <c r="C75" s="14" t="s">
        <v>99</v>
      </c>
      <c r="D75" s="14" t="s">
        <v>99</v>
      </c>
      <c r="E75" s="14" t="s">
        <v>99</v>
      </c>
      <c r="F75" s="14" t="s">
        <v>1761</v>
      </c>
      <c r="G75" s="14" t="s">
        <v>99</v>
      </c>
      <c r="H75" s="14" t="s">
        <v>99</v>
      </c>
      <c r="I75" s="14" t="s">
        <v>1762</v>
      </c>
      <c r="J75" s="14" t="s">
        <v>1763</v>
      </c>
      <c r="K75" s="14" t="s">
        <v>99</v>
      </c>
      <c r="L75" s="14" t="s">
        <v>99</v>
      </c>
      <c r="M75" s="14" t="s">
        <v>103</v>
      </c>
      <c r="N75" s="14" t="s">
        <v>104</v>
      </c>
      <c r="O75" s="14" t="s">
        <v>99</v>
      </c>
      <c r="P75" s="14" t="s">
        <v>99</v>
      </c>
      <c r="Q75" s="14" t="s">
        <v>99</v>
      </c>
      <c r="R75" s="14" t="s">
        <v>99</v>
      </c>
      <c r="S75" s="14" t="s">
        <v>99</v>
      </c>
      <c r="T75" s="14" t="s">
        <v>1764</v>
      </c>
      <c r="U75" s="14" t="s">
        <v>1765</v>
      </c>
      <c r="V75" s="14" t="s">
        <v>1766</v>
      </c>
      <c r="W75" s="14" t="s">
        <v>1767</v>
      </c>
      <c r="X75" s="14" t="s">
        <v>1768</v>
      </c>
      <c r="Y75" s="14" t="s">
        <v>1769</v>
      </c>
      <c r="Z75" s="14" t="s">
        <v>1770</v>
      </c>
      <c r="AA75" s="14" t="s">
        <v>1771</v>
      </c>
      <c r="AB75" s="14" t="s">
        <v>1772</v>
      </c>
      <c r="AC75" s="14" t="s">
        <v>1773</v>
      </c>
      <c r="AD75" s="14" t="s">
        <v>1774</v>
      </c>
      <c r="AE75" s="14" t="s">
        <v>1775</v>
      </c>
      <c r="AF75" s="14" t="s">
        <v>99</v>
      </c>
      <c r="AG75" s="14">
        <v>169.0</v>
      </c>
      <c r="AH75" s="14">
        <v>65.0</v>
      </c>
      <c r="AI75" s="14">
        <v>70.0</v>
      </c>
      <c r="AJ75" s="14">
        <v>9.0</v>
      </c>
      <c r="AK75" s="14">
        <v>91.0</v>
      </c>
      <c r="AL75" s="14" t="s">
        <v>1033</v>
      </c>
      <c r="AM75" s="14" t="s">
        <v>442</v>
      </c>
      <c r="AN75" s="14" t="s">
        <v>1034</v>
      </c>
      <c r="AO75" s="14" t="s">
        <v>1776</v>
      </c>
      <c r="AP75" s="14" t="s">
        <v>99</v>
      </c>
      <c r="AQ75" s="14" t="s">
        <v>99</v>
      </c>
      <c r="AR75" s="14" t="s">
        <v>1777</v>
      </c>
      <c r="AS75" s="14" t="s">
        <v>1778</v>
      </c>
      <c r="AT75" s="14" t="s">
        <v>348</v>
      </c>
      <c r="AU75" s="14">
        <v>2016.0</v>
      </c>
      <c r="AV75" s="14">
        <v>8.0</v>
      </c>
      <c r="AW75" s="14" t="s">
        <v>99</v>
      </c>
      <c r="AX75" s="14">
        <v>2.0</v>
      </c>
      <c r="AY75" s="14" t="s">
        <v>99</v>
      </c>
      <c r="AZ75" s="14" t="s">
        <v>99</v>
      </c>
      <c r="BA75" s="14" t="s">
        <v>99</v>
      </c>
      <c r="BB75" s="14">
        <v>259.0</v>
      </c>
      <c r="BC75" s="14">
        <v>273.0</v>
      </c>
      <c r="BD75" s="14" t="s">
        <v>99</v>
      </c>
      <c r="BE75" s="14" t="s">
        <v>1779</v>
      </c>
      <c r="BF75" s="15" t="str">
        <f>HYPERLINK("http://dx.doi.org/10.1016/j.rsma.2016.09.001","http://dx.doi.org/10.1016/j.rsma.2016.09.001")</f>
        <v>http://dx.doi.org/10.1016/j.rsma.2016.09.001</v>
      </c>
      <c r="BG75" s="14" t="s">
        <v>99</v>
      </c>
      <c r="BH75" s="14" t="s">
        <v>99</v>
      </c>
      <c r="BI75" s="14">
        <v>15.0</v>
      </c>
      <c r="BJ75" s="14" t="s">
        <v>1274</v>
      </c>
      <c r="BK75" s="14" t="s">
        <v>800</v>
      </c>
      <c r="BL75" s="14" t="s">
        <v>397</v>
      </c>
      <c r="BM75" s="14" t="s">
        <v>1780</v>
      </c>
      <c r="BN75" s="14" t="s">
        <v>99</v>
      </c>
      <c r="BO75" s="14" t="s">
        <v>1781</v>
      </c>
      <c r="BP75" s="14" t="s">
        <v>99</v>
      </c>
      <c r="BQ75" s="14" t="s">
        <v>99</v>
      </c>
      <c r="BR75" s="14" t="s">
        <v>124</v>
      </c>
      <c r="BS75" s="14" t="s">
        <v>1782</v>
      </c>
      <c r="BT75" s="14" t="str">
        <f>HYPERLINK("https%3A%2F%2Fwww.webofscience.com%2Fwos%2Fwoscc%2Ffull-record%2FWOS:000414771500005","View Full Record in Web of Science")</f>
        <v>View Full Record in Web of Science</v>
      </c>
    </row>
    <row r="76" ht="12.75" customHeight="1">
      <c r="A76" s="14" t="s">
        <v>97</v>
      </c>
      <c r="B76" s="14" t="s">
        <v>1783</v>
      </c>
      <c r="C76" s="14" t="s">
        <v>99</v>
      </c>
      <c r="D76" s="14" t="s">
        <v>99</v>
      </c>
      <c r="E76" s="14" t="s">
        <v>99</v>
      </c>
      <c r="F76" s="14" t="s">
        <v>1784</v>
      </c>
      <c r="G76" s="14" t="s">
        <v>99</v>
      </c>
      <c r="H76" s="14" t="s">
        <v>99</v>
      </c>
      <c r="I76" s="14" t="s">
        <v>1785</v>
      </c>
      <c r="J76" s="14" t="s">
        <v>1786</v>
      </c>
      <c r="K76" s="14" t="s">
        <v>99</v>
      </c>
      <c r="L76" s="14" t="s">
        <v>99</v>
      </c>
      <c r="M76" s="14" t="s">
        <v>103</v>
      </c>
      <c r="N76" s="14" t="s">
        <v>104</v>
      </c>
      <c r="O76" s="14" t="s">
        <v>99</v>
      </c>
      <c r="P76" s="14" t="s">
        <v>99</v>
      </c>
      <c r="Q76" s="14" t="s">
        <v>99</v>
      </c>
      <c r="R76" s="14" t="s">
        <v>99</v>
      </c>
      <c r="S76" s="14" t="s">
        <v>99</v>
      </c>
      <c r="T76" s="14" t="s">
        <v>1787</v>
      </c>
      <c r="U76" s="14" t="s">
        <v>1788</v>
      </c>
      <c r="V76" s="14" t="s">
        <v>1789</v>
      </c>
      <c r="W76" s="14" t="s">
        <v>1790</v>
      </c>
      <c r="X76" s="14" t="s">
        <v>1791</v>
      </c>
      <c r="Y76" s="14" t="s">
        <v>1792</v>
      </c>
      <c r="Z76" s="14" t="s">
        <v>1793</v>
      </c>
      <c r="AA76" s="14" t="s">
        <v>1794</v>
      </c>
      <c r="AB76" s="14" t="s">
        <v>1795</v>
      </c>
      <c r="AC76" s="14" t="s">
        <v>1796</v>
      </c>
      <c r="AD76" s="14" t="s">
        <v>1796</v>
      </c>
      <c r="AE76" s="14" t="s">
        <v>1797</v>
      </c>
      <c r="AF76" s="14" t="s">
        <v>99</v>
      </c>
      <c r="AG76" s="14">
        <v>295.0</v>
      </c>
      <c r="AH76" s="14">
        <v>594.0</v>
      </c>
      <c r="AI76" s="14">
        <v>684.0</v>
      </c>
      <c r="AJ76" s="14">
        <v>17.0</v>
      </c>
      <c r="AK76" s="14">
        <v>466.0</v>
      </c>
      <c r="AL76" s="14" t="s">
        <v>341</v>
      </c>
      <c r="AM76" s="14" t="s">
        <v>342</v>
      </c>
      <c r="AN76" s="14" t="s">
        <v>343</v>
      </c>
      <c r="AO76" s="14" t="s">
        <v>1798</v>
      </c>
      <c r="AP76" s="14" t="s">
        <v>1799</v>
      </c>
      <c r="AQ76" s="14" t="s">
        <v>99</v>
      </c>
      <c r="AR76" s="14" t="s">
        <v>1800</v>
      </c>
      <c r="AS76" s="14" t="s">
        <v>1801</v>
      </c>
      <c r="AT76" s="14" t="s">
        <v>348</v>
      </c>
      <c r="AU76" s="14">
        <v>2016.0</v>
      </c>
      <c r="AV76" s="14">
        <v>91.0</v>
      </c>
      <c r="AW76" s="14">
        <v>4.0</v>
      </c>
      <c r="AX76" s="14" t="s">
        <v>99</v>
      </c>
      <c r="AY76" s="14" t="s">
        <v>99</v>
      </c>
      <c r="AZ76" s="14" t="s">
        <v>99</v>
      </c>
      <c r="BA76" s="14" t="s">
        <v>99</v>
      </c>
      <c r="BB76" s="14">
        <v>982.0</v>
      </c>
      <c r="BC76" s="14">
        <v>1005.0</v>
      </c>
      <c r="BD76" s="14" t="s">
        <v>99</v>
      </c>
      <c r="BE76" s="14" t="s">
        <v>1802</v>
      </c>
      <c r="BF76" s="15" t="str">
        <f>HYPERLINK("http://dx.doi.org/10.1111/brv.12207","http://dx.doi.org/10.1111/brv.12207")</f>
        <v>http://dx.doi.org/10.1111/brv.12207</v>
      </c>
      <c r="BG76" s="14" t="s">
        <v>99</v>
      </c>
      <c r="BH76" s="14" t="s">
        <v>99</v>
      </c>
      <c r="BI76" s="14">
        <v>24.0</v>
      </c>
      <c r="BJ76" s="14" t="s">
        <v>1803</v>
      </c>
      <c r="BK76" s="14" t="s">
        <v>122</v>
      </c>
      <c r="BL76" s="14" t="s">
        <v>1804</v>
      </c>
      <c r="BM76" s="14" t="s">
        <v>1805</v>
      </c>
      <c r="BN76" s="14">
        <v>2.6118691E7</v>
      </c>
      <c r="BO76" s="14" t="s">
        <v>99</v>
      </c>
      <c r="BP76" s="14" t="s">
        <v>99</v>
      </c>
      <c r="BQ76" s="14" t="s">
        <v>99</v>
      </c>
      <c r="BR76" s="14" t="s">
        <v>124</v>
      </c>
      <c r="BS76" s="14" t="s">
        <v>1806</v>
      </c>
      <c r="BT76" s="14" t="str">
        <f>HYPERLINK("https%3A%2F%2Fwww.webofscience.com%2Fwos%2Fwoscc%2Ffull-record%2FWOS:000385570300006","View Full Record in Web of Science")</f>
        <v>View Full Record in Web of Science</v>
      </c>
    </row>
    <row r="77" ht="12.75" customHeight="1">
      <c r="A77" s="14" t="s">
        <v>97</v>
      </c>
      <c r="B77" s="14" t="s">
        <v>1807</v>
      </c>
      <c r="C77" s="14" t="s">
        <v>99</v>
      </c>
      <c r="D77" s="14" t="s">
        <v>99</v>
      </c>
      <c r="E77" s="14" t="s">
        <v>99</v>
      </c>
      <c r="F77" s="14" t="s">
        <v>1808</v>
      </c>
      <c r="G77" s="14" t="s">
        <v>99</v>
      </c>
      <c r="H77" s="14" t="s">
        <v>99</v>
      </c>
      <c r="I77" s="14" t="s">
        <v>1809</v>
      </c>
      <c r="J77" s="14" t="s">
        <v>1605</v>
      </c>
      <c r="K77" s="14" t="s">
        <v>99</v>
      </c>
      <c r="L77" s="14" t="s">
        <v>99</v>
      </c>
      <c r="M77" s="14" t="s">
        <v>103</v>
      </c>
      <c r="N77" s="14" t="s">
        <v>104</v>
      </c>
      <c r="O77" s="14" t="s">
        <v>99</v>
      </c>
      <c r="P77" s="14" t="s">
        <v>99</v>
      </c>
      <c r="Q77" s="14" t="s">
        <v>99</v>
      </c>
      <c r="R77" s="14" t="s">
        <v>99</v>
      </c>
      <c r="S77" s="14" t="s">
        <v>99</v>
      </c>
      <c r="T77" s="14" t="s">
        <v>1810</v>
      </c>
      <c r="U77" s="14" t="s">
        <v>1811</v>
      </c>
      <c r="V77" s="14" t="s">
        <v>1812</v>
      </c>
      <c r="W77" s="14" t="s">
        <v>1813</v>
      </c>
      <c r="X77" s="14" t="s">
        <v>1814</v>
      </c>
      <c r="Y77" s="14" t="s">
        <v>1815</v>
      </c>
      <c r="Z77" s="14" t="s">
        <v>1816</v>
      </c>
      <c r="AA77" s="14" t="s">
        <v>1817</v>
      </c>
      <c r="AB77" s="14" t="s">
        <v>1818</v>
      </c>
      <c r="AC77" s="14" t="s">
        <v>1819</v>
      </c>
      <c r="AD77" s="14" t="s">
        <v>1820</v>
      </c>
      <c r="AE77" s="14" t="s">
        <v>1821</v>
      </c>
      <c r="AF77" s="14" t="s">
        <v>99</v>
      </c>
      <c r="AG77" s="14">
        <v>61.0</v>
      </c>
      <c r="AH77" s="14">
        <v>45.0</v>
      </c>
      <c r="AI77" s="14">
        <v>48.0</v>
      </c>
      <c r="AJ77" s="14">
        <v>2.0</v>
      </c>
      <c r="AK77" s="14">
        <v>51.0</v>
      </c>
      <c r="AL77" s="14" t="s">
        <v>1822</v>
      </c>
      <c r="AM77" s="14" t="s">
        <v>342</v>
      </c>
      <c r="AN77" s="14" t="s">
        <v>343</v>
      </c>
      <c r="AO77" s="14" t="s">
        <v>1618</v>
      </c>
      <c r="AP77" s="14" t="s">
        <v>1619</v>
      </c>
      <c r="AQ77" s="14" t="s">
        <v>99</v>
      </c>
      <c r="AR77" s="14" t="s">
        <v>1620</v>
      </c>
      <c r="AS77" s="14" t="s">
        <v>1621</v>
      </c>
      <c r="AT77" s="14" t="s">
        <v>348</v>
      </c>
      <c r="AU77" s="14">
        <v>2016.0</v>
      </c>
      <c r="AV77" s="14">
        <v>43.0</v>
      </c>
      <c r="AW77" s="14">
        <v>11.0</v>
      </c>
      <c r="AX77" s="14" t="s">
        <v>99</v>
      </c>
      <c r="AY77" s="14" t="s">
        <v>99</v>
      </c>
      <c r="AZ77" s="14" t="s">
        <v>99</v>
      </c>
      <c r="BA77" s="14" t="s">
        <v>99</v>
      </c>
      <c r="BB77" s="14">
        <v>2285.0</v>
      </c>
      <c r="BC77" s="14">
        <v>2298.0</v>
      </c>
      <c r="BD77" s="14" t="s">
        <v>99</v>
      </c>
      <c r="BE77" s="14" t="s">
        <v>1823</v>
      </c>
      <c r="BF77" s="15" t="str">
        <f>HYPERLINK("http://dx.doi.org/10.1111/jbi.12847","http://dx.doi.org/10.1111/jbi.12847")</f>
        <v>http://dx.doi.org/10.1111/jbi.12847</v>
      </c>
      <c r="BG77" s="14" t="s">
        <v>99</v>
      </c>
      <c r="BH77" s="14" t="s">
        <v>99</v>
      </c>
      <c r="BI77" s="14">
        <v>14.0</v>
      </c>
      <c r="BJ77" s="14" t="s">
        <v>869</v>
      </c>
      <c r="BK77" s="14" t="s">
        <v>122</v>
      </c>
      <c r="BL77" s="14" t="s">
        <v>870</v>
      </c>
      <c r="BM77" s="14" t="s">
        <v>1824</v>
      </c>
      <c r="BN77" s="14" t="s">
        <v>99</v>
      </c>
      <c r="BO77" s="14" t="s">
        <v>99</v>
      </c>
      <c r="BP77" s="14" t="s">
        <v>99</v>
      </c>
      <c r="BQ77" s="14" t="s">
        <v>99</v>
      </c>
      <c r="BR77" s="14" t="s">
        <v>124</v>
      </c>
      <c r="BS77" s="14" t="s">
        <v>1825</v>
      </c>
      <c r="BT77" s="14" t="str">
        <f>HYPERLINK("https%3A%2F%2Fwww.webofscience.com%2Fwos%2Fwoscc%2Ffull-record%2FWOS:000388868700017","View Full Record in Web of Science")</f>
        <v>View Full Record in Web of Science</v>
      </c>
    </row>
    <row r="78" ht="12.75" customHeight="1">
      <c r="A78" s="14" t="s">
        <v>97</v>
      </c>
      <c r="B78" s="14" t="s">
        <v>1826</v>
      </c>
      <c r="C78" s="14" t="s">
        <v>99</v>
      </c>
      <c r="D78" s="14" t="s">
        <v>99</v>
      </c>
      <c r="E78" s="14" t="s">
        <v>99</v>
      </c>
      <c r="F78" s="14" t="s">
        <v>1827</v>
      </c>
      <c r="G78" s="14" t="s">
        <v>99</v>
      </c>
      <c r="H78" s="14" t="s">
        <v>99</v>
      </c>
      <c r="I78" s="14" t="s">
        <v>1828</v>
      </c>
      <c r="J78" s="14" t="s">
        <v>1829</v>
      </c>
      <c r="K78" s="14" t="s">
        <v>99</v>
      </c>
      <c r="L78" s="14" t="s">
        <v>99</v>
      </c>
      <c r="M78" s="14" t="s">
        <v>103</v>
      </c>
      <c r="N78" s="14" t="s">
        <v>104</v>
      </c>
      <c r="O78" s="14" t="s">
        <v>99</v>
      </c>
      <c r="P78" s="14" t="s">
        <v>99</v>
      </c>
      <c r="Q78" s="14" t="s">
        <v>99</v>
      </c>
      <c r="R78" s="14" t="s">
        <v>99</v>
      </c>
      <c r="S78" s="14" t="s">
        <v>99</v>
      </c>
      <c r="T78" s="14" t="s">
        <v>1830</v>
      </c>
      <c r="U78" s="14" t="s">
        <v>1831</v>
      </c>
      <c r="V78" s="14" t="s">
        <v>1832</v>
      </c>
      <c r="W78" s="14" t="s">
        <v>1833</v>
      </c>
      <c r="X78" s="14" t="s">
        <v>1834</v>
      </c>
      <c r="Y78" s="14" t="s">
        <v>1835</v>
      </c>
      <c r="Z78" s="14" t="s">
        <v>1836</v>
      </c>
      <c r="AA78" s="14" t="s">
        <v>1837</v>
      </c>
      <c r="AB78" s="14" t="s">
        <v>1838</v>
      </c>
      <c r="AC78" s="14" t="s">
        <v>1839</v>
      </c>
      <c r="AD78" s="14" t="s">
        <v>1840</v>
      </c>
      <c r="AE78" s="14" t="s">
        <v>1841</v>
      </c>
      <c r="AF78" s="14" t="s">
        <v>99</v>
      </c>
      <c r="AG78" s="14">
        <v>59.0</v>
      </c>
      <c r="AH78" s="14">
        <v>426.0</v>
      </c>
      <c r="AI78" s="14">
        <v>478.0</v>
      </c>
      <c r="AJ78" s="14">
        <v>7.0</v>
      </c>
      <c r="AK78" s="14">
        <v>311.0</v>
      </c>
      <c r="AL78" s="14" t="s">
        <v>493</v>
      </c>
      <c r="AM78" s="14" t="s">
        <v>468</v>
      </c>
      <c r="AN78" s="14" t="s">
        <v>635</v>
      </c>
      <c r="AO78" s="14" t="s">
        <v>1842</v>
      </c>
      <c r="AP78" s="14" t="s">
        <v>1843</v>
      </c>
      <c r="AQ78" s="14" t="s">
        <v>99</v>
      </c>
      <c r="AR78" s="14" t="s">
        <v>1844</v>
      </c>
      <c r="AS78" s="14" t="s">
        <v>1845</v>
      </c>
      <c r="AT78" s="14" t="s">
        <v>1846</v>
      </c>
      <c r="AU78" s="14">
        <v>2016.0</v>
      </c>
      <c r="AV78" s="14">
        <v>132.0</v>
      </c>
      <c r="AW78" s="14" t="s">
        <v>99</v>
      </c>
      <c r="AX78" s="14" t="s">
        <v>99</v>
      </c>
      <c r="AY78" s="14" t="s">
        <v>99</v>
      </c>
      <c r="AZ78" s="14" t="s">
        <v>99</v>
      </c>
      <c r="BA78" s="14" t="s">
        <v>99</v>
      </c>
      <c r="BB78" s="14">
        <v>45.0</v>
      </c>
      <c r="BC78" s="14">
        <v>56.0</v>
      </c>
      <c r="BD78" s="14" t="s">
        <v>99</v>
      </c>
      <c r="BE78" s="14" t="s">
        <v>1847</v>
      </c>
      <c r="BF78" s="15" t="str">
        <f>HYPERLINK("http://dx.doi.org/10.1016/j.jclepro.2015.06.100","http://dx.doi.org/10.1016/j.jclepro.2015.06.100")</f>
        <v>http://dx.doi.org/10.1016/j.jclepro.2015.06.100</v>
      </c>
      <c r="BG78" s="14" t="s">
        <v>99</v>
      </c>
      <c r="BH78" s="14" t="s">
        <v>99</v>
      </c>
      <c r="BI78" s="14">
        <v>12.0</v>
      </c>
      <c r="BJ78" s="14" t="s">
        <v>1848</v>
      </c>
      <c r="BK78" s="14" t="s">
        <v>800</v>
      </c>
      <c r="BL78" s="14" t="s">
        <v>1849</v>
      </c>
      <c r="BM78" s="14" t="s">
        <v>1850</v>
      </c>
      <c r="BN78" s="14" t="s">
        <v>99</v>
      </c>
      <c r="BO78" s="14" t="s">
        <v>99</v>
      </c>
      <c r="BP78" s="14" t="s">
        <v>99</v>
      </c>
      <c r="BQ78" s="14" t="s">
        <v>99</v>
      </c>
      <c r="BR78" s="14" t="s">
        <v>124</v>
      </c>
      <c r="BS78" s="14" t="s">
        <v>1851</v>
      </c>
      <c r="BT78" s="14" t="str">
        <f>HYPERLINK("https%3A%2F%2Fwww.webofscience.com%2Fwos%2Fwoscc%2Ffull-record%2FWOS:000380624400004","View Full Record in Web of Science")</f>
        <v>View Full Record in Web of Science</v>
      </c>
    </row>
    <row r="79" ht="12.75" customHeight="1">
      <c r="A79" s="14" t="s">
        <v>97</v>
      </c>
      <c r="B79" s="14" t="s">
        <v>1852</v>
      </c>
      <c r="C79" s="14" t="s">
        <v>99</v>
      </c>
      <c r="D79" s="14" t="s">
        <v>99</v>
      </c>
      <c r="E79" s="14" t="s">
        <v>99</v>
      </c>
      <c r="F79" s="14" t="s">
        <v>1853</v>
      </c>
      <c r="G79" s="14" t="s">
        <v>99</v>
      </c>
      <c r="H79" s="14" t="s">
        <v>99</v>
      </c>
      <c r="I79" s="14" t="s">
        <v>1854</v>
      </c>
      <c r="J79" s="14" t="s">
        <v>1123</v>
      </c>
      <c r="K79" s="14" t="s">
        <v>99</v>
      </c>
      <c r="L79" s="14" t="s">
        <v>99</v>
      </c>
      <c r="M79" s="14" t="s">
        <v>103</v>
      </c>
      <c r="N79" s="14" t="s">
        <v>104</v>
      </c>
      <c r="O79" s="14" t="s">
        <v>99</v>
      </c>
      <c r="P79" s="14" t="s">
        <v>99</v>
      </c>
      <c r="Q79" s="14" t="s">
        <v>99</v>
      </c>
      <c r="R79" s="14" t="s">
        <v>99</v>
      </c>
      <c r="S79" s="14" t="s">
        <v>99</v>
      </c>
      <c r="T79" s="14" t="s">
        <v>1855</v>
      </c>
      <c r="U79" s="14" t="s">
        <v>1856</v>
      </c>
      <c r="V79" s="14" t="s">
        <v>1857</v>
      </c>
      <c r="W79" s="14" t="s">
        <v>1858</v>
      </c>
      <c r="X79" s="14" t="s">
        <v>333</v>
      </c>
      <c r="Y79" s="14" t="s">
        <v>1859</v>
      </c>
      <c r="Z79" s="14" t="s">
        <v>1860</v>
      </c>
      <c r="AA79" s="14" t="s">
        <v>1861</v>
      </c>
      <c r="AB79" s="14" t="s">
        <v>1862</v>
      </c>
      <c r="AC79" s="14" t="s">
        <v>99</v>
      </c>
      <c r="AD79" s="14" t="s">
        <v>99</v>
      </c>
      <c r="AE79" s="14" t="s">
        <v>99</v>
      </c>
      <c r="AF79" s="14" t="s">
        <v>99</v>
      </c>
      <c r="AG79" s="14">
        <v>47.0</v>
      </c>
      <c r="AH79" s="14">
        <v>23.0</v>
      </c>
      <c r="AI79" s="14">
        <v>26.0</v>
      </c>
      <c r="AJ79" s="14">
        <v>3.0</v>
      </c>
      <c r="AK79" s="14">
        <v>41.0</v>
      </c>
      <c r="AL79" s="14" t="s">
        <v>341</v>
      </c>
      <c r="AM79" s="14" t="s">
        <v>342</v>
      </c>
      <c r="AN79" s="14" t="s">
        <v>343</v>
      </c>
      <c r="AO79" s="14" t="s">
        <v>1136</v>
      </c>
      <c r="AP79" s="14" t="s">
        <v>1137</v>
      </c>
      <c r="AQ79" s="14" t="s">
        <v>99</v>
      </c>
      <c r="AR79" s="14" t="s">
        <v>1138</v>
      </c>
      <c r="AS79" s="14" t="s">
        <v>1139</v>
      </c>
      <c r="AT79" s="14" t="s">
        <v>421</v>
      </c>
      <c r="AU79" s="14">
        <v>2016.0</v>
      </c>
      <c r="AV79" s="14">
        <v>27.0</v>
      </c>
      <c r="AW79" s="14">
        <v>5.0</v>
      </c>
      <c r="AX79" s="14" t="s">
        <v>99</v>
      </c>
      <c r="AY79" s="14" t="s">
        <v>99</v>
      </c>
      <c r="AZ79" s="14" t="s">
        <v>99</v>
      </c>
      <c r="BA79" s="14" t="s">
        <v>99</v>
      </c>
      <c r="BB79" s="14">
        <v>948.0</v>
      </c>
      <c r="BC79" s="14">
        <v>957.0</v>
      </c>
      <c r="BD79" s="14" t="s">
        <v>99</v>
      </c>
      <c r="BE79" s="14" t="s">
        <v>1863</v>
      </c>
      <c r="BF79" s="15" t="str">
        <f>HYPERLINK("http://dx.doi.org/10.1111/jvs.12423","http://dx.doi.org/10.1111/jvs.12423")</f>
        <v>http://dx.doi.org/10.1111/jvs.12423</v>
      </c>
      <c r="BG79" s="14" t="s">
        <v>99</v>
      </c>
      <c r="BH79" s="14" t="s">
        <v>99</v>
      </c>
      <c r="BI79" s="14">
        <v>10.0</v>
      </c>
      <c r="BJ79" s="14" t="s">
        <v>1141</v>
      </c>
      <c r="BK79" s="14" t="s">
        <v>122</v>
      </c>
      <c r="BL79" s="14" t="s">
        <v>1142</v>
      </c>
      <c r="BM79" s="14" t="s">
        <v>1864</v>
      </c>
      <c r="BN79" s="14" t="s">
        <v>99</v>
      </c>
      <c r="BO79" s="14" t="s">
        <v>354</v>
      </c>
      <c r="BP79" s="14" t="s">
        <v>99</v>
      </c>
      <c r="BQ79" s="14" t="s">
        <v>99</v>
      </c>
      <c r="BR79" s="14" t="s">
        <v>124</v>
      </c>
      <c r="BS79" s="14" t="s">
        <v>1865</v>
      </c>
      <c r="BT79" s="14" t="str">
        <f>HYPERLINK("https%3A%2F%2Fwww.webofscience.com%2Fwos%2Fwoscc%2Ffull-record%2FWOS:000388439400009","View Full Record in Web of Science")</f>
        <v>View Full Record in Web of Science</v>
      </c>
    </row>
    <row r="80" ht="12.75" customHeight="1">
      <c r="A80" s="14" t="s">
        <v>97</v>
      </c>
      <c r="B80" s="14" t="s">
        <v>1866</v>
      </c>
      <c r="C80" s="14" t="s">
        <v>99</v>
      </c>
      <c r="D80" s="14" t="s">
        <v>99</v>
      </c>
      <c r="E80" s="14" t="s">
        <v>99</v>
      </c>
      <c r="F80" s="14" t="s">
        <v>1867</v>
      </c>
      <c r="G80" s="14" t="s">
        <v>99</v>
      </c>
      <c r="H80" s="14" t="s">
        <v>99</v>
      </c>
      <c r="I80" s="14" t="s">
        <v>1868</v>
      </c>
      <c r="J80" s="14" t="s">
        <v>876</v>
      </c>
      <c r="K80" s="14" t="s">
        <v>99</v>
      </c>
      <c r="L80" s="14" t="s">
        <v>99</v>
      </c>
      <c r="M80" s="14" t="s">
        <v>103</v>
      </c>
      <c r="N80" s="14" t="s">
        <v>104</v>
      </c>
      <c r="O80" s="14" t="s">
        <v>99</v>
      </c>
      <c r="P80" s="14" t="s">
        <v>99</v>
      </c>
      <c r="Q80" s="14" t="s">
        <v>99</v>
      </c>
      <c r="R80" s="14" t="s">
        <v>99</v>
      </c>
      <c r="S80" s="14" t="s">
        <v>99</v>
      </c>
      <c r="T80" s="14" t="s">
        <v>1869</v>
      </c>
      <c r="U80" s="14" t="s">
        <v>1870</v>
      </c>
      <c r="V80" s="14" t="s">
        <v>1871</v>
      </c>
      <c r="W80" s="14" t="s">
        <v>1872</v>
      </c>
      <c r="X80" s="14" t="s">
        <v>1873</v>
      </c>
      <c r="Y80" s="14" t="s">
        <v>1874</v>
      </c>
      <c r="Z80" s="14" t="s">
        <v>1875</v>
      </c>
      <c r="AA80" s="14" t="s">
        <v>99</v>
      </c>
      <c r="AB80" s="14" t="s">
        <v>99</v>
      </c>
      <c r="AC80" s="14" t="s">
        <v>1876</v>
      </c>
      <c r="AD80" s="14" t="s">
        <v>1876</v>
      </c>
      <c r="AE80" s="14" t="s">
        <v>1877</v>
      </c>
      <c r="AF80" s="14" t="s">
        <v>99</v>
      </c>
      <c r="AG80" s="14">
        <v>70.0</v>
      </c>
      <c r="AH80" s="14">
        <v>2.0</v>
      </c>
      <c r="AI80" s="14">
        <v>7.0</v>
      </c>
      <c r="AJ80" s="14">
        <v>2.0</v>
      </c>
      <c r="AK80" s="14">
        <v>41.0</v>
      </c>
      <c r="AL80" s="14" t="s">
        <v>1033</v>
      </c>
      <c r="AM80" s="14" t="s">
        <v>442</v>
      </c>
      <c r="AN80" s="14" t="s">
        <v>1034</v>
      </c>
      <c r="AO80" s="14" t="s">
        <v>889</v>
      </c>
      <c r="AP80" s="14" t="s">
        <v>890</v>
      </c>
      <c r="AQ80" s="14" t="s">
        <v>99</v>
      </c>
      <c r="AR80" s="14" t="s">
        <v>891</v>
      </c>
      <c r="AS80" s="14" t="s">
        <v>892</v>
      </c>
      <c r="AT80" s="14" t="s">
        <v>421</v>
      </c>
      <c r="AU80" s="14">
        <v>2016.0</v>
      </c>
      <c r="AV80" s="14">
        <v>181.0</v>
      </c>
      <c r="AW80" s="14" t="s">
        <v>99</v>
      </c>
      <c r="AX80" s="14" t="s">
        <v>99</v>
      </c>
      <c r="AY80" s="14" t="s">
        <v>99</v>
      </c>
      <c r="AZ80" s="14" t="s">
        <v>99</v>
      </c>
      <c r="BA80" s="14" t="s">
        <v>99</v>
      </c>
      <c r="BB80" s="14">
        <v>222.0</v>
      </c>
      <c r="BC80" s="14">
        <v>233.0</v>
      </c>
      <c r="BD80" s="14" t="s">
        <v>99</v>
      </c>
      <c r="BE80" s="14" t="s">
        <v>1878</v>
      </c>
      <c r="BF80" s="15" t="str">
        <f>HYPERLINK("http://dx.doi.org/10.1016/j.fishres.2016.05.002","http://dx.doi.org/10.1016/j.fishres.2016.05.002")</f>
        <v>http://dx.doi.org/10.1016/j.fishres.2016.05.002</v>
      </c>
      <c r="BG80" s="14" t="s">
        <v>99</v>
      </c>
      <c r="BH80" s="14" t="s">
        <v>99</v>
      </c>
      <c r="BI80" s="14">
        <v>12.0</v>
      </c>
      <c r="BJ80" s="14" t="s">
        <v>894</v>
      </c>
      <c r="BK80" s="14" t="s">
        <v>122</v>
      </c>
      <c r="BL80" s="14" t="s">
        <v>894</v>
      </c>
      <c r="BM80" s="14" t="s">
        <v>1879</v>
      </c>
      <c r="BN80" s="14" t="s">
        <v>99</v>
      </c>
      <c r="BO80" s="14" t="s">
        <v>99</v>
      </c>
      <c r="BP80" s="14" t="s">
        <v>99</v>
      </c>
      <c r="BQ80" s="14" t="s">
        <v>99</v>
      </c>
      <c r="BR80" s="14" t="s">
        <v>124</v>
      </c>
      <c r="BS80" s="14" t="s">
        <v>1880</v>
      </c>
      <c r="BT80" s="14" t="str">
        <f>HYPERLINK("https%3A%2F%2Fwww.webofscience.com%2Fwos%2Fwoscc%2Ffull-record%2FWOS:000378181900022","View Full Record in Web of Science")</f>
        <v>View Full Record in Web of Science</v>
      </c>
    </row>
    <row r="81" ht="12.75" customHeight="1">
      <c r="A81" s="14" t="s">
        <v>97</v>
      </c>
      <c r="B81" s="14" t="s">
        <v>1881</v>
      </c>
      <c r="C81" s="14" t="s">
        <v>99</v>
      </c>
      <c r="D81" s="14" t="s">
        <v>99</v>
      </c>
      <c r="E81" s="14" t="s">
        <v>99</v>
      </c>
      <c r="F81" s="14" t="s">
        <v>1882</v>
      </c>
      <c r="G81" s="14" t="s">
        <v>99</v>
      </c>
      <c r="H81" s="14" t="s">
        <v>99</v>
      </c>
      <c r="I81" s="14" t="s">
        <v>1883</v>
      </c>
      <c r="J81" s="14" t="s">
        <v>1884</v>
      </c>
      <c r="K81" s="14" t="s">
        <v>99</v>
      </c>
      <c r="L81" s="14" t="s">
        <v>99</v>
      </c>
      <c r="M81" s="14" t="s">
        <v>103</v>
      </c>
      <c r="N81" s="14" t="s">
        <v>1885</v>
      </c>
      <c r="O81" s="14" t="s">
        <v>99</v>
      </c>
      <c r="P81" s="14" t="s">
        <v>99</v>
      </c>
      <c r="Q81" s="14" t="s">
        <v>99</v>
      </c>
      <c r="R81" s="14" t="s">
        <v>99</v>
      </c>
      <c r="S81" s="14" t="s">
        <v>99</v>
      </c>
      <c r="T81" s="14" t="s">
        <v>99</v>
      </c>
      <c r="U81" s="14" t="s">
        <v>1886</v>
      </c>
      <c r="V81" s="14" t="s">
        <v>1887</v>
      </c>
      <c r="W81" s="14" t="s">
        <v>1888</v>
      </c>
      <c r="X81" s="14" t="s">
        <v>1889</v>
      </c>
      <c r="Y81" s="14" t="s">
        <v>1890</v>
      </c>
      <c r="Z81" s="14" t="s">
        <v>1891</v>
      </c>
      <c r="AA81" s="14" t="s">
        <v>1892</v>
      </c>
      <c r="AB81" s="14" t="s">
        <v>1893</v>
      </c>
      <c r="AC81" s="14" t="s">
        <v>1894</v>
      </c>
      <c r="AD81" s="14" t="s">
        <v>1895</v>
      </c>
      <c r="AE81" s="14" t="s">
        <v>1896</v>
      </c>
      <c r="AF81" s="14" t="s">
        <v>99</v>
      </c>
      <c r="AG81" s="14">
        <v>56.0</v>
      </c>
      <c r="AH81" s="14">
        <v>575.0</v>
      </c>
      <c r="AI81" s="14">
        <v>649.0</v>
      </c>
      <c r="AJ81" s="14">
        <v>18.0</v>
      </c>
      <c r="AK81" s="14">
        <v>323.0</v>
      </c>
      <c r="AL81" s="14" t="s">
        <v>1326</v>
      </c>
      <c r="AM81" s="14" t="s">
        <v>274</v>
      </c>
      <c r="AN81" s="14" t="s">
        <v>1327</v>
      </c>
      <c r="AO81" s="14" t="s">
        <v>99</v>
      </c>
      <c r="AP81" s="14" t="s">
        <v>1897</v>
      </c>
      <c r="AQ81" s="14" t="s">
        <v>99</v>
      </c>
      <c r="AR81" s="14" t="s">
        <v>1898</v>
      </c>
      <c r="AS81" s="14" t="s">
        <v>1899</v>
      </c>
      <c r="AT81" s="14" t="s">
        <v>1900</v>
      </c>
      <c r="AU81" s="14">
        <v>2016.0</v>
      </c>
      <c r="AV81" s="14">
        <v>3.0</v>
      </c>
      <c r="AW81" s="14" t="s">
        <v>99</v>
      </c>
      <c r="AX81" s="14" t="s">
        <v>99</v>
      </c>
      <c r="AY81" s="14" t="s">
        <v>99</v>
      </c>
      <c r="AZ81" s="14" t="s">
        <v>99</v>
      </c>
      <c r="BA81" s="14" t="s">
        <v>99</v>
      </c>
      <c r="BB81" s="14" t="s">
        <v>99</v>
      </c>
      <c r="BC81" s="14" t="s">
        <v>99</v>
      </c>
      <c r="BD81" s="14">
        <v>160067.0</v>
      </c>
      <c r="BE81" s="14" t="s">
        <v>1901</v>
      </c>
      <c r="BF81" s="15" t="str">
        <f>HYPERLINK("http://dx.doi.org/10.1038/sdata.2016.67","http://dx.doi.org/10.1038/sdata.2016.67")</f>
        <v>http://dx.doi.org/10.1038/sdata.2016.67</v>
      </c>
      <c r="BG81" s="14" t="s">
        <v>99</v>
      </c>
      <c r="BH81" s="14" t="s">
        <v>99</v>
      </c>
      <c r="BI81" s="14">
        <v>10.0</v>
      </c>
      <c r="BJ81" s="14" t="s">
        <v>799</v>
      </c>
      <c r="BK81" s="14" t="s">
        <v>122</v>
      </c>
      <c r="BL81" s="14" t="s">
        <v>801</v>
      </c>
      <c r="BM81" s="14" t="s">
        <v>1902</v>
      </c>
      <c r="BN81" s="14">
        <v>2.7552448E7</v>
      </c>
      <c r="BO81" s="14" t="s">
        <v>1251</v>
      </c>
      <c r="BP81" s="14" t="s">
        <v>99</v>
      </c>
      <c r="BQ81" s="14" t="s">
        <v>99</v>
      </c>
      <c r="BR81" s="14" t="s">
        <v>124</v>
      </c>
      <c r="BS81" s="14" t="s">
        <v>1903</v>
      </c>
      <c r="BT81" s="14" t="str">
        <f>HYPERLINK("https%3A%2F%2Fwww.webofscience.com%2Fwos%2Fwoscc%2Ffull-record%2FWOS:000390229900001","View Full Record in Web of Science")</f>
        <v>View Full Record in Web of Science</v>
      </c>
    </row>
    <row r="82" ht="12.75" customHeight="1">
      <c r="A82" s="14" t="s">
        <v>97</v>
      </c>
      <c r="B82" s="14" t="s">
        <v>1904</v>
      </c>
      <c r="C82" s="14" t="s">
        <v>99</v>
      </c>
      <c r="D82" s="14" t="s">
        <v>99</v>
      </c>
      <c r="E82" s="14" t="s">
        <v>99</v>
      </c>
      <c r="F82" s="14" t="s">
        <v>1905</v>
      </c>
      <c r="G82" s="14" t="s">
        <v>99</v>
      </c>
      <c r="H82" s="14" t="s">
        <v>99</v>
      </c>
      <c r="I82" s="14" t="s">
        <v>1906</v>
      </c>
      <c r="J82" s="14" t="s">
        <v>997</v>
      </c>
      <c r="K82" s="14" t="s">
        <v>99</v>
      </c>
      <c r="L82" s="14" t="s">
        <v>99</v>
      </c>
      <c r="M82" s="14" t="s">
        <v>103</v>
      </c>
      <c r="N82" s="14" t="s">
        <v>104</v>
      </c>
      <c r="O82" s="14" t="s">
        <v>99</v>
      </c>
      <c r="P82" s="14" t="s">
        <v>99</v>
      </c>
      <c r="Q82" s="14" t="s">
        <v>99</v>
      </c>
      <c r="R82" s="14" t="s">
        <v>99</v>
      </c>
      <c r="S82" s="14" t="s">
        <v>99</v>
      </c>
      <c r="T82" s="14" t="s">
        <v>99</v>
      </c>
      <c r="U82" s="14" t="s">
        <v>1907</v>
      </c>
      <c r="V82" s="14" t="s">
        <v>1908</v>
      </c>
      <c r="W82" s="14" t="s">
        <v>1909</v>
      </c>
      <c r="X82" s="14" t="s">
        <v>1910</v>
      </c>
      <c r="Y82" s="14" t="s">
        <v>1911</v>
      </c>
      <c r="Z82" s="14" t="s">
        <v>1912</v>
      </c>
      <c r="AA82" s="14" t="s">
        <v>1913</v>
      </c>
      <c r="AB82" s="14" t="s">
        <v>1914</v>
      </c>
      <c r="AC82" s="14" t="s">
        <v>1915</v>
      </c>
      <c r="AD82" s="14" t="s">
        <v>1916</v>
      </c>
      <c r="AE82" s="14" t="s">
        <v>1917</v>
      </c>
      <c r="AF82" s="14" t="s">
        <v>99</v>
      </c>
      <c r="AG82" s="14">
        <v>76.0</v>
      </c>
      <c r="AH82" s="14">
        <v>1006.0</v>
      </c>
      <c r="AI82" s="14">
        <v>1140.0</v>
      </c>
      <c r="AJ82" s="14">
        <v>32.0</v>
      </c>
      <c r="AK82" s="14">
        <v>678.0</v>
      </c>
      <c r="AL82" s="14" t="s">
        <v>1326</v>
      </c>
      <c r="AM82" s="14" t="s">
        <v>274</v>
      </c>
      <c r="AN82" s="14" t="s">
        <v>1327</v>
      </c>
      <c r="AO82" s="14" t="s">
        <v>1009</v>
      </c>
      <c r="AP82" s="14" t="s">
        <v>99</v>
      </c>
      <c r="AQ82" s="14" t="s">
        <v>99</v>
      </c>
      <c r="AR82" s="14" t="s">
        <v>1010</v>
      </c>
      <c r="AS82" s="14" t="s">
        <v>1011</v>
      </c>
      <c r="AT82" s="14" t="s">
        <v>474</v>
      </c>
      <c r="AU82" s="14">
        <v>2016.0</v>
      </c>
      <c r="AV82" s="14">
        <v>7.0</v>
      </c>
      <c r="AW82" s="14" t="s">
        <v>99</v>
      </c>
      <c r="AX82" s="14" t="s">
        <v>99</v>
      </c>
      <c r="AY82" s="14" t="s">
        <v>99</v>
      </c>
      <c r="AZ82" s="14" t="s">
        <v>99</v>
      </c>
      <c r="BA82" s="14" t="s">
        <v>99</v>
      </c>
      <c r="BB82" s="14" t="s">
        <v>99</v>
      </c>
      <c r="BC82" s="14" t="s">
        <v>99</v>
      </c>
      <c r="BD82" s="14">
        <v>12485.0</v>
      </c>
      <c r="BE82" s="14" t="s">
        <v>1918</v>
      </c>
      <c r="BF82" s="15" t="str">
        <f>HYPERLINK("http://dx.doi.org/10.1038/ncomms12485","http://dx.doi.org/10.1038/ncomms12485")</f>
        <v>http://dx.doi.org/10.1038/ncomms12485</v>
      </c>
      <c r="BG82" s="14" t="s">
        <v>99</v>
      </c>
      <c r="BH82" s="14" t="s">
        <v>99</v>
      </c>
      <c r="BI82" s="14">
        <v>9.0</v>
      </c>
      <c r="BJ82" s="14" t="s">
        <v>799</v>
      </c>
      <c r="BK82" s="14" t="s">
        <v>122</v>
      </c>
      <c r="BL82" s="14" t="s">
        <v>801</v>
      </c>
      <c r="BM82" s="14" t="s">
        <v>1919</v>
      </c>
      <c r="BN82" s="14">
        <v>2.7549569E7</v>
      </c>
      <c r="BO82" s="14" t="s">
        <v>1251</v>
      </c>
      <c r="BP82" s="14" t="s">
        <v>99</v>
      </c>
      <c r="BQ82" s="14" t="s">
        <v>99</v>
      </c>
      <c r="BR82" s="14" t="s">
        <v>124</v>
      </c>
      <c r="BS82" s="14" t="s">
        <v>1920</v>
      </c>
      <c r="BT82" s="14" t="str">
        <f>HYPERLINK("https%3A%2F%2Fwww.webofscience.com%2Fwos%2Fwoscc%2Ffull-record%2FWOS:000381947800001","View Full Record in Web of Science")</f>
        <v>View Full Record in Web of Science</v>
      </c>
    </row>
    <row r="83" ht="12.75" customHeight="1">
      <c r="A83" s="14" t="s">
        <v>97</v>
      </c>
      <c r="B83" s="14" t="s">
        <v>1921</v>
      </c>
      <c r="C83" s="14" t="s">
        <v>99</v>
      </c>
      <c r="D83" s="14" t="s">
        <v>99</v>
      </c>
      <c r="E83" s="14" t="s">
        <v>99</v>
      </c>
      <c r="F83" s="14" t="s">
        <v>1922</v>
      </c>
      <c r="G83" s="14" t="s">
        <v>99</v>
      </c>
      <c r="H83" s="14" t="s">
        <v>99</v>
      </c>
      <c r="I83" s="14" t="s">
        <v>1923</v>
      </c>
      <c r="J83" s="14" t="s">
        <v>1924</v>
      </c>
      <c r="K83" s="14" t="s">
        <v>99</v>
      </c>
      <c r="L83" s="14" t="s">
        <v>99</v>
      </c>
      <c r="M83" s="14" t="s">
        <v>103</v>
      </c>
      <c r="N83" s="14" t="s">
        <v>104</v>
      </c>
      <c r="O83" s="14" t="s">
        <v>99</v>
      </c>
      <c r="P83" s="14" t="s">
        <v>99</v>
      </c>
      <c r="Q83" s="14" t="s">
        <v>99</v>
      </c>
      <c r="R83" s="14" t="s">
        <v>99</v>
      </c>
      <c r="S83" s="14" t="s">
        <v>99</v>
      </c>
      <c r="T83" s="14" t="s">
        <v>1925</v>
      </c>
      <c r="U83" s="14" t="s">
        <v>1926</v>
      </c>
      <c r="V83" s="14" t="s">
        <v>1927</v>
      </c>
      <c r="W83" s="14" t="s">
        <v>1928</v>
      </c>
      <c r="X83" s="14" t="s">
        <v>1929</v>
      </c>
      <c r="Y83" s="14" t="s">
        <v>1930</v>
      </c>
      <c r="Z83" s="14" t="s">
        <v>1931</v>
      </c>
      <c r="AA83" s="14" t="s">
        <v>1932</v>
      </c>
      <c r="AB83" s="14" t="s">
        <v>1933</v>
      </c>
      <c r="AC83" s="14" t="s">
        <v>1934</v>
      </c>
      <c r="AD83" s="14" t="s">
        <v>1935</v>
      </c>
      <c r="AE83" s="14" t="s">
        <v>1936</v>
      </c>
      <c r="AF83" s="14" t="s">
        <v>99</v>
      </c>
      <c r="AG83" s="14">
        <v>52.0</v>
      </c>
      <c r="AH83" s="14">
        <v>47.0</v>
      </c>
      <c r="AI83" s="14">
        <v>55.0</v>
      </c>
      <c r="AJ83" s="14">
        <v>3.0</v>
      </c>
      <c r="AK83" s="14">
        <v>117.0</v>
      </c>
      <c r="AL83" s="14" t="s">
        <v>467</v>
      </c>
      <c r="AM83" s="14" t="s">
        <v>468</v>
      </c>
      <c r="AN83" s="14" t="s">
        <v>469</v>
      </c>
      <c r="AO83" s="14" t="s">
        <v>1937</v>
      </c>
      <c r="AP83" s="14" t="s">
        <v>1938</v>
      </c>
      <c r="AQ83" s="14" t="s">
        <v>99</v>
      </c>
      <c r="AR83" s="14" t="s">
        <v>1939</v>
      </c>
      <c r="AS83" s="14" t="s">
        <v>1940</v>
      </c>
      <c r="AT83" s="14" t="s">
        <v>474</v>
      </c>
      <c r="AU83" s="14">
        <v>2016.0</v>
      </c>
      <c r="AV83" s="14">
        <v>98.0</v>
      </c>
      <c r="AW83" s="14" t="s">
        <v>99</v>
      </c>
      <c r="AX83" s="14" t="s">
        <v>99</v>
      </c>
      <c r="AY83" s="14" t="s">
        <v>99</v>
      </c>
      <c r="AZ83" s="14" t="s">
        <v>99</v>
      </c>
      <c r="BA83" s="14" t="s">
        <v>99</v>
      </c>
      <c r="BB83" s="14">
        <v>166.0</v>
      </c>
      <c r="BC83" s="14">
        <v>175.0</v>
      </c>
      <c r="BD83" s="14" t="s">
        <v>99</v>
      </c>
      <c r="BE83" s="14" t="s">
        <v>1941</v>
      </c>
      <c r="BF83" s="15" t="str">
        <f>HYPERLINK("http://dx.doi.org/10.1016/j.orggeochem.2016.06.001","http://dx.doi.org/10.1016/j.orggeochem.2016.06.001")</f>
        <v>http://dx.doi.org/10.1016/j.orggeochem.2016.06.001</v>
      </c>
      <c r="BG83" s="14" t="s">
        <v>99</v>
      </c>
      <c r="BH83" s="14" t="s">
        <v>99</v>
      </c>
      <c r="BI83" s="14">
        <v>10.0</v>
      </c>
      <c r="BJ83" s="14" t="s">
        <v>1942</v>
      </c>
      <c r="BK83" s="14" t="s">
        <v>122</v>
      </c>
      <c r="BL83" s="14" t="s">
        <v>1942</v>
      </c>
      <c r="BM83" s="14" t="s">
        <v>1943</v>
      </c>
      <c r="BN83" s="14" t="s">
        <v>99</v>
      </c>
      <c r="BO83" s="14" t="s">
        <v>99</v>
      </c>
      <c r="BP83" s="14" t="s">
        <v>99</v>
      </c>
      <c r="BQ83" s="14" t="s">
        <v>99</v>
      </c>
      <c r="BR83" s="14" t="s">
        <v>124</v>
      </c>
      <c r="BS83" s="14" t="s">
        <v>1944</v>
      </c>
      <c r="BT83" s="14" t="str">
        <f>HYPERLINK("https%3A%2F%2Fwww.webofscience.com%2Fwos%2Fwoscc%2Ffull-record%2FWOS:000379782300014","View Full Record in Web of Science")</f>
        <v>View Full Record in Web of Science</v>
      </c>
    </row>
    <row r="84" ht="12.75" customHeight="1">
      <c r="A84" s="14" t="s">
        <v>97</v>
      </c>
      <c r="B84" s="14" t="s">
        <v>1945</v>
      </c>
      <c r="C84" s="14" t="s">
        <v>99</v>
      </c>
      <c r="D84" s="14" t="s">
        <v>99</v>
      </c>
      <c r="E84" s="14" t="s">
        <v>99</v>
      </c>
      <c r="F84" s="14" t="s">
        <v>1946</v>
      </c>
      <c r="G84" s="14" t="s">
        <v>99</v>
      </c>
      <c r="H84" s="14" t="s">
        <v>99</v>
      </c>
      <c r="I84" s="14" t="s">
        <v>1947</v>
      </c>
      <c r="J84" s="14" t="s">
        <v>328</v>
      </c>
      <c r="K84" s="14" t="s">
        <v>99</v>
      </c>
      <c r="L84" s="14" t="s">
        <v>99</v>
      </c>
      <c r="M84" s="14" t="s">
        <v>103</v>
      </c>
      <c r="N84" s="14" t="s">
        <v>104</v>
      </c>
      <c r="O84" s="14" t="s">
        <v>99</v>
      </c>
      <c r="P84" s="14" t="s">
        <v>99</v>
      </c>
      <c r="Q84" s="14" t="s">
        <v>99</v>
      </c>
      <c r="R84" s="14" t="s">
        <v>99</v>
      </c>
      <c r="S84" s="14" t="s">
        <v>99</v>
      </c>
      <c r="T84" s="14" t="s">
        <v>1948</v>
      </c>
      <c r="U84" s="14" t="s">
        <v>1949</v>
      </c>
      <c r="V84" s="14" t="s">
        <v>1950</v>
      </c>
      <c r="W84" s="14" t="s">
        <v>1951</v>
      </c>
      <c r="X84" s="14" t="s">
        <v>1952</v>
      </c>
      <c r="Y84" s="14" t="s">
        <v>1953</v>
      </c>
      <c r="Z84" s="14" t="s">
        <v>1954</v>
      </c>
      <c r="AA84" s="14" t="s">
        <v>1955</v>
      </c>
      <c r="AB84" s="14" t="s">
        <v>1956</v>
      </c>
      <c r="AC84" s="14" t="s">
        <v>1957</v>
      </c>
      <c r="AD84" s="14" t="s">
        <v>1958</v>
      </c>
      <c r="AE84" s="14" t="s">
        <v>1959</v>
      </c>
      <c r="AF84" s="14" t="s">
        <v>99</v>
      </c>
      <c r="AG84" s="14">
        <v>91.0</v>
      </c>
      <c r="AH84" s="14">
        <v>83.0</v>
      </c>
      <c r="AI84" s="14">
        <v>87.0</v>
      </c>
      <c r="AJ84" s="14">
        <v>2.0</v>
      </c>
      <c r="AK84" s="14">
        <v>90.0</v>
      </c>
      <c r="AL84" s="14" t="s">
        <v>341</v>
      </c>
      <c r="AM84" s="14" t="s">
        <v>342</v>
      </c>
      <c r="AN84" s="14" t="s">
        <v>343</v>
      </c>
      <c r="AO84" s="14" t="s">
        <v>344</v>
      </c>
      <c r="AP84" s="14" t="s">
        <v>345</v>
      </c>
      <c r="AQ84" s="14" t="s">
        <v>99</v>
      </c>
      <c r="AR84" s="14" t="s">
        <v>346</v>
      </c>
      <c r="AS84" s="14" t="s">
        <v>347</v>
      </c>
      <c r="AT84" s="14" t="s">
        <v>474</v>
      </c>
      <c r="AU84" s="14">
        <v>2016.0</v>
      </c>
      <c r="AV84" s="14">
        <v>22.0</v>
      </c>
      <c r="AW84" s="14">
        <v>8.0</v>
      </c>
      <c r="AX84" s="14" t="s">
        <v>99</v>
      </c>
      <c r="AY84" s="14" t="s">
        <v>99</v>
      </c>
      <c r="AZ84" s="14" t="s">
        <v>99</v>
      </c>
      <c r="BA84" s="14" t="s">
        <v>99</v>
      </c>
      <c r="BB84" s="14">
        <v>2729.0</v>
      </c>
      <c r="BC84" s="14">
        <v>2743.0</v>
      </c>
      <c r="BD84" s="14" t="s">
        <v>99</v>
      </c>
      <c r="BE84" s="14" t="s">
        <v>1960</v>
      </c>
      <c r="BF84" s="15" t="str">
        <f>HYPERLINK("http://dx.doi.org/10.1111/gcb.13316","http://dx.doi.org/10.1111/gcb.13316")</f>
        <v>http://dx.doi.org/10.1111/gcb.13316</v>
      </c>
      <c r="BG84" s="14" t="s">
        <v>99</v>
      </c>
      <c r="BH84" s="14" t="s">
        <v>99</v>
      </c>
      <c r="BI84" s="14">
        <v>15.0</v>
      </c>
      <c r="BJ84" s="14" t="s">
        <v>351</v>
      </c>
      <c r="BK84" s="14" t="s">
        <v>122</v>
      </c>
      <c r="BL84" s="14" t="s">
        <v>352</v>
      </c>
      <c r="BM84" s="14" t="s">
        <v>1961</v>
      </c>
      <c r="BN84" s="14">
        <v>2.7082729E7</v>
      </c>
      <c r="BO84" s="14" t="s">
        <v>1118</v>
      </c>
      <c r="BP84" s="14" t="s">
        <v>99</v>
      </c>
      <c r="BQ84" s="14" t="s">
        <v>99</v>
      </c>
      <c r="BR84" s="14" t="s">
        <v>124</v>
      </c>
      <c r="BS84" s="14" t="s">
        <v>1962</v>
      </c>
      <c r="BT84" s="14" t="str">
        <f>HYPERLINK("https%3A%2F%2Fwww.webofscience.com%2Fwos%2Fwoscc%2Ffull-record%2FWOS:000380016800008","View Full Record in Web of Science")</f>
        <v>View Full Record in Web of Science</v>
      </c>
    </row>
    <row r="85" ht="12.75" customHeight="1">
      <c r="A85" s="14" t="s">
        <v>97</v>
      </c>
      <c r="B85" s="14" t="s">
        <v>1963</v>
      </c>
      <c r="C85" s="14" t="s">
        <v>99</v>
      </c>
      <c r="D85" s="14" t="s">
        <v>99</v>
      </c>
      <c r="E85" s="14" t="s">
        <v>99</v>
      </c>
      <c r="F85" s="14" t="s">
        <v>1964</v>
      </c>
      <c r="G85" s="14" t="s">
        <v>99</v>
      </c>
      <c r="H85" s="14" t="s">
        <v>99</v>
      </c>
      <c r="I85" s="14" t="s">
        <v>1965</v>
      </c>
      <c r="J85" s="14" t="s">
        <v>1102</v>
      </c>
      <c r="K85" s="14" t="s">
        <v>99</v>
      </c>
      <c r="L85" s="14" t="s">
        <v>99</v>
      </c>
      <c r="M85" s="14" t="s">
        <v>103</v>
      </c>
      <c r="N85" s="14" t="s">
        <v>104</v>
      </c>
      <c r="O85" s="14" t="s">
        <v>99</v>
      </c>
      <c r="P85" s="14" t="s">
        <v>99</v>
      </c>
      <c r="Q85" s="14" t="s">
        <v>99</v>
      </c>
      <c r="R85" s="14" t="s">
        <v>99</v>
      </c>
      <c r="S85" s="14" t="s">
        <v>99</v>
      </c>
      <c r="T85" s="14" t="s">
        <v>1966</v>
      </c>
      <c r="U85" s="14" t="s">
        <v>1967</v>
      </c>
      <c r="V85" s="14" t="s">
        <v>1968</v>
      </c>
      <c r="W85" s="14" t="s">
        <v>1969</v>
      </c>
      <c r="X85" s="14" t="s">
        <v>1970</v>
      </c>
      <c r="Y85" s="14" t="s">
        <v>1971</v>
      </c>
      <c r="Z85" s="14" t="s">
        <v>1972</v>
      </c>
      <c r="AA85" s="14" t="s">
        <v>1973</v>
      </c>
      <c r="AB85" s="14" t="s">
        <v>1974</v>
      </c>
      <c r="AC85" s="14" t="s">
        <v>1975</v>
      </c>
      <c r="AD85" s="14" t="s">
        <v>1975</v>
      </c>
      <c r="AE85" s="14" t="s">
        <v>1976</v>
      </c>
      <c r="AF85" s="14" t="s">
        <v>99</v>
      </c>
      <c r="AG85" s="14">
        <v>40.0</v>
      </c>
      <c r="AH85" s="14">
        <v>52.0</v>
      </c>
      <c r="AI85" s="14">
        <v>55.0</v>
      </c>
      <c r="AJ85" s="14">
        <v>2.0</v>
      </c>
      <c r="AK85" s="14">
        <v>67.0</v>
      </c>
      <c r="AL85" s="14" t="s">
        <v>493</v>
      </c>
      <c r="AM85" s="14" t="s">
        <v>494</v>
      </c>
      <c r="AN85" s="14" t="s">
        <v>495</v>
      </c>
      <c r="AO85" s="14" t="s">
        <v>1112</v>
      </c>
      <c r="AP85" s="14" t="s">
        <v>1113</v>
      </c>
      <c r="AQ85" s="14" t="s">
        <v>99</v>
      </c>
      <c r="AR85" s="14" t="s">
        <v>1114</v>
      </c>
      <c r="AS85" s="14" t="s">
        <v>1115</v>
      </c>
      <c r="AT85" s="14" t="s">
        <v>474</v>
      </c>
      <c r="AU85" s="14">
        <v>2016.0</v>
      </c>
      <c r="AV85" s="14">
        <v>200.0</v>
      </c>
      <c r="AW85" s="14" t="s">
        <v>99</v>
      </c>
      <c r="AX85" s="14" t="s">
        <v>99</v>
      </c>
      <c r="AY85" s="14" t="s">
        <v>99</v>
      </c>
      <c r="AZ85" s="14" t="s">
        <v>99</v>
      </c>
      <c r="BA85" s="14" t="s">
        <v>99</v>
      </c>
      <c r="BB85" s="14">
        <v>44.0</v>
      </c>
      <c r="BC85" s="14">
        <v>50.0</v>
      </c>
      <c r="BD85" s="14" t="s">
        <v>99</v>
      </c>
      <c r="BE85" s="14" t="s">
        <v>1977</v>
      </c>
      <c r="BF85" s="15" t="str">
        <f>HYPERLINK("http://dx.doi.org/10.1016/j.biocon.2016.05.031","http://dx.doi.org/10.1016/j.biocon.2016.05.031")</f>
        <v>http://dx.doi.org/10.1016/j.biocon.2016.05.031</v>
      </c>
      <c r="BG85" s="14" t="s">
        <v>99</v>
      </c>
      <c r="BH85" s="14" t="s">
        <v>99</v>
      </c>
      <c r="BI85" s="14">
        <v>7.0</v>
      </c>
      <c r="BJ85" s="14" t="s">
        <v>351</v>
      </c>
      <c r="BK85" s="14" t="s">
        <v>122</v>
      </c>
      <c r="BL85" s="14" t="s">
        <v>352</v>
      </c>
      <c r="BM85" s="14" t="s">
        <v>1978</v>
      </c>
      <c r="BN85" s="14" t="s">
        <v>99</v>
      </c>
      <c r="BO85" s="14" t="s">
        <v>1118</v>
      </c>
      <c r="BP85" s="14" t="s">
        <v>99</v>
      </c>
      <c r="BQ85" s="14" t="s">
        <v>99</v>
      </c>
      <c r="BR85" s="14" t="s">
        <v>124</v>
      </c>
      <c r="BS85" s="14" t="s">
        <v>1979</v>
      </c>
      <c r="BT85" s="14" t="str">
        <f>HYPERLINK("https%3A%2F%2Fwww.webofscience.com%2Fwos%2Fwoscc%2Ffull-record%2FWOS:000381325300006","View Full Record in Web of Science")</f>
        <v>View Full Record in Web of Science</v>
      </c>
    </row>
    <row r="86" ht="12.75" customHeight="1">
      <c r="A86" s="14" t="s">
        <v>97</v>
      </c>
      <c r="B86" s="14" t="s">
        <v>1980</v>
      </c>
      <c r="C86" s="14" t="s">
        <v>99</v>
      </c>
      <c r="D86" s="14" t="s">
        <v>99</v>
      </c>
      <c r="E86" s="14" t="s">
        <v>99</v>
      </c>
      <c r="F86" s="14" t="s">
        <v>1981</v>
      </c>
      <c r="G86" s="14" t="s">
        <v>99</v>
      </c>
      <c r="H86" s="14" t="s">
        <v>99</v>
      </c>
      <c r="I86" s="14" t="s">
        <v>1982</v>
      </c>
      <c r="J86" s="14" t="s">
        <v>1102</v>
      </c>
      <c r="K86" s="14" t="s">
        <v>99</v>
      </c>
      <c r="L86" s="14" t="s">
        <v>99</v>
      </c>
      <c r="M86" s="14" t="s">
        <v>103</v>
      </c>
      <c r="N86" s="14" t="s">
        <v>104</v>
      </c>
      <c r="O86" s="14" t="s">
        <v>99</v>
      </c>
      <c r="P86" s="14" t="s">
        <v>99</v>
      </c>
      <c r="Q86" s="14" t="s">
        <v>99</v>
      </c>
      <c r="R86" s="14" t="s">
        <v>99</v>
      </c>
      <c r="S86" s="14" t="s">
        <v>99</v>
      </c>
      <c r="T86" s="14" t="s">
        <v>1983</v>
      </c>
      <c r="U86" s="14" t="s">
        <v>1984</v>
      </c>
      <c r="V86" s="14" t="s">
        <v>1985</v>
      </c>
      <c r="W86" s="14" t="s">
        <v>1986</v>
      </c>
      <c r="X86" s="14" t="s">
        <v>1987</v>
      </c>
      <c r="Y86" s="14" t="s">
        <v>1988</v>
      </c>
      <c r="Z86" s="14" t="s">
        <v>1989</v>
      </c>
      <c r="AA86" s="14" t="s">
        <v>1990</v>
      </c>
      <c r="AB86" s="14" t="s">
        <v>1991</v>
      </c>
      <c r="AC86" s="14" t="s">
        <v>1992</v>
      </c>
      <c r="AD86" s="14" t="s">
        <v>1992</v>
      </c>
      <c r="AE86" s="14" t="s">
        <v>1993</v>
      </c>
      <c r="AF86" s="14" t="s">
        <v>99</v>
      </c>
      <c r="AG86" s="14">
        <v>47.0</v>
      </c>
      <c r="AH86" s="14">
        <v>41.0</v>
      </c>
      <c r="AI86" s="14">
        <v>44.0</v>
      </c>
      <c r="AJ86" s="14">
        <v>0.0</v>
      </c>
      <c r="AK86" s="14">
        <v>103.0</v>
      </c>
      <c r="AL86" s="14" t="s">
        <v>493</v>
      </c>
      <c r="AM86" s="14" t="s">
        <v>468</v>
      </c>
      <c r="AN86" s="14" t="s">
        <v>635</v>
      </c>
      <c r="AO86" s="14" t="s">
        <v>1112</v>
      </c>
      <c r="AP86" s="14" t="s">
        <v>1113</v>
      </c>
      <c r="AQ86" s="14" t="s">
        <v>99</v>
      </c>
      <c r="AR86" s="14" t="s">
        <v>1114</v>
      </c>
      <c r="AS86" s="14" t="s">
        <v>1115</v>
      </c>
      <c r="AT86" s="14" t="s">
        <v>525</v>
      </c>
      <c r="AU86" s="14">
        <v>2016.0</v>
      </c>
      <c r="AV86" s="14">
        <v>199.0</v>
      </c>
      <c r="AW86" s="14" t="s">
        <v>99</v>
      </c>
      <c r="AX86" s="14" t="s">
        <v>99</v>
      </c>
      <c r="AY86" s="14" t="s">
        <v>99</v>
      </c>
      <c r="AZ86" s="14" t="s">
        <v>99</v>
      </c>
      <c r="BA86" s="14" t="s">
        <v>99</v>
      </c>
      <c r="BB86" s="14">
        <v>1.0</v>
      </c>
      <c r="BC86" s="14">
        <v>9.0</v>
      </c>
      <c r="BD86" s="14" t="s">
        <v>99</v>
      </c>
      <c r="BE86" s="14" t="s">
        <v>1994</v>
      </c>
      <c r="BF86" s="15" t="str">
        <f>HYPERLINK("http://dx.doi.org/10.1016/j.biocon.2016.04.013","http://dx.doi.org/10.1016/j.biocon.2016.04.013")</f>
        <v>http://dx.doi.org/10.1016/j.biocon.2016.04.013</v>
      </c>
      <c r="BG86" s="14" t="s">
        <v>99</v>
      </c>
      <c r="BH86" s="14" t="s">
        <v>99</v>
      </c>
      <c r="BI86" s="14">
        <v>9.0</v>
      </c>
      <c r="BJ86" s="14" t="s">
        <v>351</v>
      </c>
      <c r="BK86" s="14" t="s">
        <v>122</v>
      </c>
      <c r="BL86" s="14" t="s">
        <v>352</v>
      </c>
      <c r="BM86" s="14" t="s">
        <v>1995</v>
      </c>
      <c r="BN86" s="14" t="s">
        <v>99</v>
      </c>
      <c r="BO86" s="14" t="s">
        <v>99</v>
      </c>
      <c r="BP86" s="14" t="s">
        <v>99</v>
      </c>
      <c r="BQ86" s="14" t="s">
        <v>99</v>
      </c>
      <c r="BR86" s="14" t="s">
        <v>124</v>
      </c>
      <c r="BS86" s="14" t="s">
        <v>1996</v>
      </c>
      <c r="BT86" s="14" t="str">
        <f>HYPERLINK("https%3A%2F%2Fwww.webofscience.com%2Fwos%2Fwoscc%2Ffull-record%2FWOS:000379559600001","View Full Record in Web of Science")</f>
        <v>View Full Record in Web of Science</v>
      </c>
    </row>
    <row r="87" ht="12.75" customHeight="1">
      <c r="A87" s="14" t="s">
        <v>97</v>
      </c>
      <c r="B87" s="14" t="s">
        <v>1997</v>
      </c>
      <c r="C87" s="14" t="s">
        <v>99</v>
      </c>
      <c r="D87" s="14" t="s">
        <v>99</v>
      </c>
      <c r="E87" s="14" t="s">
        <v>99</v>
      </c>
      <c r="F87" s="14" t="s">
        <v>1998</v>
      </c>
      <c r="G87" s="14" t="s">
        <v>99</v>
      </c>
      <c r="H87" s="14" t="s">
        <v>99</v>
      </c>
      <c r="I87" s="14" t="s">
        <v>1999</v>
      </c>
      <c r="J87" s="14" t="s">
        <v>1721</v>
      </c>
      <c r="K87" s="14" t="s">
        <v>99</v>
      </c>
      <c r="L87" s="14" t="s">
        <v>99</v>
      </c>
      <c r="M87" s="14" t="s">
        <v>103</v>
      </c>
      <c r="N87" s="14" t="s">
        <v>104</v>
      </c>
      <c r="O87" s="14" t="s">
        <v>99</v>
      </c>
      <c r="P87" s="14" t="s">
        <v>99</v>
      </c>
      <c r="Q87" s="14" t="s">
        <v>99</v>
      </c>
      <c r="R87" s="14" t="s">
        <v>99</v>
      </c>
      <c r="S87" s="14" t="s">
        <v>99</v>
      </c>
      <c r="T87" s="14" t="s">
        <v>2000</v>
      </c>
      <c r="U87" s="14" t="s">
        <v>2001</v>
      </c>
      <c r="V87" s="14" t="s">
        <v>2002</v>
      </c>
      <c r="W87" s="14" t="s">
        <v>2003</v>
      </c>
      <c r="X87" s="14" t="s">
        <v>2004</v>
      </c>
      <c r="Y87" s="14" t="s">
        <v>2005</v>
      </c>
      <c r="Z87" s="14" t="s">
        <v>2006</v>
      </c>
      <c r="AA87" s="14" t="s">
        <v>2007</v>
      </c>
      <c r="AB87" s="14" t="s">
        <v>2008</v>
      </c>
      <c r="AC87" s="14" t="s">
        <v>2009</v>
      </c>
      <c r="AD87" s="14" t="s">
        <v>2010</v>
      </c>
      <c r="AE87" s="14" t="s">
        <v>2011</v>
      </c>
      <c r="AF87" s="14" t="s">
        <v>99</v>
      </c>
      <c r="AG87" s="14">
        <v>185.0</v>
      </c>
      <c r="AH87" s="14">
        <v>112.0</v>
      </c>
      <c r="AI87" s="14">
        <v>119.0</v>
      </c>
      <c r="AJ87" s="14">
        <v>1.0</v>
      </c>
      <c r="AK87" s="14">
        <v>152.0</v>
      </c>
      <c r="AL87" s="14" t="s">
        <v>1731</v>
      </c>
      <c r="AM87" s="14" t="s">
        <v>1732</v>
      </c>
      <c r="AN87" s="14" t="s">
        <v>1733</v>
      </c>
      <c r="AO87" s="14" t="s">
        <v>1734</v>
      </c>
      <c r="AP87" s="14" t="s">
        <v>1735</v>
      </c>
      <c r="AQ87" s="14" t="s">
        <v>99</v>
      </c>
      <c r="AR87" s="14" t="s">
        <v>1736</v>
      </c>
      <c r="AS87" s="14" t="s">
        <v>1737</v>
      </c>
      <c r="AT87" s="14" t="s">
        <v>616</v>
      </c>
      <c r="AU87" s="14">
        <v>2016.0</v>
      </c>
      <c r="AV87" s="14">
        <v>25.0</v>
      </c>
      <c r="AW87" s="14">
        <v>7.0</v>
      </c>
      <c r="AX87" s="14" t="s">
        <v>99</v>
      </c>
      <c r="AY87" s="14" t="s">
        <v>99</v>
      </c>
      <c r="AZ87" s="14" t="s">
        <v>1738</v>
      </c>
      <c r="BA87" s="14" t="s">
        <v>99</v>
      </c>
      <c r="BB87" s="14">
        <v>1319.0</v>
      </c>
      <c r="BC87" s="14">
        <v>1348.0</v>
      </c>
      <c r="BD87" s="14" t="s">
        <v>99</v>
      </c>
      <c r="BE87" s="14" t="s">
        <v>2012</v>
      </c>
      <c r="BF87" s="15" t="str">
        <f>HYPERLINK("http://dx.doi.org/10.1007/s10531-016-1141-7","http://dx.doi.org/10.1007/s10531-016-1141-7")</f>
        <v>http://dx.doi.org/10.1007/s10531-016-1141-7</v>
      </c>
      <c r="BG87" s="14" t="s">
        <v>99</v>
      </c>
      <c r="BH87" s="14" t="s">
        <v>99</v>
      </c>
      <c r="BI87" s="14">
        <v>30.0</v>
      </c>
      <c r="BJ87" s="14" t="s">
        <v>351</v>
      </c>
      <c r="BK87" s="14" t="s">
        <v>122</v>
      </c>
      <c r="BL87" s="14" t="s">
        <v>352</v>
      </c>
      <c r="BM87" s="14" t="s">
        <v>2013</v>
      </c>
      <c r="BN87" s="14" t="s">
        <v>99</v>
      </c>
      <c r="BO87" s="14" t="s">
        <v>373</v>
      </c>
      <c r="BP87" s="14" t="s">
        <v>99</v>
      </c>
      <c r="BQ87" s="14" t="s">
        <v>99</v>
      </c>
      <c r="BR87" s="14" t="s">
        <v>124</v>
      </c>
      <c r="BS87" s="14" t="s">
        <v>2014</v>
      </c>
      <c r="BT87" s="14" t="str">
        <f>HYPERLINK("https%3A%2F%2Fwww.webofscience.com%2Fwos%2Fwoscc%2Ffull-record%2FWOS:000379006400008","View Full Record in Web of Science")</f>
        <v>View Full Record in Web of Science</v>
      </c>
    </row>
    <row r="88" ht="12.75" customHeight="1">
      <c r="A88" s="14" t="s">
        <v>97</v>
      </c>
      <c r="B88" s="14" t="s">
        <v>2015</v>
      </c>
      <c r="C88" s="14" t="s">
        <v>99</v>
      </c>
      <c r="D88" s="14" t="s">
        <v>99</v>
      </c>
      <c r="E88" s="14" t="s">
        <v>99</v>
      </c>
      <c r="F88" s="14" t="s">
        <v>2016</v>
      </c>
      <c r="G88" s="14" t="s">
        <v>99</v>
      </c>
      <c r="H88" s="14" t="s">
        <v>99</v>
      </c>
      <c r="I88" s="14" t="s">
        <v>2017</v>
      </c>
      <c r="J88" s="14" t="s">
        <v>2018</v>
      </c>
      <c r="K88" s="14" t="s">
        <v>99</v>
      </c>
      <c r="L88" s="14" t="s">
        <v>99</v>
      </c>
      <c r="M88" s="14" t="s">
        <v>103</v>
      </c>
      <c r="N88" s="14" t="s">
        <v>104</v>
      </c>
      <c r="O88" s="14" t="s">
        <v>99</v>
      </c>
      <c r="P88" s="14" t="s">
        <v>99</v>
      </c>
      <c r="Q88" s="14" t="s">
        <v>99</v>
      </c>
      <c r="R88" s="14" t="s">
        <v>99</v>
      </c>
      <c r="S88" s="14" t="s">
        <v>99</v>
      </c>
      <c r="T88" s="14" t="s">
        <v>99</v>
      </c>
      <c r="U88" s="14" t="s">
        <v>2019</v>
      </c>
      <c r="V88" s="14" t="s">
        <v>2020</v>
      </c>
      <c r="W88" s="14" t="s">
        <v>2021</v>
      </c>
      <c r="X88" s="14" t="s">
        <v>2022</v>
      </c>
      <c r="Y88" s="14" t="s">
        <v>2023</v>
      </c>
      <c r="Z88" s="14" t="s">
        <v>2024</v>
      </c>
      <c r="AA88" s="14" t="s">
        <v>2025</v>
      </c>
      <c r="AB88" s="14" t="s">
        <v>2026</v>
      </c>
      <c r="AC88" s="14" t="s">
        <v>2027</v>
      </c>
      <c r="AD88" s="14" t="s">
        <v>2028</v>
      </c>
      <c r="AE88" s="14" t="s">
        <v>2029</v>
      </c>
      <c r="AF88" s="14" t="s">
        <v>99</v>
      </c>
      <c r="AG88" s="14">
        <v>24.0</v>
      </c>
      <c r="AH88" s="14">
        <v>71.0</v>
      </c>
      <c r="AI88" s="14">
        <v>73.0</v>
      </c>
      <c r="AJ88" s="14">
        <v>0.0</v>
      </c>
      <c r="AK88" s="14">
        <v>6.0</v>
      </c>
      <c r="AL88" s="14" t="s">
        <v>2030</v>
      </c>
      <c r="AM88" s="14" t="s">
        <v>2031</v>
      </c>
      <c r="AN88" s="14" t="s">
        <v>2032</v>
      </c>
      <c r="AO88" s="14" t="s">
        <v>2033</v>
      </c>
      <c r="AP88" s="14" t="s">
        <v>99</v>
      </c>
      <c r="AQ88" s="14" t="s">
        <v>99</v>
      </c>
      <c r="AR88" s="14" t="s">
        <v>2018</v>
      </c>
      <c r="AS88" s="14" t="s">
        <v>2034</v>
      </c>
      <c r="AT88" s="14" t="s">
        <v>616</v>
      </c>
      <c r="AU88" s="14">
        <v>2016.0</v>
      </c>
      <c r="AV88" s="14">
        <v>29.0</v>
      </c>
      <c r="AW88" s="14">
        <v>2.0</v>
      </c>
      <c r="AX88" s="14" t="s">
        <v>99</v>
      </c>
      <c r="AY88" s="14" t="s">
        <v>99</v>
      </c>
      <c r="AZ88" s="14" t="s">
        <v>1738</v>
      </c>
      <c r="BA88" s="14" t="s">
        <v>99</v>
      </c>
      <c r="BB88" s="14">
        <v>28.0</v>
      </c>
      <c r="BC88" s="14">
        <v>37.0</v>
      </c>
      <c r="BD88" s="14" t="s">
        <v>99</v>
      </c>
      <c r="BE88" s="14" t="s">
        <v>2035</v>
      </c>
      <c r="BF88" s="15" t="str">
        <f>HYPERLINK("http://dx.doi.org/10.5670/oceanog.2016.36","http://dx.doi.org/10.5670/oceanog.2016.36")</f>
        <v>http://dx.doi.org/10.5670/oceanog.2016.36</v>
      </c>
      <c r="BG88" s="14" t="s">
        <v>99</v>
      </c>
      <c r="BH88" s="14" t="s">
        <v>99</v>
      </c>
      <c r="BI88" s="14">
        <v>10.0</v>
      </c>
      <c r="BJ88" s="14" t="s">
        <v>2034</v>
      </c>
      <c r="BK88" s="14" t="s">
        <v>122</v>
      </c>
      <c r="BL88" s="14" t="s">
        <v>2034</v>
      </c>
      <c r="BM88" s="14" t="s">
        <v>2036</v>
      </c>
      <c r="BN88" s="14" t="s">
        <v>99</v>
      </c>
      <c r="BO88" s="14" t="s">
        <v>2037</v>
      </c>
      <c r="BP88" s="14" t="s">
        <v>99</v>
      </c>
      <c r="BQ88" s="14" t="s">
        <v>99</v>
      </c>
      <c r="BR88" s="14" t="s">
        <v>124</v>
      </c>
      <c r="BS88" s="14" t="s">
        <v>2038</v>
      </c>
      <c r="BT88" s="14" t="str">
        <f>HYPERLINK("https%3A%2F%2Fwww.webofscience.com%2Fwos%2Fwoscc%2Ffull-record%2FWOS:000380572500007","View Full Record in Web of Science")</f>
        <v>View Full Record in Web of Science</v>
      </c>
    </row>
    <row r="89" ht="12.75" customHeight="1">
      <c r="A89" s="14" t="s">
        <v>97</v>
      </c>
      <c r="B89" s="14" t="s">
        <v>2039</v>
      </c>
      <c r="C89" s="14" t="s">
        <v>99</v>
      </c>
      <c r="D89" s="14" t="s">
        <v>99</v>
      </c>
      <c r="E89" s="14" t="s">
        <v>99</v>
      </c>
      <c r="F89" s="14" t="s">
        <v>2040</v>
      </c>
      <c r="G89" s="14" t="s">
        <v>99</v>
      </c>
      <c r="H89" s="14" t="s">
        <v>99</v>
      </c>
      <c r="I89" s="14" t="s">
        <v>2041</v>
      </c>
      <c r="J89" s="14" t="s">
        <v>876</v>
      </c>
      <c r="K89" s="14" t="s">
        <v>99</v>
      </c>
      <c r="L89" s="14" t="s">
        <v>99</v>
      </c>
      <c r="M89" s="14" t="s">
        <v>103</v>
      </c>
      <c r="N89" s="14" t="s">
        <v>104</v>
      </c>
      <c r="O89" s="14" t="s">
        <v>99</v>
      </c>
      <c r="P89" s="14" t="s">
        <v>99</v>
      </c>
      <c r="Q89" s="14" t="s">
        <v>99</v>
      </c>
      <c r="R89" s="14" t="s">
        <v>99</v>
      </c>
      <c r="S89" s="14" t="s">
        <v>99</v>
      </c>
      <c r="T89" s="14" t="s">
        <v>2042</v>
      </c>
      <c r="U89" s="14" t="s">
        <v>2043</v>
      </c>
      <c r="V89" s="14" t="s">
        <v>2044</v>
      </c>
      <c r="W89" s="14" t="s">
        <v>2045</v>
      </c>
      <c r="X89" s="14" t="s">
        <v>2046</v>
      </c>
      <c r="Y89" s="14" t="s">
        <v>2047</v>
      </c>
      <c r="Z89" s="14" t="s">
        <v>2048</v>
      </c>
      <c r="AA89" s="14" t="s">
        <v>2049</v>
      </c>
      <c r="AB89" s="14" t="s">
        <v>2050</v>
      </c>
      <c r="AC89" s="14" t="s">
        <v>2051</v>
      </c>
      <c r="AD89" s="14" t="s">
        <v>2052</v>
      </c>
      <c r="AE89" s="14" t="s">
        <v>2053</v>
      </c>
      <c r="AF89" s="14" t="s">
        <v>99</v>
      </c>
      <c r="AG89" s="14">
        <v>52.0</v>
      </c>
      <c r="AH89" s="14">
        <v>12.0</v>
      </c>
      <c r="AI89" s="14">
        <v>14.0</v>
      </c>
      <c r="AJ89" s="14">
        <v>0.0</v>
      </c>
      <c r="AK89" s="14">
        <v>16.0</v>
      </c>
      <c r="AL89" s="14" t="s">
        <v>441</v>
      </c>
      <c r="AM89" s="14" t="s">
        <v>442</v>
      </c>
      <c r="AN89" s="14" t="s">
        <v>443</v>
      </c>
      <c r="AO89" s="14" t="s">
        <v>889</v>
      </c>
      <c r="AP89" s="14" t="s">
        <v>890</v>
      </c>
      <c r="AQ89" s="14" t="s">
        <v>99</v>
      </c>
      <c r="AR89" s="14" t="s">
        <v>891</v>
      </c>
      <c r="AS89" s="14" t="s">
        <v>892</v>
      </c>
      <c r="AT89" s="14" t="s">
        <v>640</v>
      </c>
      <c r="AU89" s="14">
        <v>2016.0</v>
      </c>
      <c r="AV89" s="14">
        <v>177.0</v>
      </c>
      <c r="AW89" s="14" t="s">
        <v>99</v>
      </c>
      <c r="AX89" s="14" t="s">
        <v>99</v>
      </c>
      <c r="AY89" s="14" t="s">
        <v>99</v>
      </c>
      <c r="AZ89" s="14" t="s">
        <v>99</v>
      </c>
      <c r="BA89" s="14" t="s">
        <v>99</v>
      </c>
      <c r="BB89" s="14">
        <v>71.0</v>
      </c>
      <c r="BC89" s="14">
        <v>81.0</v>
      </c>
      <c r="BD89" s="14" t="s">
        <v>99</v>
      </c>
      <c r="BE89" s="14" t="s">
        <v>2054</v>
      </c>
      <c r="BF89" s="15" t="str">
        <f>HYPERLINK("http://dx.doi.org/10.1016/j.fishres.2016.01.005","http://dx.doi.org/10.1016/j.fishres.2016.01.005")</f>
        <v>http://dx.doi.org/10.1016/j.fishres.2016.01.005</v>
      </c>
      <c r="BG89" s="14" t="s">
        <v>99</v>
      </c>
      <c r="BH89" s="14" t="s">
        <v>99</v>
      </c>
      <c r="BI89" s="14">
        <v>11.0</v>
      </c>
      <c r="BJ89" s="14" t="s">
        <v>894</v>
      </c>
      <c r="BK89" s="14" t="s">
        <v>122</v>
      </c>
      <c r="BL89" s="14" t="s">
        <v>894</v>
      </c>
      <c r="BM89" s="14" t="s">
        <v>2055</v>
      </c>
      <c r="BN89" s="14" t="s">
        <v>99</v>
      </c>
      <c r="BO89" s="14" t="s">
        <v>940</v>
      </c>
      <c r="BP89" s="14" t="s">
        <v>99</v>
      </c>
      <c r="BQ89" s="14" t="s">
        <v>99</v>
      </c>
      <c r="BR89" s="14" t="s">
        <v>124</v>
      </c>
      <c r="BS89" s="14" t="s">
        <v>2056</v>
      </c>
      <c r="BT89" s="14" t="str">
        <f>HYPERLINK("https%3A%2F%2Fwww.webofscience.com%2Fwos%2Fwoscc%2Ffull-record%2FWOS:000372378600009","View Full Record in Web of Science")</f>
        <v>View Full Record in Web of Science</v>
      </c>
    </row>
    <row r="90" ht="12.75" customHeight="1">
      <c r="A90" s="14" t="s">
        <v>97</v>
      </c>
      <c r="B90" s="14" t="s">
        <v>2057</v>
      </c>
      <c r="C90" s="14" t="s">
        <v>99</v>
      </c>
      <c r="D90" s="14" t="s">
        <v>99</v>
      </c>
      <c r="E90" s="14" t="s">
        <v>99</v>
      </c>
      <c r="F90" s="14" t="s">
        <v>2058</v>
      </c>
      <c r="G90" s="14" t="s">
        <v>99</v>
      </c>
      <c r="H90" s="14" t="s">
        <v>99</v>
      </c>
      <c r="I90" s="14" t="s">
        <v>2059</v>
      </c>
      <c r="J90" s="14" t="s">
        <v>2060</v>
      </c>
      <c r="K90" s="14" t="s">
        <v>99</v>
      </c>
      <c r="L90" s="14" t="s">
        <v>99</v>
      </c>
      <c r="M90" s="14" t="s">
        <v>103</v>
      </c>
      <c r="N90" s="14" t="s">
        <v>104</v>
      </c>
      <c r="O90" s="14" t="s">
        <v>99</v>
      </c>
      <c r="P90" s="14" t="s">
        <v>99</v>
      </c>
      <c r="Q90" s="14" t="s">
        <v>99</v>
      </c>
      <c r="R90" s="14" t="s">
        <v>99</v>
      </c>
      <c r="S90" s="14" t="s">
        <v>99</v>
      </c>
      <c r="T90" s="14" t="s">
        <v>2061</v>
      </c>
      <c r="U90" s="14" t="s">
        <v>2062</v>
      </c>
      <c r="V90" s="14" t="s">
        <v>2063</v>
      </c>
      <c r="W90" s="14" t="s">
        <v>2064</v>
      </c>
      <c r="X90" s="14" t="s">
        <v>2065</v>
      </c>
      <c r="Y90" s="14" t="s">
        <v>2066</v>
      </c>
      <c r="Z90" s="14" t="s">
        <v>2067</v>
      </c>
      <c r="AA90" s="14" t="s">
        <v>2068</v>
      </c>
      <c r="AB90" s="14" t="s">
        <v>2069</v>
      </c>
      <c r="AC90" s="14" t="s">
        <v>2070</v>
      </c>
      <c r="AD90" s="14" t="s">
        <v>2071</v>
      </c>
      <c r="AE90" s="14" t="s">
        <v>2072</v>
      </c>
      <c r="AF90" s="14" t="s">
        <v>99</v>
      </c>
      <c r="AG90" s="14">
        <v>56.0</v>
      </c>
      <c r="AH90" s="14">
        <v>256.0</v>
      </c>
      <c r="AI90" s="14">
        <v>283.0</v>
      </c>
      <c r="AJ90" s="14">
        <v>3.0</v>
      </c>
      <c r="AK90" s="14">
        <v>230.0</v>
      </c>
      <c r="AL90" s="14" t="s">
        <v>2073</v>
      </c>
      <c r="AM90" s="14" t="s">
        <v>274</v>
      </c>
      <c r="AN90" s="14" t="s">
        <v>2074</v>
      </c>
      <c r="AO90" s="14" t="s">
        <v>2075</v>
      </c>
      <c r="AP90" s="14" t="s">
        <v>2076</v>
      </c>
      <c r="AQ90" s="14" t="s">
        <v>99</v>
      </c>
      <c r="AR90" s="14" t="s">
        <v>2077</v>
      </c>
      <c r="AS90" s="14" t="s">
        <v>2078</v>
      </c>
      <c r="AT90" s="14" t="s">
        <v>2079</v>
      </c>
      <c r="AU90" s="14">
        <v>2016.0</v>
      </c>
      <c r="AV90" s="14">
        <v>171.0</v>
      </c>
      <c r="AW90" s="14" t="s">
        <v>99</v>
      </c>
      <c r="AX90" s="14" t="s">
        <v>99</v>
      </c>
      <c r="AY90" s="14" t="s">
        <v>99</v>
      </c>
      <c r="AZ90" s="14" t="s">
        <v>99</v>
      </c>
      <c r="BA90" s="14" t="s">
        <v>99</v>
      </c>
      <c r="BB90" s="14">
        <v>111.0</v>
      </c>
      <c r="BC90" s="14">
        <v>122.0</v>
      </c>
      <c r="BD90" s="14" t="s">
        <v>99</v>
      </c>
      <c r="BE90" s="14" t="s">
        <v>2080</v>
      </c>
      <c r="BF90" s="15" t="str">
        <f>HYPERLINK("http://dx.doi.org/10.1016/j.ecss.2016.01.036","http://dx.doi.org/10.1016/j.ecss.2016.01.036")</f>
        <v>http://dx.doi.org/10.1016/j.ecss.2016.01.036</v>
      </c>
      <c r="BG90" s="14" t="s">
        <v>99</v>
      </c>
      <c r="BH90" s="14" t="s">
        <v>99</v>
      </c>
      <c r="BI90" s="14">
        <v>12.0</v>
      </c>
      <c r="BJ90" s="14" t="s">
        <v>720</v>
      </c>
      <c r="BK90" s="14" t="s">
        <v>122</v>
      </c>
      <c r="BL90" s="14" t="s">
        <v>720</v>
      </c>
      <c r="BM90" s="14" t="s">
        <v>2081</v>
      </c>
      <c r="BN90" s="14" t="s">
        <v>99</v>
      </c>
      <c r="BO90" s="14" t="s">
        <v>99</v>
      </c>
      <c r="BP90" s="14" t="s">
        <v>99</v>
      </c>
      <c r="BQ90" s="14" t="s">
        <v>99</v>
      </c>
      <c r="BR90" s="14" t="s">
        <v>124</v>
      </c>
      <c r="BS90" s="14" t="s">
        <v>2082</v>
      </c>
      <c r="BT90" s="14" t="str">
        <f>HYPERLINK("https%3A%2F%2Fwww.webofscience.com%2Fwos%2Fwoscc%2Ffull-record%2FWOS:000374199400013","View Full Record in Web of Science")</f>
        <v>View Full Record in Web of Science</v>
      </c>
    </row>
    <row r="91" ht="12.75" customHeight="1">
      <c r="A91" s="14" t="s">
        <v>97</v>
      </c>
      <c r="B91" s="14" t="s">
        <v>2083</v>
      </c>
      <c r="C91" s="14" t="s">
        <v>99</v>
      </c>
      <c r="D91" s="14" t="s">
        <v>99</v>
      </c>
      <c r="E91" s="14" t="s">
        <v>99</v>
      </c>
      <c r="F91" s="14" t="s">
        <v>2084</v>
      </c>
      <c r="G91" s="14" t="s">
        <v>99</v>
      </c>
      <c r="H91" s="14" t="s">
        <v>99</v>
      </c>
      <c r="I91" s="14" t="s">
        <v>2085</v>
      </c>
      <c r="J91" s="14" t="s">
        <v>1231</v>
      </c>
      <c r="K91" s="14" t="s">
        <v>99</v>
      </c>
      <c r="L91" s="14" t="s">
        <v>99</v>
      </c>
      <c r="M91" s="14" t="s">
        <v>103</v>
      </c>
      <c r="N91" s="14" t="s">
        <v>104</v>
      </c>
      <c r="O91" s="14" t="s">
        <v>99</v>
      </c>
      <c r="P91" s="14" t="s">
        <v>99</v>
      </c>
      <c r="Q91" s="14" t="s">
        <v>99</v>
      </c>
      <c r="R91" s="14" t="s">
        <v>99</v>
      </c>
      <c r="S91" s="14" t="s">
        <v>99</v>
      </c>
      <c r="T91" s="14" t="s">
        <v>99</v>
      </c>
      <c r="U91" s="14" t="s">
        <v>2086</v>
      </c>
      <c r="V91" s="14" t="s">
        <v>2087</v>
      </c>
      <c r="W91" s="14" t="s">
        <v>2088</v>
      </c>
      <c r="X91" s="14" t="s">
        <v>2089</v>
      </c>
      <c r="Y91" s="14" t="s">
        <v>2090</v>
      </c>
      <c r="Z91" s="14" t="s">
        <v>2091</v>
      </c>
      <c r="AA91" s="14" t="s">
        <v>2092</v>
      </c>
      <c r="AB91" s="14" t="s">
        <v>2093</v>
      </c>
      <c r="AC91" s="14" t="s">
        <v>2094</v>
      </c>
      <c r="AD91" s="14" t="s">
        <v>2095</v>
      </c>
      <c r="AE91" s="14" t="s">
        <v>2096</v>
      </c>
      <c r="AF91" s="14" t="s">
        <v>99</v>
      </c>
      <c r="AG91" s="14">
        <v>55.0</v>
      </c>
      <c r="AH91" s="14">
        <v>196.0</v>
      </c>
      <c r="AI91" s="14">
        <v>220.0</v>
      </c>
      <c r="AJ91" s="14">
        <v>4.0</v>
      </c>
      <c r="AK91" s="14">
        <v>161.0</v>
      </c>
      <c r="AL91" s="14" t="s">
        <v>1243</v>
      </c>
      <c r="AM91" s="14" t="s">
        <v>789</v>
      </c>
      <c r="AN91" s="14" t="s">
        <v>1244</v>
      </c>
      <c r="AO91" s="14" t="s">
        <v>99</v>
      </c>
      <c r="AP91" s="14" t="s">
        <v>1245</v>
      </c>
      <c r="AQ91" s="14" t="s">
        <v>99</v>
      </c>
      <c r="AR91" s="14" t="s">
        <v>1246</v>
      </c>
      <c r="AS91" s="14" t="s">
        <v>1247</v>
      </c>
      <c r="AT91" s="14" t="s">
        <v>1485</v>
      </c>
      <c r="AU91" s="14">
        <v>2016.0</v>
      </c>
      <c r="AV91" s="14">
        <v>2.0</v>
      </c>
      <c r="AW91" s="14">
        <v>3.0</v>
      </c>
      <c r="AX91" s="14" t="s">
        <v>99</v>
      </c>
      <c r="AY91" s="14" t="s">
        <v>99</v>
      </c>
      <c r="AZ91" s="14" t="s">
        <v>99</v>
      </c>
      <c r="BA91" s="14" t="s">
        <v>99</v>
      </c>
      <c r="BB91" s="14" t="s">
        <v>99</v>
      </c>
      <c r="BC91" s="14" t="s">
        <v>99</v>
      </c>
      <c r="BD91" s="14" t="s">
        <v>2097</v>
      </c>
      <c r="BE91" s="14" t="s">
        <v>2098</v>
      </c>
      <c r="BF91" s="15" t="str">
        <f>HYPERLINK("http://dx.doi.org/10.1126/sciadv.1500965","http://dx.doi.org/10.1126/sciadv.1500965")</f>
        <v>http://dx.doi.org/10.1126/sciadv.1500965</v>
      </c>
      <c r="BG91" s="14" t="s">
        <v>99</v>
      </c>
      <c r="BH91" s="14" t="s">
        <v>99</v>
      </c>
      <c r="BI91" s="14">
        <v>7.0</v>
      </c>
      <c r="BJ91" s="14" t="s">
        <v>799</v>
      </c>
      <c r="BK91" s="14" t="s">
        <v>122</v>
      </c>
      <c r="BL91" s="14" t="s">
        <v>801</v>
      </c>
      <c r="BM91" s="14" t="s">
        <v>2099</v>
      </c>
      <c r="BN91" s="14">
        <v>2.703498E7</v>
      </c>
      <c r="BO91" s="14" t="s">
        <v>576</v>
      </c>
      <c r="BP91" s="14" t="s">
        <v>99</v>
      </c>
      <c r="BQ91" s="14" t="s">
        <v>99</v>
      </c>
      <c r="BR91" s="14" t="s">
        <v>124</v>
      </c>
      <c r="BS91" s="14" t="s">
        <v>2100</v>
      </c>
      <c r="BT91" s="14" t="str">
        <f>HYPERLINK("https%3A%2F%2Fwww.webofscience.com%2Fwos%2Fwoscc%2Ffull-record%2FWOS:000379620200006","View Full Record in Web of Science")</f>
        <v>View Full Record in Web of Science</v>
      </c>
    </row>
    <row r="92" ht="12.75" customHeight="1">
      <c r="A92" s="14" t="s">
        <v>97</v>
      </c>
      <c r="B92" s="14" t="s">
        <v>2101</v>
      </c>
      <c r="C92" s="14" t="s">
        <v>99</v>
      </c>
      <c r="D92" s="14" t="s">
        <v>99</v>
      </c>
      <c r="E92" s="14" t="s">
        <v>99</v>
      </c>
      <c r="F92" s="14" t="s">
        <v>2102</v>
      </c>
      <c r="G92" s="14" t="s">
        <v>99</v>
      </c>
      <c r="H92" s="14" t="s">
        <v>99</v>
      </c>
      <c r="I92" s="14" t="s">
        <v>2103</v>
      </c>
      <c r="J92" s="14" t="s">
        <v>2104</v>
      </c>
      <c r="K92" s="14" t="s">
        <v>99</v>
      </c>
      <c r="L92" s="14" t="s">
        <v>99</v>
      </c>
      <c r="M92" s="14" t="s">
        <v>103</v>
      </c>
      <c r="N92" s="14" t="s">
        <v>104</v>
      </c>
      <c r="O92" s="14" t="s">
        <v>99</v>
      </c>
      <c r="P92" s="14" t="s">
        <v>99</v>
      </c>
      <c r="Q92" s="14" t="s">
        <v>99</v>
      </c>
      <c r="R92" s="14" t="s">
        <v>99</v>
      </c>
      <c r="S92" s="14" t="s">
        <v>99</v>
      </c>
      <c r="T92" s="14" t="s">
        <v>2105</v>
      </c>
      <c r="U92" s="14" t="s">
        <v>2106</v>
      </c>
      <c r="V92" s="14" t="s">
        <v>2107</v>
      </c>
      <c r="W92" s="14" t="s">
        <v>2108</v>
      </c>
      <c r="X92" s="14" t="s">
        <v>2109</v>
      </c>
      <c r="Y92" s="14" t="s">
        <v>2110</v>
      </c>
      <c r="Z92" s="14" t="s">
        <v>2111</v>
      </c>
      <c r="AA92" s="14" t="s">
        <v>2112</v>
      </c>
      <c r="AB92" s="14" t="s">
        <v>2113</v>
      </c>
      <c r="AC92" s="14" t="s">
        <v>2114</v>
      </c>
      <c r="AD92" s="14" t="s">
        <v>2115</v>
      </c>
      <c r="AE92" s="14" t="s">
        <v>2116</v>
      </c>
      <c r="AF92" s="14" t="s">
        <v>99</v>
      </c>
      <c r="AG92" s="14">
        <v>60.0</v>
      </c>
      <c r="AH92" s="14">
        <v>93.0</v>
      </c>
      <c r="AI92" s="14">
        <v>101.0</v>
      </c>
      <c r="AJ92" s="14">
        <v>1.0</v>
      </c>
      <c r="AK92" s="14">
        <v>63.0</v>
      </c>
      <c r="AL92" s="14" t="s">
        <v>493</v>
      </c>
      <c r="AM92" s="14" t="s">
        <v>468</v>
      </c>
      <c r="AN92" s="14" t="s">
        <v>635</v>
      </c>
      <c r="AO92" s="14" t="s">
        <v>2117</v>
      </c>
      <c r="AP92" s="14" t="s">
        <v>99</v>
      </c>
      <c r="AQ92" s="14" t="s">
        <v>99</v>
      </c>
      <c r="AR92" s="14" t="s">
        <v>2118</v>
      </c>
      <c r="AS92" s="14" t="s">
        <v>2119</v>
      </c>
      <c r="AT92" s="14" t="s">
        <v>280</v>
      </c>
      <c r="AU92" s="14">
        <v>2016.0</v>
      </c>
      <c r="AV92" s="14">
        <v>42.0</v>
      </c>
      <c r="AW92" s="14">
        <v>1.0</v>
      </c>
      <c r="AX92" s="14" t="s">
        <v>99</v>
      </c>
      <c r="AY92" s="14" t="s">
        <v>99</v>
      </c>
      <c r="AZ92" s="14" t="s">
        <v>99</v>
      </c>
      <c r="BA92" s="14" t="s">
        <v>99</v>
      </c>
      <c r="BB92" s="14">
        <v>6.0</v>
      </c>
      <c r="BC92" s="14">
        <v>17.0</v>
      </c>
      <c r="BD92" s="14" t="s">
        <v>99</v>
      </c>
      <c r="BE92" s="14" t="s">
        <v>2120</v>
      </c>
      <c r="BF92" s="15" t="str">
        <f>HYPERLINK("http://dx.doi.org/10.1016/j.jglr.2015.11.006","http://dx.doi.org/10.1016/j.jglr.2015.11.006")</f>
        <v>http://dx.doi.org/10.1016/j.jglr.2015.11.006</v>
      </c>
      <c r="BG92" s="14" t="s">
        <v>99</v>
      </c>
      <c r="BH92" s="14" t="s">
        <v>99</v>
      </c>
      <c r="BI92" s="14">
        <v>12.0</v>
      </c>
      <c r="BJ92" s="14" t="s">
        <v>2121</v>
      </c>
      <c r="BK92" s="14" t="s">
        <v>122</v>
      </c>
      <c r="BL92" s="14" t="s">
        <v>397</v>
      </c>
      <c r="BM92" s="14" t="s">
        <v>2122</v>
      </c>
      <c r="BN92" s="14" t="s">
        <v>99</v>
      </c>
      <c r="BO92" s="14" t="s">
        <v>451</v>
      </c>
      <c r="BP92" s="14" t="s">
        <v>99</v>
      </c>
      <c r="BQ92" s="14" t="s">
        <v>99</v>
      </c>
      <c r="BR92" s="14" t="s">
        <v>124</v>
      </c>
      <c r="BS92" s="14" t="s">
        <v>2123</v>
      </c>
      <c r="BT92" s="14" t="str">
        <f>HYPERLINK("https%3A%2F%2Fwww.webofscience.com%2Fwos%2Fwoscc%2Ffull-record%2FWOS:000370115500002","View Full Record in Web of Science")</f>
        <v>View Full Record in Web of Science</v>
      </c>
    </row>
    <row r="93" ht="12.75" customHeight="1">
      <c r="A93" s="14" t="s">
        <v>97</v>
      </c>
      <c r="B93" s="14" t="s">
        <v>2124</v>
      </c>
      <c r="C93" s="14" t="s">
        <v>99</v>
      </c>
      <c r="D93" s="14" t="s">
        <v>99</v>
      </c>
      <c r="E93" s="14" t="s">
        <v>99</v>
      </c>
      <c r="F93" s="14" t="s">
        <v>2125</v>
      </c>
      <c r="G93" s="14" t="s">
        <v>99</v>
      </c>
      <c r="H93" s="14" t="s">
        <v>99</v>
      </c>
      <c r="I93" s="14" t="s">
        <v>2126</v>
      </c>
      <c r="J93" s="14" t="s">
        <v>1721</v>
      </c>
      <c r="K93" s="14" t="s">
        <v>99</v>
      </c>
      <c r="L93" s="14" t="s">
        <v>99</v>
      </c>
      <c r="M93" s="14" t="s">
        <v>103</v>
      </c>
      <c r="N93" s="14" t="s">
        <v>104</v>
      </c>
      <c r="O93" s="14" t="s">
        <v>99</v>
      </c>
      <c r="P93" s="14" t="s">
        <v>99</v>
      </c>
      <c r="Q93" s="14" t="s">
        <v>99</v>
      </c>
      <c r="R93" s="14" t="s">
        <v>99</v>
      </c>
      <c r="S93" s="14" t="s">
        <v>99</v>
      </c>
      <c r="T93" s="14" t="s">
        <v>2127</v>
      </c>
      <c r="U93" s="14" t="s">
        <v>2128</v>
      </c>
      <c r="V93" s="14" t="s">
        <v>2129</v>
      </c>
      <c r="W93" s="14" t="s">
        <v>2130</v>
      </c>
      <c r="X93" s="14" t="s">
        <v>2131</v>
      </c>
      <c r="Y93" s="14" t="s">
        <v>2132</v>
      </c>
      <c r="Z93" s="14" t="s">
        <v>2133</v>
      </c>
      <c r="AA93" s="14" t="s">
        <v>2134</v>
      </c>
      <c r="AB93" s="14" t="s">
        <v>2135</v>
      </c>
      <c r="AC93" s="14" t="s">
        <v>99</v>
      </c>
      <c r="AD93" s="14" t="s">
        <v>99</v>
      </c>
      <c r="AE93" s="14" t="s">
        <v>99</v>
      </c>
      <c r="AF93" s="14" t="s">
        <v>99</v>
      </c>
      <c r="AG93" s="14">
        <v>77.0</v>
      </c>
      <c r="AH93" s="14">
        <v>164.0</v>
      </c>
      <c r="AI93" s="14">
        <v>183.0</v>
      </c>
      <c r="AJ93" s="14">
        <v>2.0</v>
      </c>
      <c r="AK93" s="14">
        <v>127.0</v>
      </c>
      <c r="AL93" s="14" t="s">
        <v>1731</v>
      </c>
      <c r="AM93" s="14" t="s">
        <v>1732</v>
      </c>
      <c r="AN93" s="14" t="s">
        <v>1733</v>
      </c>
      <c r="AO93" s="14" t="s">
        <v>1734</v>
      </c>
      <c r="AP93" s="14" t="s">
        <v>1735</v>
      </c>
      <c r="AQ93" s="14" t="s">
        <v>99</v>
      </c>
      <c r="AR93" s="14" t="s">
        <v>1736</v>
      </c>
      <c r="AS93" s="14" t="s">
        <v>1737</v>
      </c>
      <c r="AT93" s="14" t="s">
        <v>280</v>
      </c>
      <c r="AU93" s="14">
        <v>2016.0</v>
      </c>
      <c r="AV93" s="14">
        <v>25.0</v>
      </c>
      <c r="AW93" s="14">
        <v>2.0</v>
      </c>
      <c r="AX93" s="14" t="s">
        <v>99</v>
      </c>
      <c r="AY93" s="14" t="s">
        <v>99</v>
      </c>
      <c r="AZ93" s="14" t="s">
        <v>99</v>
      </c>
      <c r="BA93" s="14" t="s">
        <v>99</v>
      </c>
      <c r="BB93" s="14">
        <v>205.0</v>
      </c>
      <c r="BC93" s="14">
        <v>223.0</v>
      </c>
      <c r="BD93" s="14" t="s">
        <v>99</v>
      </c>
      <c r="BE93" s="14" t="s">
        <v>2136</v>
      </c>
      <c r="BF93" s="15" t="str">
        <f>HYPERLINK("http://dx.doi.org/10.1007/s10531-015-1036-z","http://dx.doi.org/10.1007/s10531-015-1036-z")</f>
        <v>http://dx.doi.org/10.1007/s10531-015-1036-z</v>
      </c>
      <c r="BG93" s="14" t="s">
        <v>99</v>
      </c>
      <c r="BH93" s="14" t="s">
        <v>99</v>
      </c>
      <c r="BI93" s="14">
        <v>19.0</v>
      </c>
      <c r="BJ93" s="14" t="s">
        <v>351</v>
      </c>
      <c r="BK93" s="14" t="s">
        <v>800</v>
      </c>
      <c r="BL93" s="14" t="s">
        <v>352</v>
      </c>
      <c r="BM93" s="14" t="s">
        <v>2137</v>
      </c>
      <c r="BN93" s="14" t="s">
        <v>99</v>
      </c>
      <c r="BO93" s="14" t="s">
        <v>99</v>
      </c>
      <c r="BP93" s="14" t="s">
        <v>99</v>
      </c>
      <c r="BQ93" s="14" t="s">
        <v>99</v>
      </c>
      <c r="BR93" s="14" t="s">
        <v>124</v>
      </c>
      <c r="BS93" s="14" t="s">
        <v>2138</v>
      </c>
      <c r="BT93" s="14" t="str">
        <f>HYPERLINK("https%3A%2F%2Fwww.webofscience.com%2Fwos%2Fwoscc%2Ffull-record%2FWOS:000370137100001","View Full Record in Web of Science")</f>
        <v>View Full Record in Web of Science</v>
      </c>
    </row>
    <row r="94" ht="12.75" customHeight="1">
      <c r="A94" s="14" t="s">
        <v>97</v>
      </c>
      <c r="B94" s="14" t="s">
        <v>2139</v>
      </c>
      <c r="C94" s="14" t="s">
        <v>99</v>
      </c>
      <c r="D94" s="14" t="s">
        <v>99</v>
      </c>
      <c r="E94" s="14" t="s">
        <v>99</v>
      </c>
      <c r="F94" s="14" t="s">
        <v>2140</v>
      </c>
      <c r="G94" s="14" t="s">
        <v>99</v>
      </c>
      <c r="H94" s="14" t="s">
        <v>99</v>
      </c>
      <c r="I94" s="14" t="s">
        <v>2141</v>
      </c>
      <c r="J94" s="14" t="s">
        <v>2142</v>
      </c>
      <c r="K94" s="14" t="s">
        <v>99</v>
      </c>
      <c r="L94" s="14" t="s">
        <v>99</v>
      </c>
      <c r="M94" s="14" t="s">
        <v>103</v>
      </c>
      <c r="N94" s="14" t="s">
        <v>104</v>
      </c>
      <c r="O94" s="14" t="s">
        <v>99</v>
      </c>
      <c r="P94" s="14" t="s">
        <v>99</v>
      </c>
      <c r="Q94" s="14" t="s">
        <v>99</v>
      </c>
      <c r="R94" s="14" t="s">
        <v>99</v>
      </c>
      <c r="S94" s="14" t="s">
        <v>99</v>
      </c>
      <c r="T94" s="14" t="s">
        <v>2143</v>
      </c>
      <c r="U94" s="14" t="s">
        <v>2144</v>
      </c>
      <c r="V94" s="14" t="s">
        <v>2145</v>
      </c>
      <c r="W94" s="14" t="s">
        <v>2146</v>
      </c>
      <c r="X94" s="14" t="s">
        <v>2147</v>
      </c>
      <c r="Y94" s="14" t="s">
        <v>2148</v>
      </c>
      <c r="Z94" s="14" t="s">
        <v>2149</v>
      </c>
      <c r="AA94" s="14" t="s">
        <v>2150</v>
      </c>
      <c r="AB94" s="14" t="s">
        <v>2151</v>
      </c>
      <c r="AC94" s="14" t="s">
        <v>2152</v>
      </c>
      <c r="AD94" s="14" t="s">
        <v>2153</v>
      </c>
      <c r="AE94" s="14" t="s">
        <v>2154</v>
      </c>
      <c r="AF94" s="14" t="s">
        <v>99</v>
      </c>
      <c r="AG94" s="14">
        <v>55.0</v>
      </c>
      <c r="AH94" s="14">
        <v>80.0</v>
      </c>
      <c r="AI94" s="14">
        <v>90.0</v>
      </c>
      <c r="AJ94" s="14">
        <v>1.0</v>
      </c>
      <c r="AK94" s="14">
        <v>113.0</v>
      </c>
      <c r="AL94" s="14" t="s">
        <v>341</v>
      </c>
      <c r="AM94" s="14" t="s">
        <v>342</v>
      </c>
      <c r="AN94" s="14" t="s">
        <v>343</v>
      </c>
      <c r="AO94" s="14" t="s">
        <v>2155</v>
      </c>
      <c r="AP94" s="14" t="s">
        <v>2156</v>
      </c>
      <c r="AQ94" s="14" t="s">
        <v>99</v>
      </c>
      <c r="AR94" s="14" t="s">
        <v>2157</v>
      </c>
      <c r="AS94" s="14" t="s">
        <v>2158</v>
      </c>
      <c r="AT94" s="14" t="s">
        <v>280</v>
      </c>
      <c r="AU94" s="14">
        <v>2016.0</v>
      </c>
      <c r="AV94" s="14">
        <v>30.0</v>
      </c>
      <c r="AW94" s="14">
        <v>1.0</v>
      </c>
      <c r="AX94" s="14" t="s">
        <v>99</v>
      </c>
      <c r="AY94" s="14" t="s">
        <v>99</v>
      </c>
      <c r="AZ94" s="14" t="s">
        <v>99</v>
      </c>
      <c r="BA94" s="14" t="s">
        <v>99</v>
      </c>
      <c r="BB94" s="14">
        <v>142.0</v>
      </c>
      <c r="BC94" s="14">
        <v>153.0</v>
      </c>
      <c r="BD94" s="14" t="s">
        <v>99</v>
      </c>
      <c r="BE94" s="14" t="s">
        <v>2159</v>
      </c>
      <c r="BF94" s="15" t="str">
        <f>HYPERLINK("http://dx.doi.org/10.1111/cobi.12576","http://dx.doi.org/10.1111/cobi.12576")</f>
        <v>http://dx.doi.org/10.1111/cobi.12576</v>
      </c>
      <c r="BG94" s="14" t="s">
        <v>99</v>
      </c>
      <c r="BH94" s="14" t="s">
        <v>99</v>
      </c>
      <c r="BI94" s="14">
        <v>12.0</v>
      </c>
      <c r="BJ94" s="14" t="s">
        <v>351</v>
      </c>
      <c r="BK94" s="14" t="s">
        <v>122</v>
      </c>
      <c r="BL94" s="14" t="s">
        <v>352</v>
      </c>
      <c r="BM94" s="14" t="s">
        <v>2160</v>
      </c>
      <c r="BN94" s="14">
        <v>2.613281E7</v>
      </c>
      <c r="BO94" s="14" t="s">
        <v>238</v>
      </c>
      <c r="BP94" s="14" t="s">
        <v>99</v>
      </c>
      <c r="BQ94" s="14" t="s">
        <v>99</v>
      </c>
      <c r="BR94" s="14" t="s">
        <v>124</v>
      </c>
      <c r="BS94" s="14" t="s">
        <v>2161</v>
      </c>
      <c r="BT94" s="14" t="str">
        <f>HYPERLINK("https%3A%2F%2Fwww.webofscience.com%2Fwos%2Fwoscc%2Ffull-record%2FWOS:000368938000016","View Full Record in Web of Science")</f>
        <v>View Full Record in Web of Science</v>
      </c>
    </row>
    <row r="95" ht="12.75" customHeight="1">
      <c r="A95" s="14" t="s">
        <v>97</v>
      </c>
      <c r="B95" s="14" t="s">
        <v>2162</v>
      </c>
      <c r="C95" s="14" t="s">
        <v>99</v>
      </c>
      <c r="D95" s="14" t="s">
        <v>99</v>
      </c>
      <c r="E95" s="14" t="s">
        <v>99</v>
      </c>
      <c r="F95" s="14" t="s">
        <v>2163</v>
      </c>
      <c r="G95" s="14" t="s">
        <v>99</v>
      </c>
      <c r="H95" s="14" t="s">
        <v>99</v>
      </c>
      <c r="I95" s="14" t="s">
        <v>2164</v>
      </c>
      <c r="J95" s="14" t="s">
        <v>1763</v>
      </c>
      <c r="K95" s="14" t="s">
        <v>99</v>
      </c>
      <c r="L95" s="14" t="s">
        <v>99</v>
      </c>
      <c r="M95" s="14" t="s">
        <v>103</v>
      </c>
      <c r="N95" s="14" t="s">
        <v>104</v>
      </c>
      <c r="O95" s="14" t="s">
        <v>99</v>
      </c>
      <c r="P95" s="14" t="s">
        <v>99</v>
      </c>
      <c r="Q95" s="14" t="s">
        <v>99</v>
      </c>
      <c r="R95" s="14" t="s">
        <v>99</v>
      </c>
      <c r="S95" s="14" t="s">
        <v>99</v>
      </c>
      <c r="T95" s="14" t="s">
        <v>2165</v>
      </c>
      <c r="U95" s="14" t="s">
        <v>2166</v>
      </c>
      <c r="V95" s="14" t="s">
        <v>2167</v>
      </c>
      <c r="W95" s="14" t="s">
        <v>2168</v>
      </c>
      <c r="X95" s="14" t="s">
        <v>2169</v>
      </c>
      <c r="Y95" s="14" t="s">
        <v>2170</v>
      </c>
      <c r="Z95" s="14" t="s">
        <v>2171</v>
      </c>
      <c r="AA95" s="14" t="s">
        <v>2172</v>
      </c>
      <c r="AB95" s="14" t="s">
        <v>2173</v>
      </c>
      <c r="AC95" s="14" t="s">
        <v>2174</v>
      </c>
      <c r="AD95" s="14" t="s">
        <v>2175</v>
      </c>
      <c r="AE95" s="14" t="s">
        <v>2176</v>
      </c>
      <c r="AF95" s="14" t="s">
        <v>99</v>
      </c>
      <c r="AG95" s="14">
        <v>86.0</v>
      </c>
      <c r="AH95" s="14">
        <v>49.0</v>
      </c>
      <c r="AI95" s="14">
        <v>53.0</v>
      </c>
      <c r="AJ95" s="14">
        <v>1.0</v>
      </c>
      <c r="AK95" s="14">
        <v>21.0</v>
      </c>
      <c r="AL95" s="14" t="s">
        <v>441</v>
      </c>
      <c r="AM95" s="14" t="s">
        <v>442</v>
      </c>
      <c r="AN95" s="14" t="s">
        <v>443</v>
      </c>
      <c r="AO95" s="14" t="s">
        <v>1776</v>
      </c>
      <c r="AP95" s="14" t="s">
        <v>99</v>
      </c>
      <c r="AQ95" s="14" t="s">
        <v>99</v>
      </c>
      <c r="AR95" s="14" t="s">
        <v>1777</v>
      </c>
      <c r="AS95" s="14" t="s">
        <v>1778</v>
      </c>
      <c r="AT95" s="14" t="s">
        <v>935</v>
      </c>
      <c r="AU95" s="14">
        <v>2016.0</v>
      </c>
      <c r="AV95" s="14">
        <v>3.0</v>
      </c>
      <c r="AW95" s="14" t="s">
        <v>99</v>
      </c>
      <c r="AX95" s="14" t="s">
        <v>99</v>
      </c>
      <c r="AY95" s="14" t="s">
        <v>99</v>
      </c>
      <c r="AZ95" s="14" t="s">
        <v>99</v>
      </c>
      <c r="BA95" s="14" t="s">
        <v>99</v>
      </c>
      <c r="BB95" s="14">
        <v>107.0</v>
      </c>
      <c r="BC95" s="14">
        <v>118.0</v>
      </c>
      <c r="BD95" s="14" t="s">
        <v>99</v>
      </c>
      <c r="BE95" s="14" t="s">
        <v>2177</v>
      </c>
      <c r="BF95" s="15" t="str">
        <f>HYPERLINK("http://dx.doi.org/10.1016/j.rsma.2015.06.001","http://dx.doi.org/10.1016/j.rsma.2015.06.001")</f>
        <v>http://dx.doi.org/10.1016/j.rsma.2015.06.001</v>
      </c>
      <c r="BG95" s="14" t="s">
        <v>99</v>
      </c>
      <c r="BH95" s="14" t="s">
        <v>99</v>
      </c>
      <c r="BI95" s="14">
        <v>12.0</v>
      </c>
      <c r="BJ95" s="14" t="s">
        <v>1274</v>
      </c>
      <c r="BK95" s="14" t="s">
        <v>122</v>
      </c>
      <c r="BL95" s="14" t="s">
        <v>397</v>
      </c>
      <c r="BM95" s="14" t="s">
        <v>2178</v>
      </c>
      <c r="BN95" s="14" t="s">
        <v>99</v>
      </c>
      <c r="BO95" s="14" t="s">
        <v>99</v>
      </c>
      <c r="BP95" s="14" t="s">
        <v>99</v>
      </c>
      <c r="BQ95" s="14" t="s">
        <v>99</v>
      </c>
      <c r="BR95" s="14" t="s">
        <v>124</v>
      </c>
      <c r="BS95" s="14" t="s">
        <v>2179</v>
      </c>
      <c r="BT95" s="14" t="str">
        <f>HYPERLINK("https%3A%2F%2Fwww.webofscience.com%2Fwos%2Fwoscc%2Ffull-record%2FWOS:000414755500014","View Full Record in Web of Science")</f>
        <v>View Full Record in Web of Science</v>
      </c>
    </row>
    <row r="96" ht="12.75" customHeight="1">
      <c r="A96" s="14" t="s">
        <v>284</v>
      </c>
      <c r="B96" s="14" t="s">
        <v>2180</v>
      </c>
      <c r="C96" s="14" t="s">
        <v>99</v>
      </c>
      <c r="D96" s="14" t="s">
        <v>2181</v>
      </c>
      <c r="E96" s="14" t="s">
        <v>99</v>
      </c>
      <c r="F96" s="14" t="s">
        <v>2182</v>
      </c>
      <c r="G96" s="14" t="s">
        <v>99</v>
      </c>
      <c r="H96" s="14" t="s">
        <v>99</v>
      </c>
      <c r="I96" s="14" t="s">
        <v>2183</v>
      </c>
      <c r="J96" s="14" t="s">
        <v>2184</v>
      </c>
      <c r="K96" s="14" t="s">
        <v>99</v>
      </c>
      <c r="L96" s="14" t="s">
        <v>99</v>
      </c>
      <c r="M96" s="14" t="s">
        <v>103</v>
      </c>
      <c r="N96" s="14" t="s">
        <v>291</v>
      </c>
      <c r="O96" s="14" t="s">
        <v>99</v>
      </c>
      <c r="P96" s="14" t="s">
        <v>99</v>
      </c>
      <c r="Q96" s="14" t="s">
        <v>99</v>
      </c>
      <c r="R96" s="14" t="s">
        <v>99</v>
      </c>
      <c r="S96" s="14" t="s">
        <v>99</v>
      </c>
      <c r="T96" s="14" t="s">
        <v>99</v>
      </c>
      <c r="U96" s="14" t="s">
        <v>2185</v>
      </c>
      <c r="V96" s="14" t="s">
        <v>99</v>
      </c>
      <c r="W96" s="14" t="s">
        <v>2186</v>
      </c>
      <c r="X96" s="14" t="s">
        <v>2187</v>
      </c>
      <c r="Y96" s="14" t="s">
        <v>2188</v>
      </c>
      <c r="Z96" s="14" t="s">
        <v>2189</v>
      </c>
      <c r="AA96" s="14" t="s">
        <v>2190</v>
      </c>
      <c r="AB96" s="14" t="s">
        <v>99</v>
      </c>
      <c r="AC96" s="14" t="s">
        <v>99</v>
      </c>
      <c r="AD96" s="14" t="s">
        <v>99</v>
      </c>
      <c r="AE96" s="14" t="s">
        <v>99</v>
      </c>
      <c r="AF96" s="14" t="s">
        <v>99</v>
      </c>
      <c r="AG96" s="14">
        <v>157.0</v>
      </c>
      <c r="AH96" s="14">
        <v>1.0</v>
      </c>
      <c r="AI96" s="14">
        <v>1.0</v>
      </c>
      <c r="AJ96" s="14">
        <v>0.0</v>
      </c>
      <c r="AK96" s="14">
        <v>11.0</v>
      </c>
      <c r="AL96" s="14" t="s">
        <v>2191</v>
      </c>
      <c r="AM96" s="14" t="s">
        <v>2192</v>
      </c>
      <c r="AN96" s="14" t="s">
        <v>2193</v>
      </c>
      <c r="AO96" s="14" t="s">
        <v>99</v>
      </c>
      <c r="AP96" s="14" t="s">
        <v>99</v>
      </c>
      <c r="AQ96" s="14" t="s">
        <v>2194</v>
      </c>
      <c r="AR96" s="14" t="s">
        <v>99</v>
      </c>
      <c r="AS96" s="14" t="s">
        <v>99</v>
      </c>
      <c r="AT96" s="14" t="s">
        <v>99</v>
      </c>
      <c r="AU96" s="14">
        <v>2016.0</v>
      </c>
      <c r="AV96" s="14" t="s">
        <v>99</v>
      </c>
      <c r="AW96" s="14" t="s">
        <v>99</v>
      </c>
      <c r="AX96" s="14" t="s">
        <v>99</v>
      </c>
      <c r="AY96" s="14" t="s">
        <v>99</v>
      </c>
      <c r="AZ96" s="14" t="s">
        <v>99</v>
      </c>
      <c r="BA96" s="14" t="s">
        <v>99</v>
      </c>
      <c r="BB96" s="14">
        <v>251.0</v>
      </c>
      <c r="BC96" s="14">
        <v>271.0</v>
      </c>
      <c r="BD96" s="14" t="s">
        <v>99</v>
      </c>
      <c r="BE96" s="14" t="s">
        <v>2195</v>
      </c>
      <c r="BF96" s="15" t="str">
        <f>HYPERLINK("http://dx.doi.org/10.1002/wene.41","http://dx.doi.org/10.1002/wene.41")</f>
        <v>http://dx.doi.org/10.1002/wene.41</v>
      </c>
      <c r="BG96" s="14" t="s">
        <v>2196</v>
      </c>
      <c r="BH96" s="14" t="s">
        <v>99</v>
      </c>
      <c r="BI96" s="14">
        <v>21.0</v>
      </c>
      <c r="BJ96" s="14" t="s">
        <v>2197</v>
      </c>
      <c r="BK96" s="14" t="s">
        <v>302</v>
      </c>
      <c r="BL96" s="14" t="s">
        <v>2198</v>
      </c>
      <c r="BM96" s="14" t="s">
        <v>2199</v>
      </c>
      <c r="BN96" s="14" t="s">
        <v>99</v>
      </c>
      <c r="BO96" s="14" t="s">
        <v>99</v>
      </c>
      <c r="BP96" s="14" t="s">
        <v>99</v>
      </c>
      <c r="BQ96" s="14" t="s">
        <v>99</v>
      </c>
      <c r="BR96" s="14" t="s">
        <v>124</v>
      </c>
      <c r="BS96" s="14" t="s">
        <v>2200</v>
      </c>
      <c r="BT96" s="14" t="str">
        <f>HYPERLINK("https%3A%2F%2Fwww.webofscience.com%2Fwos%2Fwoscc%2Ffull-record%2FWOS:000385226400017","View Full Record in Web of Science")</f>
        <v>View Full Record in Web of Science</v>
      </c>
    </row>
    <row r="97" ht="12.75" customHeight="1">
      <c r="A97" s="14" t="s">
        <v>97</v>
      </c>
      <c r="B97" s="14" t="s">
        <v>2201</v>
      </c>
      <c r="C97" s="14" t="s">
        <v>99</v>
      </c>
      <c r="D97" s="14" t="s">
        <v>99</v>
      </c>
      <c r="E97" s="14" t="s">
        <v>99</v>
      </c>
      <c r="F97" s="14" t="s">
        <v>2202</v>
      </c>
      <c r="G97" s="14" t="s">
        <v>99</v>
      </c>
      <c r="H97" s="14" t="s">
        <v>99</v>
      </c>
      <c r="I97" s="14" t="s">
        <v>2203</v>
      </c>
      <c r="J97" s="14" t="s">
        <v>1102</v>
      </c>
      <c r="K97" s="14" t="s">
        <v>99</v>
      </c>
      <c r="L97" s="14" t="s">
        <v>99</v>
      </c>
      <c r="M97" s="14" t="s">
        <v>103</v>
      </c>
      <c r="N97" s="14" t="s">
        <v>104</v>
      </c>
      <c r="O97" s="14" t="s">
        <v>99</v>
      </c>
      <c r="P97" s="14" t="s">
        <v>99</v>
      </c>
      <c r="Q97" s="14" t="s">
        <v>99</v>
      </c>
      <c r="R97" s="14" t="s">
        <v>99</v>
      </c>
      <c r="S97" s="14" t="s">
        <v>99</v>
      </c>
      <c r="T97" s="14" t="s">
        <v>2204</v>
      </c>
      <c r="U97" s="14" t="s">
        <v>2205</v>
      </c>
      <c r="V97" s="14" t="s">
        <v>2206</v>
      </c>
      <c r="W97" s="14" t="s">
        <v>2207</v>
      </c>
      <c r="X97" s="14" t="s">
        <v>2208</v>
      </c>
      <c r="Y97" s="14" t="s">
        <v>2209</v>
      </c>
      <c r="Z97" s="14" t="s">
        <v>2210</v>
      </c>
      <c r="AA97" s="14" t="s">
        <v>2211</v>
      </c>
      <c r="AB97" s="14" t="s">
        <v>2212</v>
      </c>
      <c r="AC97" s="14" t="s">
        <v>2213</v>
      </c>
      <c r="AD97" s="14" t="s">
        <v>2213</v>
      </c>
      <c r="AE97" s="14" t="s">
        <v>2214</v>
      </c>
      <c r="AF97" s="14" t="s">
        <v>99</v>
      </c>
      <c r="AG97" s="14">
        <v>52.0</v>
      </c>
      <c r="AH97" s="14">
        <v>182.0</v>
      </c>
      <c r="AI97" s="14">
        <v>210.0</v>
      </c>
      <c r="AJ97" s="14">
        <v>2.0</v>
      </c>
      <c r="AK97" s="14">
        <v>131.0</v>
      </c>
      <c r="AL97" s="14" t="s">
        <v>493</v>
      </c>
      <c r="AM97" s="14" t="s">
        <v>468</v>
      </c>
      <c r="AN97" s="14" t="s">
        <v>635</v>
      </c>
      <c r="AO97" s="14" t="s">
        <v>1112</v>
      </c>
      <c r="AP97" s="14" t="s">
        <v>1113</v>
      </c>
      <c r="AQ97" s="14" t="s">
        <v>99</v>
      </c>
      <c r="AR97" s="14" t="s">
        <v>1114</v>
      </c>
      <c r="AS97" s="14" t="s">
        <v>1115</v>
      </c>
      <c r="AT97" s="14" t="s">
        <v>935</v>
      </c>
      <c r="AU97" s="14">
        <v>2016.0</v>
      </c>
      <c r="AV97" s="14">
        <v>193.0</v>
      </c>
      <c r="AW97" s="14" t="s">
        <v>99</v>
      </c>
      <c r="AX97" s="14" t="s">
        <v>99</v>
      </c>
      <c r="AY97" s="14" t="s">
        <v>99</v>
      </c>
      <c r="AZ97" s="14" t="s">
        <v>99</v>
      </c>
      <c r="BA97" s="14" t="s">
        <v>99</v>
      </c>
      <c r="BB97" s="14">
        <v>27.0</v>
      </c>
      <c r="BC97" s="14">
        <v>35.0</v>
      </c>
      <c r="BD97" s="14" t="s">
        <v>99</v>
      </c>
      <c r="BE97" s="14" t="s">
        <v>2215</v>
      </c>
      <c r="BF97" s="15" t="str">
        <f>HYPERLINK("http://dx.doi.org/10.1016/j.biocon.2015.10.023","http://dx.doi.org/10.1016/j.biocon.2015.10.023")</f>
        <v>http://dx.doi.org/10.1016/j.biocon.2015.10.023</v>
      </c>
      <c r="BG97" s="14" t="s">
        <v>99</v>
      </c>
      <c r="BH97" s="14" t="s">
        <v>99</v>
      </c>
      <c r="BI97" s="14">
        <v>9.0</v>
      </c>
      <c r="BJ97" s="14" t="s">
        <v>351</v>
      </c>
      <c r="BK97" s="14" t="s">
        <v>122</v>
      </c>
      <c r="BL97" s="14" t="s">
        <v>352</v>
      </c>
      <c r="BM97" s="14" t="s">
        <v>2216</v>
      </c>
      <c r="BN97" s="14" t="s">
        <v>99</v>
      </c>
      <c r="BO97" s="14" t="s">
        <v>99</v>
      </c>
      <c r="BP97" s="14" t="s">
        <v>99</v>
      </c>
      <c r="BQ97" s="14" t="s">
        <v>99</v>
      </c>
      <c r="BR97" s="14" t="s">
        <v>124</v>
      </c>
      <c r="BS97" s="14" t="s">
        <v>2217</v>
      </c>
      <c r="BT97" s="14" t="str">
        <f>HYPERLINK("https%3A%2F%2Fwww.webofscience.com%2Fwos%2Fwoscc%2Ffull-record%2FWOS:000368963700004","View Full Record in Web of Science")</f>
        <v>View Full Record in Web of Science</v>
      </c>
    </row>
    <row r="98" ht="12.75" customHeight="1">
      <c r="A98" s="14" t="s">
        <v>97</v>
      </c>
      <c r="B98" s="14" t="s">
        <v>2218</v>
      </c>
      <c r="C98" s="14" t="s">
        <v>99</v>
      </c>
      <c r="D98" s="14" t="s">
        <v>99</v>
      </c>
      <c r="E98" s="14" t="s">
        <v>99</v>
      </c>
      <c r="F98" s="14" t="s">
        <v>2219</v>
      </c>
      <c r="G98" s="14" t="s">
        <v>99</v>
      </c>
      <c r="H98" s="14" t="s">
        <v>99</v>
      </c>
      <c r="I98" s="14" t="s">
        <v>2220</v>
      </c>
      <c r="J98" s="14" t="s">
        <v>2221</v>
      </c>
      <c r="K98" s="14" t="s">
        <v>99</v>
      </c>
      <c r="L98" s="14" t="s">
        <v>99</v>
      </c>
      <c r="M98" s="14" t="s">
        <v>103</v>
      </c>
      <c r="N98" s="14" t="s">
        <v>104</v>
      </c>
      <c r="O98" s="14" t="s">
        <v>99</v>
      </c>
      <c r="P98" s="14" t="s">
        <v>99</v>
      </c>
      <c r="Q98" s="14" t="s">
        <v>99</v>
      </c>
      <c r="R98" s="14" t="s">
        <v>99</v>
      </c>
      <c r="S98" s="14" t="s">
        <v>99</v>
      </c>
      <c r="T98" s="14" t="s">
        <v>2222</v>
      </c>
      <c r="U98" s="14" t="s">
        <v>2223</v>
      </c>
      <c r="V98" s="14" t="s">
        <v>2224</v>
      </c>
      <c r="W98" s="14" t="s">
        <v>2225</v>
      </c>
      <c r="X98" s="14" t="s">
        <v>2226</v>
      </c>
      <c r="Y98" s="14" t="s">
        <v>2227</v>
      </c>
      <c r="Z98" s="14" t="s">
        <v>2228</v>
      </c>
      <c r="AA98" s="14" t="s">
        <v>2229</v>
      </c>
      <c r="AB98" s="14" t="s">
        <v>2230</v>
      </c>
      <c r="AC98" s="14" t="s">
        <v>2231</v>
      </c>
      <c r="AD98" s="14" t="s">
        <v>2232</v>
      </c>
      <c r="AE98" s="14" t="s">
        <v>2233</v>
      </c>
      <c r="AF98" s="14" t="s">
        <v>99</v>
      </c>
      <c r="AG98" s="14">
        <v>48.0</v>
      </c>
      <c r="AH98" s="14">
        <v>12.0</v>
      </c>
      <c r="AI98" s="14">
        <v>16.0</v>
      </c>
      <c r="AJ98" s="14">
        <v>2.0</v>
      </c>
      <c r="AK98" s="14">
        <v>79.0</v>
      </c>
      <c r="AL98" s="14" t="s">
        <v>2234</v>
      </c>
      <c r="AM98" s="14" t="s">
        <v>2235</v>
      </c>
      <c r="AN98" s="14" t="s">
        <v>2236</v>
      </c>
      <c r="AO98" s="14" t="s">
        <v>2237</v>
      </c>
      <c r="AP98" s="14" t="s">
        <v>2238</v>
      </c>
      <c r="AQ98" s="14" t="s">
        <v>99</v>
      </c>
      <c r="AR98" s="14" t="s">
        <v>2239</v>
      </c>
      <c r="AS98" s="14" t="s">
        <v>2240</v>
      </c>
      <c r="AT98" s="14" t="s">
        <v>935</v>
      </c>
      <c r="AU98" s="14">
        <v>2016.0</v>
      </c>
      <c r="AV98" s="14">
        <v>144.0</v>
      </c>
      <c r="AW98" s="14" t="s">
        <v>99</v>
      </c>
      <c r="AX98" s="14" t="s">
        <v>284</v>
      </c>
      <c r="AY98" s="14" t="s">
        <v>99</v>
      </c>
      <c r="AZ98" s="14" t="s">
        <v>1738</v>
      </c>
      <c r="BA98" s="14" t="s">
        <v>99</v>
      </c>
      <c r="BB98" s="14">
        <v>64.0</v>
      </c>
      <c r="BC98" s="14">
        <v>71.0</v>
      </c>
      <c r="BD98" s="14" t="s">
        <v>99</v>
      </c>
      <c r="BE98" s="14" t="s">
        <v>2241</v>
      </c>
      <c r="BF98" s="15" t="str">
        <f>HYPERLINK("http://dx.doi.org/10.1016/j.envres.2015.09.002","http://dx.doi.org/10.1016/j.envres.2015.09.002")</f>
        <v>http://dx.doi.org/10.1016/j.envres.2015.09.002</v>
      </c>
      <c r="BG98" s="14" t="s">
        <v>99</v>
      </c>
      <c r="BH98" s="14" t="s">
        <v>99</v>
      </c>
      <c r="BI98" s="14">
        <v>8.0</v>
      </c>
      <c r="BJ98" s="14" t="s">
        <v>2242</v>
      </c>
      <c r="BK98" s="14" t="s">
        <v>122</v>
      </c>
      <c r="BL98" s="14" t="s">
        <v>2243</v>
      </c>
      <c r="BM98" s="14" t="s">
        <v>2244</v>
      </c>
      <c r="BN98" s="14">
        <v>2.6386629E7</v>
      </c>
      <c r="BO98" s="14" t="s">
        <v>99</v>
      </c>
      <c r="BP98" s="14" t="s">
        <v>99</v>
      </c>
      <c r="BQ98" s="14" t="s">
        <v>99</v>
      </c>
      <c r="BR98" s="14" t="s">
        <v>124</v>
      </c>
      <c r="BS98" s="14" t="s">
        <v>2245</v>
      </c>
      <c r="BT98" s="14" t="str">
        <f>HYPERLINK("https%3A%2F%2Fwww.webofscience.com%2Fwos%2Fwoscc%2Ffull-record%2FWOS:000366443200007","View Full Record in Web of Science")</f>
        <v>View Full Record in Web of Science</v>
      </c>
    </row>
    <row r="99" ht="12.75" customHeight="1">
      <c r="A99" s="14" t="s">
        <v>97</v>
      </c>
      <c r="B99" s="14" t="s">
        <v>2246</v>
      </c>
      <c r="C99" s="14" t="s">
        <v>99</v>
      </c>
      <c r="D99" s="14" t="s">
        <v>99</v>
      </c>
      <c r="E99" s="14" t="s">
        <v>99</v>
      </c>
      <c r="F99" s="14" t="s">
        <v>2247</v>
      </c>
      <c r="G99" s="14" t="s">
        <v>99</v>
      </c>
      <c r="H99" s="14" t="s">
        <v>99</v>
      </c>
      <c r="I99" s="14" t="s">
        <v>2248</v>
      </c>
      <c r="J99" s="14" t="s">
        <v>328</v>
      </c>
      <c r="K99" s="14" t="s">
        <v>99</v>
      </c>
      <c r="L99" s="14" t="s">
        <v>99</v>
      </c>
      <c r="M99" s="14" t="s">
        <v>103</v>
      </c>
      <c r="N99" s="14" t="s">
        <v>104</v>
      </c>
      <c r="O99" s="14" t="s">
        <v>99</v>
      </c>
      <c r="P99" s="14" t="s">
        <v>99</v>
      </c>
      <c r="Q99" s="14" t="s">
        <v>99</v>
      </c>
      <c r="R99" s="14" t="s">
        <v>99</v>
      </c>
      <c r="S99" s="14" t="s">
        <v>99</v>
      </c>
      <c r="T99" s="14" t="s">
        <v>2249</v>
      </c>
      <c r="U99" s="14" t="s">
        <v>2250</v>
      </c>
      <c r="V99" s="14" t="s">
        <v>2251</v>
      </c>
      <c r="W99" s="14" t="s">
        <v>2252</v>
      </c>
      <c r="X99" s="14" t="s">
        <v>2253</v>
      </c>
      <c r="Y99" s="14" t="s">
        <v>2254</v>
      </c>
      <c r="Z99" s="14" t="s">
        <v>2255</v>
      </c>
      <c r="AA99" s="14" t="s">
        <v>2256</v>
      </c>
      <c r="AB99" s="14" t="s">
        <v>2257</v>
      </c>
      <c r="AC99" s="14" t="s">
        <v>99</v>
      </c>
      <c r="AD99" s="14" t="s">
        <v>99</v>
      </c>
      <c r="AE99" s="14" t="s">
        <v>99</v>
      </c>
      <c r="AF99" s="14" t="s">
        <v>99</v>
      </c>
      <c r="AG99" s="14">
        <v>57.0</v>
      </c>
      <c r="AH99" s="14">
        <v>157.0</v>
      </c>
      <c r="AI99" s="14">
        <v>171.0</v>
      </c>
      <c r="AJ99" s="14">
        <v>2.0</v>
      </c>
      <c r="AK99" s="14">
        <v>225.0</v>
      </c>
      <c r="AL99" s="14" t="s">
        <v>341</v>
      </c>
      <c r="AM99" s="14" t="s">
        <v>342</v>
      </c>
      <c r="AN99" s="14" t="s">
        <v>343</v>
      </c>
      <c r="AO99" s="14" t="s">
        <v>344</v>
      </c>
      <c r="AP99" s="14" t="s">
        <v>345</v>
      </c>
      <c r="AQ99" s="14" t="s">
        <v>99</v>
      </c>
      <c r="AR99" s="14" t="s">
        <v>346</v>
      </c>
      <c r="AS99" s="14" t="s">
        <v>347</v>
      </c>
      <c r="AT99" s="14" t="s">
        <v>935</v>
      </c>
      <c r="AU99" s="14">
        <v>2016.0</v>
      </c>
      <c r="AV99" s="14">
        <v>22.0</v>
      </c>
      <c r="AW99" s="14">
        <v>1.0</v>
      </c>
      <c r="AX99" s="14" t="s">
        <v>99</v>
      </c>
      <c r="AY99" s="14" t="s">
        <v>99</v>
      </c>
      <c r="AZ99" s="14" t="s">
        <v>99</v>
      </c>
      <c r="BA99" s="14" t="s">
        <v>99</v>
      </c>
      <c r="BB99" s="14">
        <v>228.0</v>
      </c>
      <c r="BC99" s="14">
        <v>236.0</v>
      </c>
      <c r="BD99" s="14" t="s">
        <v>99</v>
      </c>
      <c r="BE99" s="14" t="s">
        <v>2258</v>
      </c>
      <c r="BF99" s="15" t="str">
        <f>HYPERLINK("http://dx.doi.org/10.1111/gcb.13091","http://dx.doi.org/10.1111/gcb.13091")</f>
        <v>http://dx.doi.org/10.1111/gcb.13091</v>
      </c>
      <c r="BG99" s="14" t="s">
        <v>99</v>
      </c>
      <c r="BH99" s="14" t="s">
        <v>99</v>
      </c>
      <c r="BI99" s="14">
        <v>9.0</v>
      </c>
      <c r="BJ99" s="14" t="s">
        <v>351</v>
      </c>
      <c r="BK99" s="14" t="s">
        <v>122</v>
      </c>
      <c r="BL99" s="14" t="s">
        <v>352</v>
      </c>
      <c r="BM99" s="14" t="s">
        <v>2259</v>
      </c>
      <c r="BN99" s="14">
        <v>2.6367396E7</v>
      </c>
      <c r="BO99" s="14" t="s">
        <v>99</v>
      </c>
      <c r="BP99" s="14" t="s">
        <v>99</v>
      </c>
      <c r="BQ99" s="14" t="s">
        <v>99</v>
      </c>
      <c r="BR99" s="14" t="s">
        <v>124</v>
      </c>
      <c r="BS99" s="14" t="s">
        <v>2260</v>
      </c>
      <c r="BT99" s="14" t="str">
        <f>HYPERLINK("https%3A%2F%2Fwww.webofscience.com%2Fwos%2Fwoscc%2Ffull-record%2FWOS:000367982900018","View Full Record in Web of Science")</f>
        <v>View Full Record in Web of Science</v>
      </c>
    </row>
    <row r="100" ht="12.75" customHeight="1">
      <c r="A100" s="14" t="s">
        <v>97</v>
      </c>
      <c r="B100" s="14" t="s">
        <v>2261</v>
      </c>
      <c r="C100" s="14" t="s">
        <v>99</v>
      </c>
      <c r="D100" s="14" t="s">
        <v>99</v>
      </c>
      <c r="E100" s="14" t="s">
        <v>99</v>
      </c>
      <c r="F100" s="14" t="s">
        <v>2262</v>
      </c>
      <c r="G100" s="14" t="s">
        <v>99</v>
      </c>
      <c r="H100" s="14" t="s">
        <v>99</v>
      </c>
      <c r="I100" s="14" t="s">
        <v>2263</v>
      </c>
      <c r="J100" s="14" t="s">
        <v>456</v>
      </c>
      <c r="K100" s="14" t="s">
        <v>99</v>
      </c>
      <c r="L100" s="14" t="s">
        <v>99</v>
      </c>
      <c r="M100" s="14" t="s">
        <v>103</v>
      </c>
      <c r="N100" s="14" t="s">
        <v>104</v>
      </c>
      <c r="O100" s="14" t="s">
        <v>99</v>
      </c>
      <c r="P100" s="14" t="s">
        <v>99</v>
      </c>
      <c r="Q100" s="14" t="s">
        <v>99</v>
      </c>
      <c r="R100" s="14" t="s">
        <v>99</v>
      </c>
      <c r="S100" s="14" t="s">
        <v>99</v>
      </c>
      <c r="T100" s="14" t="s">
        <v>2264</v>
      </c>
      <c r="U100" s="14" t="s">
        <v>2265</v>
      </c>
      <c r="V100" s="14" t="s">
        <v>2266</v>
      </c>
      <c r="W100" s="14" t="s">
        <v>2267</v>
      </c>
      <c r="X100" s="14" t="s">
        <v>2268</v>
      </c>
      <c r="Y100" s="14" t="s">
        <v>2269</v>
      </c>
      <c r="Z100" s="14" t="s">
        <v>2270</v>
      </c>
      <c r="AA100" s="14" t="s">
        <v>2271</v>
      </c>
      <c r="AB100" s="14" t="s">
        <v>2272</v>
      </c>
      <c r="AC100" s="14" t="s">
        <v>2273</v>
      </c>
      <c r="AD100" s="14" t="s">
        <v>2274</v>
      </c>
      <c r="AE100" s="14" t="s">
        <v>2275</v>
      </c>
      <c r="AF100" s="14" t="s">
        <v>99</v>
      </c>
      <c r="AG100" s="14">
        <v>32.0</v>
      </c>
      <c r="AH100" s="14">
        <v>336.0</v>
      </c>
      <c r="AI100" s="14">
        <v>411.0</v>
      </c>
      <c r="AJ100" s="14">
        <v>2.0</v>
      </c>
      <c r="AK100" s="14">
        <v>175.0</v>
      </c>
      <c r="AL100" s="14" t="s">
        <v>467</v>
      </c>
      <c r="AM100" s="14" t="s">
        <v>468</v>
      </c>
      <c r="AN100" s="14" t="s">
        <v>469</v>
      </c>
      <c r="AO100" s="14" t="s">
        <v>470</v>
      </c>
      <c r="AP100" s="14" t="s">
        <v>471</v>
      </c>
      <c r="AQ100" s="14" t="s">
        <v>99</v>
      </c>
      <c r="AR100" s="14" t="s">
        <v>472</v>
      </c>
      <c r="AS100" s="14" t="s">
        <v>473</v>
      </c>
      <c r="AT100" s="14" t="s">
        <v>2276</v>
      </c>
      <c r="AU100" s="14">
        <v>2015.0</v>
      </c>
      <c r="AV100" s="14">
        <v>101.0</v>
      </c>
      <c r="AW100" s="14">
        <v>2.0</v>
      </c>
      <c r="AX100" s="14" t="s">
        <v>99</v>
      </c>
      <c r="AY100" s="14" t="s">
        <v>99</v>
      </c>
      <c r="AZ100" s="14" t="s">
        <v>99</v>
      </c>
      <c r="BA100" s="14" t="s">
        <v>99</v>
      </c>
      <c r="BB100" s="14">
        <v>618.0</v>
      </c>
      <c r="BC100" s="14">
        <v>623.0</v>
      </c>
      <c r="BD100" s="14" t="s">
        <v>99</v>
      </c>
      <c r="BE100" s="14" t="s">
        <v>2277</v>
      </c>
      <c r="BF100" s="15" t="str">
        <f>HYPERLINK("http://dx.doi.org/10.1016/j.marpolbul.2015.10.042","http://dx.doi.org/10.1016/j.marpolbul.2015.10.042")</f>
        <v>http://dx.doi.org/10.1016/j.marpolbul.2015.10.042</v>
      </c>
      <c r="BG100" s="14" t="s">
        <v>99</v>
      </c>
      <c r="BH100" s="14" t="s">
        <v>99</v>
      </c>
      <c r="BI100" s="14">
        <v>6.0</v>
      </c>
      <c r="BJ100" s="14" t="s">
        <v>396</v>
      </c>
      <c r="BK100" s="14" t="s">
        <v>122</v>
      </c>
      <c r="BL100" s="14" t="s">
        <v>397</v>
      </c>
      <c r="BM100" s="14" t="s">
        <v>2278</v>
      </c>
      <c r="BN100" s="14">
        <v>2.6522164E7</v>
      </c>
      <c r="BO100" s="14" t="s">
        <v>354</v>
      </c>
      <c r="BP100" s="14" t="s">
        <v>99</v>
      </c>
      <c r="BQ100" s="14" t="s">
        <v>99</v>
      </c>
      <c r="BR100" s="14" t="s">
        <v>124</v>
      </c>
      <c r="BS100" s="14" t="s">
        <v>2279</v>
      </c>
      <c r="BT100" s="14" t="str">
        <f>HYPERLINK("https%3A%2F%2Fwww.webofscience.com%2Fwos%2Fwoscc%2Ffull-record%2FWOS:000367107600019","View Full Record in Web of Science")</f>
        <v>View Full Record in Web of Science</v>
      </c>
    </row>
    <row r="101" ht="12.75" customHeight="1">
      <c r="A101" s="14" t="s">
        <v>97</v>
      </c>
      <c r="B101" s="14" t="s">
        <v>2280</v>
      </c>
      <c r="C101" s="14" t="s">
        <v>99</v>
      </c>
      <c r="D101" s="14" t="s">
        <v>99</v>
      </c>
      <c r="E101" s="14" t="s">
        <v>99</v>
      </c>
      <c r="F101" s="14" t="s">
        <v>2281</v>
      </c>
      <c r="G101" s="14" t="s">
        <v>99</v>
      </c>
      <c r="H101" s="14" t="s">
        <v>99</v>
      </c>
      <c r="I101" s="14" t="s">
        <v>2282</v>
      </c>
      <c r="J101" s="14" t="s">
        <v>2283</v>
      </c>
      <c r="K101" s="14" t="s">
        <v>99</v>
      </c>
      <c r="L101" s="14" t="s">
        <v>99</v>
      </c>
      <c r="M101" s="14" t="s">
        <v>103</v>
      </c>
      <c r="N101" s="14" t="s">
        <v>2284</v>
      </c>
      <c r="O101" s="14" t="s">
        <v>2285</v>
      </c>
      <c r="P101" s="14" t="s">
        <v>2286</v>
      </c>
      <c r="Q101" s="14" t="s">
        <v>2287</v>
      </c>
      <c r="R101" s="14" t="s">
        <v>99</v>
      </c>
      <c r="S101" s="14" t="s">
        <v>2288</v>
      </c>
      <c r="T101" s="14" t="s">
        <v>2289</v>
      </c>
      <c r="U101" s="14" t="s">
        <v>2290</v>
      </c>
      <c r="V101" s="14" t="s">
        <v>2291</v>
      </c>
      <c r="W101" s="14" t="s">
        <v>2292</v>
      </c>
      <c r="X101" s="14" t="s">
        <v>2293</v>
      </c>
      <c r="Y101" s="14" t="s">
        <v>2294</v>
      </c>
      <c r="Z101" s="14" t="s">
        <v>2295</v>
      </c>
      <c r="AA101" s="14" t="s">
        <v>2296</v>
      </c>
      <c r="AB101" s="14" t="s">
        <v>2297</v>
      </c>
      <c r="AC101" s="14" t="s">
        <v>2298</v>
      </c>
      <c r="AD101" s="14" t="s">
        <v>2299</v>
      </c>
      <c r="AE101" s="14" t="s">
        <v>2300</v>
      </c>
      <c r="AF101" s="14" t="s">
        <v>99</v>
      </c>
      <c r="AG101" s="14">
        <v>80.0</v>
      </c>
      <c r="AH101" s="14">
        <v>34.0</v>
      </c>
      <c r="AI101" s="14">
        <v>36.0</v>
      </c>
      <c r="AJ101" s="14">
        <v>1.0</v>
      </c>
      <c r="AK101" s="14">
        <v>30.0</v>
      </c>
      <c r="AL101" s="14" t="s">
        <v>2301</v>
      </c>
      <c r="AM101" s="14" t="s">
        <v>2302</v>
      </c>
      <c r="AN101" s="14" t="s">
        <v>2303</v>
      </c>
      <c r="AO101" s="14" t="s">
        <v>2304</v>
      </c>
      <c r="AP101" s="14" t="s">
        <v>2305</v>
      </c>
      <c r="AQ101" s="14" t="s">
        <v>99</v>
      </c>
      <c r="AR101" s="14" t="s">
        <v>2306</v>
      </c>
      <c r="AS101" s="14" t="s">
        <v>2307</v>
      </c>
      <c r="AT101" s="14" t="s">
        <v>1058</v>
      </c>
      <c r="AU101" s="14">
        <v>2015.0</v>
      </c>
      <c r="AV101" s="14">
        <v>156.0</v>
      </c>
      <c r="AW101" s="14" t="s">
        <v>99</v>
      </c>
      <c r="AX101" s="14" t="s">
        <v>99</v>
      </c>
      <c r="AY101" s="14">
        <v>1.0</v>
      </c>
      <c r="AZ101" s="14" t="s">
        <v>99</v>
      </c>
      <c r="BA101" s="14" t="s">
        <v>99</v>
      </c>
      <c r="BB101" s="14" t="s">
        <v>2308</v>
      </c>
      <c r="BC101" s="14" t="s">
        <v>2309</v>
      </c>
      <c r="BD101" s="14" t="s">
        <v>99</v>
      </c>
      <c r="BE101" s="14" t="s">
        <v>2310</v>
      </c>
      <c r="BF101" s="15" t="str">
        <f>HYPERLINK("http://dx.doi.org/10.1007/s10336-015-1155-z","http://dx.doi.org/10.1007/s10336-015-1155-z")</f>
        <v>http://dx.doi.org/10.1007/s10336-015-1155-z</v>
      </c>
      <c r="BG101" s="14" t="s">
        <v>99</v>
      </c>
      <c r="BH101" s="14" t="s">
        <v>99</v>
      </c>
      <c r="BI101" s="14">
        <v>11.0</v>
      </c>
      <c r="BJ101" s="14" t="s">
        <v>1183</v>
      </c>
      <c r="BK101" s="14" t="s">
        <v>2311</v>
      </c>
      <c r="BL101" s="14" t="s">
        <v>121</v>
      </c>
      <c r="BM101" s="14" t="s">
        <v>2312</v>
      </c>
      <c r="BN101" s="14" t="s">
        <v>99</v>
      </c>
      <c r="BO101" s="14" t="s">
        <v>425</v>
      </c>
      <c r="BP101" s="14" t="s">
        <v>99</v>
      </c>
      <c r="BQ101" s="14" t="s">
        <v>99</v>
      </c>
      <c r="BR101" s="14" t="s">
        <v>124</v>
      </c>
      <c r="BS101" s="14" t="s">
        <v>2313</v>
      </c>
      <c r="BT101" s="14" t="str">
        <f>HYPERLINK("https%3A%2F%2Fwww.webofscience.com%2Fwos%2Fwoscc%2Ffull-record%2FWOS:000367457200003","View Full Record in Web of Science")</f>
        <v>View Full Record in Web of Science</v>
      </c>
    </row>
    <row r="102" ht="12.75" customHeight="1">
      <c r="A102" s="14" t="s">
        <v>97</v>
      </c>
      <c r="B102" s="14" t="s">
        <v>2314</v>
      </c>
      <c r="C102" s="14" t="s">
        <v>99</v>
      </c>
      <c r="D102" s="14" t="s">
        <v>99</v>
      </c>
      <c r="E102" s="14" t="s">
        <v>99</v>
      </c>
      <c r="F102" s="14" t="s">
        <v>2315</v>
      </c>
      <c r="G102" s="14" t="s">
        <v>99</v>
      </c>
      <c r="H102" s="14" t="s">
        <v>99</v>
      </c>
      <c r="I102" s="14" t="s">
        <v>2316</v>
      </c>
      <c r="J102" s="14" t="s">
        <v>900</v>
      </c>
      <c r="K102" s="14" t="s">
        <v>99</v>
      </c>
      <c r="L102" s="14" t="s">
        <v>99</v>
      </c>
      <c r="M102" s="14" t="s">
        <v>103</v>
      </c>
      <c r="N102" s="14" t="s">
        <v>104</v>
      </c>
      <c r="O102" s="14" t="s">
        <v>99</v>
      </c>
      <c r="P102" s="14" t="s">
        <v>99</v>
      </c>
      <c r="Q102" s="14" t="s">
        <v>99</v>
      </c>
      <c r="R102" s="14" t="s">
        <v>99</v>
      </c>
      <c r="S102" s="14" t="s">
        <v>99</v>
      </c>
      <c r="T102" s="14" t="s">
        <v>99</v>
      </c>
      <c r="U102" s="14" t="s">
        <v>2317</v>
      </c>
      <c r="V102" s="14" t="s">
        <v>2318</v>
      </c>
      <c r="W102" s="14" t="s">
        <v>2319</v>
      </c>
      <c r="X102" s="14" t="s">
        <v>2320</v>
      </c>
      <c r="Y102" s="14" t="s">
        <v>2321</v>
      </c>
      <c r="Z102" s="14" t="s">
        <v>2322</v>
      </c>
      <c r="AA102" s="14" t="s">
        <v>2323</v>
      </c>
      <c r="AB102" s="14" t="s">
        <v>2324</v>
      </c>
      <c r="AC102" s="14" t="s">
        <v>99</v>
      </c>
      <c r="AD102" s="14" t="s">
        <v>99</v>
      </c>
      <c r="AE102" s="14" t="s">
        <v>99</v>
      </c>
      <c r="AF102" s="14" t="s">
        <v>99</v>
      </c>
      <c r="AG102" s="14">
        <v>27.0</v>
      </c>
      <c r="AH102" s="14">
        <v>1523.0</v>
      </c>
      <c r="AI102" s="14">
        <v>1971.0</v>
      </c>
      <c r="AJ102" s="14">
        <v>53.0</v>
      </c>
      <c r="AK102" s="14">
        <v>686.0</v>
      </c>
      <c r="AL102" s="14" t="s">
        <v>1326</v>
      </c>
      <c r="AM102" s="14" t="s">
        <v>274</v>
      </c>
      <c r="AN102" s="14" t="s">
        <v>1327</v>
      </c>
      <c r="AO102" s="14" t="s">
        <v>912</v>
      </c>
      <c r="AP102" s="14" t="s">
        <v>913</v>
      </c>
      <c r="AQ102" s="14" t="s">
        <v>99</v>
      </c>
      <c r="AR102" s="14" t="s">
        <v>900</v>
      </c>
      <c r="AS102" s="14" t="s">
        <v>914</v>
      </c>
      <c r="AT102" s="14" t="s">
        <v>2325</v>
      </c>
      <c r="AU102" s="14">
        <v>2015.0</v>
      </c>
      <c r="AV102" s="14">
        <v>527.0</v>
      </c>
      <c r="AW102" s="14">
        <v>7577.0</v>
      </c>
      <c r="AX102" s="14" t="s">
        <v>99</v>
      </c>
      <c r="AY102" s="14" t="s">
        <v>99</v>
      </c>
      <c r="AZ102" s="14" t="s">
        <v>99</v>
      </c>
      <c r="BA102" s="14" t="s">
        <v>99</v>
      </c>
      <c r="BB102" s="14">
        <v>235.0</v>
      </c>
      <c r="BC102" s="14" t="s">
        <v>916</v>
      </c>
      <c r="BD102" s="14" t="s">
        <v>99</v>
      </c>
      <c r="BE102" s="14" t="s">
        <v>2326</v>
      </c>
      <c r="BF102" s="15" t="str">
        <f>HYPERLINK("http://dx.doi.org/10.1038/nature15725","http://dx.doi.org/10.1038/nature15725")</f>
        <v>http://dx.doi.org/10.1038/nature15725</v>
      </c>
      <c r="BG102" s="14" t="s">
        <v>99</v>
      </c>
      <c r="BH102" s="14" t="s">
        <v>99</v>
      </c>
      <c r="BI102" s="14">
        <v>16.0</v>
      </c>
      <c r="BJ102" s="14" t="s">
        <v>799</v>
      </c>
      <c r="BK102" s="14" t="s">
        <v>800</v>
      </c>
      <c r="BL102" s="14" t="s">
        <v>801</v>
      </c>
      <c r="BM102" s="14" t="s">
        <v>2327</v>
      </c>
      <c r="BN102" s="14">
        <v>2.6503051E7</v>
      </c>
      <c r="BO102" s="14" t="s">
        <v>576</v>
      </c>
      <c r="BP102" s="14" t="s">
        <v>99</v>
      </c>
      <c r="BQ102" s="14" t="s">
        <v>99</v>
      </c>
      <c r="BR102" s="14" t="s">
        <v>124</v>
      </c>
      <c r="BS102" s="14" t="s">
        <v>2328</v>
      </c>
      <c r="BT102" s="14" t="str">
        <f>HYPERLINK("https%3A%2F%2Fwww.webofscience.com%2Fwos%2Fwoscc%2Ffull-record%2FWOS:000364396700045","View Full Record in Web of Science")</f>
        <v>View Full Record in Web of Science</v>
      </c>
    </row>
    <row r="103" ht="12.75" customHeight="1">
      <c r="A103" s="14" t="s">
        <v>97</v>
      </c>
      <c r="B103" s="14" t="s">
        <v>2329</v>
      </c>
      <c r="C103" s="14" t="s">
        <v>99</v>
      </c>
      <c r="D103" s="14" t="s">
        <v>99</v>
      </c>
      <c r="E103" s="14" t="s">
        <v>99</v>
      </c>
      <c r="F103" s="14" t="s">
        <v>2330</v>
      </c>
      <c r="G103" s="14" t="s">
        <v>99</v>
      </c>
      <c r="H103" s="14" t="s">
        <v>99</v>
      </c>
      <c r="I103" s="14" t="s">
        <v>2331</v>
      </c>
      <c r="J103" s="14" t="s">
        <v>2332</v>
      </c>
      <c r="K103" s="14" t="s">
        <v>99</v>
      </c>
      <c r="L103" s="14" t="s">
        <v>99</v>
      </c>
      <c r="M103" s="14" t="s">
        <v>103</v>
      </c>
      <c r="N103" s="14" t="s">
        <v>104</v>
      </c>
      <c r="O103" s="14" t="s">
        <v>99</v>
      </c>
      <c r="P103" s="14" t="s">
        <v>99</v>
      </c>
      <c r="Q103" s="14" t="s">
        <v>99</v>
      </c>
      <c r="R103" s="14" t="s">
        <v>99</v>
      </c>
      <c r="S103" s="14" t="s">
        <v>99</v>
      </c>
      <c r="T103" s="14" t="s">
        <v>2333</v>
      </c>
      <c r="U103" s="14" t="s">
        <v>2334</v>
      </c>
      <c r="V103" s="14" t="s">
        <v>2335</v>
      </c>
      <c r="W103" s="14" t="s">
        <v>2336</v>
      </c>
      <c r="X103" s="14" t="s">
        <v>2337</v>
      </c>
      <c r="Y103" s="14" t="s">
        <v>2338</v>
      </c>
      <c r="Z103" s="14" t="s">
        <v>2339</v>
      </c>
      <c r="AA103" s="14" t="s">
        <v>2340</v>
      </c>
      <c r="AB103" s="14" t="s">
        <v>2341</v>
      </c>
      <c r="AC103" s="14" t="s">
        <v>2342</v>
      </c>
      <c r="AD103" s="14" t="s">
        <v>2343</v>
      </c>
      <c r="AE103" s="14" t="s">
        <v>2344</v>
      </c>
      <c r="AF103" s="14" t="s">
        <v>99</v>
      </c>
      <c r="AG103" s="14">
        <v>65.0</v>
      </c>
      <c r="AH103" s="14">
        <v>293.0</v>
      </c>
      <c r="AI103" s="14">
        <v>339.0</v>
      </c>
      <c r="AJ103" s="14">
        <v>22.0</v>
      </c>
      <c r="AK103" s="14">
        <v>391.0</v>
      </c>
      <c r="AL103" s="14" t="s">
        <v>493</v>
      </c>
      <c r="AM103" s="14" t="s">
        <v>494</v>
      </c>
      <c r="AN103" s="14" t="s">
        <v>495</v>
      </c>
      <c r="AO103" s="14" t="s">
        <v>2345</v>
      </c>
      <c r="AP103" s="14" t="s">
        <v>2346</v>
      </c>
      <c r="AQ103" s="14" t="s">
        <v>99</v>
      </c>
      <c r="AR103" s="14" t="s">
        <v>2347</v>
      </c>
      <c r="AS103" s="14" t="s">
        <v>2348</v>
      </c>
      <c r="AT103" s="14" t="s">
        <v>348</v>
      </c>
      <c r="AU103" s="14">
        <v>2015.0</v>
      </c>
      <c r="AV103" s="14">
        <v>35.0</v>
      </c>
      <c r="AW103" s="14" t="s">
        <v>99</v>
      </c>
      <c r="AX103" s="14" t="s">
        <v>99</v>
      </c>
      <c r="AY103" s="14" t="s">
        <v>99</v>
      </c>
      <c r="AZ103" s="14" t="s">
        <v>99</v>
      </c>
      <c r="BA103" s="14" t="s">
        <v>99</v>
      </c>
      <c r="BB103" s="14">
        <v>138.0</v>
      </c>
      <c r="BC103" s="14">
        <v>147.0</v>
      </c>
      <c r="BD103" s="14" t="s">
        <v>99</v>
      </c>
      <c r="BE103" s="14" t="s">
        <v>2349</v>
      </c>
      <c r="BF103" s="15" t="str">
        <f>HYPERLINK("http://dx.doi.org/10.1016/j.gloenvcha.2015.08.011","http://dx.doi.org/10.1016/j.gloenvcha.2015.08.011")</f>
        <v>http://dx.doi.org/10.1016/j.gloenvcha.2015.08.011</v>
      </c>
      <c r="BG103" s="14" t="s">
        <v>99</v>
      </c>
      <c r="BH103" s="14" t="s">
        <v>99</v>
      </c>
      <c r="BI103" s="14">
        <v>10.0</v>
      </c>
      <c r="BJ103" s="14" t="s">
        <v>2350</v>
      </c>
      <c r="BK103" s="14" t="s">
        <v>800</v>
      </c>
      <c r="BL103" s="14" t="s">
        <v>2351</v>
      </c>
      <c r="BM103" s="14" t="s">
        <v>2352</v>
      </c>
      <c r="BN103" s="14" t="s">
        <v>99</v>
      </c>
      <c r="BO103" s="14" t="s">
        <v>425</v>
      </c>
      <c r="BP103" s="14" t="s">
        <v>99</v>
      </c>
      <c r="BQ103" s="14" t="s">
        <v>99</v>
      </c>
      <c r="BR103" s="14" t="s">
        <v>124</v>
      </c>
      <c r="BS103" s="14" t="s">
        <v>2353</v>
      </c>
      <c r="BT103" s="14" t="str">
        <f>HYPERLINK("https%3A%2F%2Fwww.webofscience.com%2Fwos%2Fwoscc%2Ffull-record%2FWOS:000366767100014","View Full Record in Web of Science")</f>
        <v>View Full Record in Web of Science</v>
      </c>
    </row>
    <row r="104" ht="12.75" customHeight="1">
      <c r="A104" s="14" t="s">
        <v>97</v>
      </c>
      <c r="B104" s="14" t="s">
        <v>2354</v>
      </c>
      <c r="C104" s="14" t="s">
        <v>99</v>
      </c>
      <c r="D104" s="14" t="s">
        <v>99</v>
      </c>
      <c r="E104" s="14" t="s">
        <v>99</v>
      </c>
      <c r="F104" s="14" t="s">
        <v>2355</v>
      </c>
      <c r="G104" s="14" t="s">
        <v>99</v>
      </c>
      <c r="H104" s="14" t="s">
        <v>99</v>
      </c>
      <c r="I104" s="14" t="s">
        <v>2356</v>
      </c>
      <c r="J104" s="14" t="s">
        <v>2357</v>
      </c>
      <c r="K104" s="14" t="s">
        <v>99</v>
      </c>
      <c r="L104" s="14" t="s">
        <v>99</v>
      </c>
      <c r="M104" s="14" t="s">
        <v>103</v>
      </c>
      <c r="N104" s="14" t="s">
        <v>104</v>
      </c>
      <c r="O104" s="14" t="s">
        <v>99</v>
      </c>
      <c r="P104" s="14" t="s">
        <v>99</v>
      </c>
      <c r="Q104" s="14" t="s">
        <v>99</v>
      </c>
      <c r="R104" s="14" t="s">
        <v>99</v>
      </c>
      <c r="S104" s="14" t="s">
        <v>99</v>
      </c>
      <c r="T104" s="14" t="s">
        <v>99</v>
      </c>
      <c r="U104" s="14" t="s">
        <v>2358</v>
      </c>
      <c r="V104" s="14" t="s">
        <v>2359</v>
      </c>
      <c r="W104" s="14" t="s">
        <v>2360</v>
      </c>
      <c r="X104" s="14" t="s">
        <v>2361</v>
      </c>
      <c r="Y104" s="14" t="s">
        <v>2362</v>
      </c>
      <c r="Z104" s="14" t="s">
        <v>2363</v>
      </c>
      <c r="AA104" s="14" t="s">
        <v>2364</v>
      </c>
      <c r="AB104" s="14" t="s">
        <v>2365</v>
      </c>
      <c r="AC104" s="14" t="s">
        <v>2366</v>
      </c>
      <c r="AD104" s="14" t="s">
        <v>2367</v>
      </c>
      <c r="AE104" s="14" t="s">
        <v>2368</v>
      </c>
      <c r="AF104" s="14" t="s">
        <v>99</v>
      </c>
      <c r="AG104" s="14">
        <v>58.0</v>
      </c>
      <c r="AH104" s="14">
        <v>22.0</v>
      </c>
      <c r="AI104" s="14">
        <v>26.0</v>
      </c>
      <c r="AJ104" s="14">
        <v>0.0</v>
      </c>
      <c r="AK104" s="14">
        <v>64.0</v>
      </c>
      <c r="AL104" s="14" t="s">
        <v>1731</v>
      </c>
      <c r="AM104" s="14" t="s">
        <v>1732</v>
      </c>
      <c r="AN104" s="14" t="s">
        <v>1733</v>
      </c>
      <c r="AO104" s="14" t="s">
        <v>2369</v>
      </c>
      <c r="AP104" s="14" t="s">
        <v>2370</v>
      </c>
      <c r="AQ104" s="14" t="s">
        <v>99</v>
      </c>
      <c r="AR104" s="14" t="s">
        <v>2357</v>
      </c>
      <c r="AS104" s="14" t="s">
        <v>2371</v>
      </c>
      <c r="AT104" s="14" t="s">
        <v>2372</v>
      </c>
      <c r="AU104" s="14">
        <v>2015.0</v>
      </c>
      <c r="AV104" s="14">
        <v>132.0</v>
      </c>
      <c r="AW104" s="14">
        <v>4.0</v>
      </c>
      <c r="AX104" s="14" t="s">
        <v>99</v>
      </c>
      <c r="AY104" s="14" t="s">
        <v>99</v>
      </c>
      <c r="AZ104" s="14" t="s">
        <v>99</v>
      </c>
      <c r="BA104" s="14" t="s">
        <v>99</v>
      </c>
      <c r="BB104" s="14">
        <v>575.0</v>
      </c>
      <c r="BC104" s="14">
        <v>588.0</v>
      </c>
      <c r="BD104" s="14" t="s">
        <v>99</v>
      </c>
      <c r="BE104" s="14" t="s">
        <v>2373</v>
      </c>
      <c r="BF104" s="15" t="str">
        <f>HYPERLINK("http://dx.doi.org/10.1007/s10584-015-1448-5","http://dx.doi.org/10.1007/s10584-015-1448-5")</f>
        <v>http://dx.doi.org/10.1007/s10584-015-1448-5</v>
      </c>
      <c r="BG104" s="14" t="s">
        <v>99</v>
      </c>
      <c r="BH104" s="14" t="s">
        <v>99</v>
      </c>
      <c r="BI104" s="14">
        <v>14.0</v>
      </c>
      <c r="BJ104" s="14" t="s">
        <v>573</v>
      </c>
      <c r="BK104" s="14" t="s">
        <v>122</v>
      </c>
      <c r="BL104" s="14" t="s">
        <v>574</v>
      </c>
      <c r="BM104" s="14" t="s">
        <v>2374</v>
      </c>
      <c r="BN104" s="14" t="s">
        <v>99</v>
      </c>
      <c r="BO104" s="14" t="s">
        <v>99</v>
      </c>
      <c r="BP104" s="14" t="s">
        <v>99</v>
      </c>
      <c r="BQ104" s="14" t="s">
        <v>99</v>
      </c>
      <c r="BR104" s="14" t="s">
        <v>124</v>
      </c>
      <c r="BS104" s="14" t="s">
        <v>2375</v>
      </c>
      <c r="BT104" s="14" t="str">
        <f>HYPERLINK("https%3A%2F%2Fwww.webofscience.com%2Fwos%2Fwoscc%2Ffull-record%2FWOS:000361799100009","View Full Record in Web of Science")</f>
        <v>View Full Record in Web of Science</v>
      </c>
    </row>
    <row r="105" ht="12.75" customHeight="1">
      <c r="A105" s="14" t="s">
        <v>97</v>
      </c>
      <c r="B105" s="14" t="s">
        <v>2376</v>
      </c>
      <c r="C105" s="14" t="s">
        <v>99</v>
      </c>
      <c r="D105" s="14" t="s">
        <v>99</v>
      </c>
      <c r="E105" s="14" t="s">
        <v>99</v>
      </c>
      <c r="F105" s="14" t="s">
        <v>2377</v>
      </c>
      <c r="G105" s="14" t="s">
        <v>99</v>
      </c>
      <c r="H105" s="14" t="s">
        <v>99</v>
      </c>
      <c r="I105" s="14" t="s">
        <v>2378</v>
      </c>
      <c r="J105" s="14" t="s">
        <v>328</v>
      </c>
      <c r="K105" s="14" t="s">
        <v>99</v>
      </c>
      <c r="L105" s="14" t="s">
        <v>99</v>
      </c>
      <c r="M105" s="14" t="s">
        <v>103</v>
      </c>
      <c r="N105" s="14" t="s">
        <v>104</v>
      </c>
      <c r="O105" s="14" t="s">
        <v>99</v>
      </c>
      <c r="P105" s="14" t="s">
        <v>99</v>
      </c>
      <c r="Q105" s="14" t="s">
        <v>99</v>
      </c>
      <c r="R105" s="14" t="s">
        <v>99</v>
      </c>
      <c r="S105" s="14" t="s">
        <v>99</v>
      </c>
      <c r="T105" s="14" t="s">
        <v>2379</v>
      </c>
      <c r="U105" s="14" t="s">
        <v>2380</v>
      </c>
      <c r="V105" s="14" t="s">
        <v>2381</v>
      </c>
      <c r="W105" s="14" t="s">
        <v>2382</v>
      </c>
      <c r="X105" s="14" t="s">
        <v>2383</v>
      </c>
      <c r="Y105" s="14" t="s">
        <v>2384</v>
      </c>
      <c r="Z105" s="14" t="s">
        <v>2385</v>
      </c>
      <c r="AA105" s="14" t="s">
        <v>2386</v>
      </c>
      <c r="AB105" s="14" t="s">
        <v>2387</v>
      </c>
      <c r="AC105" s="14" t="s">
        <v>2388</v>
      </c>
      <c r="AD105" s="14" t="s">
        <v>2389</v>
      </c>
      <c r="AE105" s="14" t="s">
        <v>2390</v>
      </c>
      <c r="AF105" s="14" t="s">
        <v>99</v>
      </c>
      <c r="AG105" s="14">
        <v>50.0</v>
      </c>
      <c r="AH105" s="14">
        <v>140.0</v>
      </c>
      <c r="AI105" s="14">
        <v>144.0</v>
      </c>
      <c r="AJ105" s="14">
        <v>4.0</v>
      </c>
      <c r="AK105" s="14">
        <v>222.0</v>
      </c>
      <c r="AL105" s="14" t="s">
        <v>341</v>
      </c>
      <c r="AM105" s="14" t="s">
        <v>342</v>
      </c>
      <c r="AN105" s="14" t="s">
        <v>343</v>
      </c>
      <c r="AO105" s="14" t="s">
        <v>344</v>
      </c>
      <c r="AP105" s="14" t="s">
        <v>345</v>
      </c>
      <c r="AQ105" s="14" t="s">
        <v>99</v>
      </c>
      <c r="AR105" s="14" t="s">
        <v>346</v>
      </c>
      <c r="AS105" s="14" t="s">
        <v>347</v>
      </c>
      <c r="AT105" s="14" t="s">
        <v>2372</v>
      </c>
      <c r="AU105" s="14">
        <v>2015.0</v>
      </c>
      <c r="AV105" s="14">
        <v>21.0</v>
      </c>
      <c r="AW105" s="14">
        <v>10.0</v>
      </c>
      <c r="AX105" s="14" t="s">
        <v>99</v>
      </c>
      <c r="AY105" s="14" t="s">
        <v>99</v>
      </c>
      <c r="AZ105" s="14" t="s">
        <v>99</v>
      </c>
      <c r="BA105" s="14" t="s">
        <v>99</v>
      </c>
      <c r="BB105" s="14">
        <v>3726.0</v>
      </c>
      <c r="BC105" s="14">
        <v>3737.0</v>
      </c>
      <c r="BD105" s="14" t="s">
        <v>99</v>
      </c>
      <c r="BE105" s="14" t="s">
        <v>2391</v>
      </c>
      <c r="BF105" s="15" t="str">
        <f>HYPERLINK("http://dx.doi.org/10.1111/gcb.12993","http://dx.doi.org/10.1111/gcb.12993")</f>
        <v>http://dx.doi.org/10.1111/gcb.12993</v>
      </c>
      <c r="BG105" s="14" t="s">
        <v>99</v>
      </c>
      <c r="BH105" s="14" t="s">
        <v>99</v>
      </c>
      <c r="BI105" s="14">
        <v>12.0</v>
      </c>
      <c r="BJ105" s="14" t="s">
        <v>351</v>
      </c>
      <c r="BK105" s="14" t="s">
        <v>122</v>
      </c>
      <c r="BL105" s="14" t="s">
        <v>352</v>
      </c>
      <c r="BM105" s="14" t="s">
        <v>2392</v>
      </c>
      <c r="BN105" s="14">
        <v>2.6212787E7</v>
      </c>
      <c r="BO105" s="14" t="s">
        <v>373</v>
      </c>
      <c r="BP105" s="14" t="s">
        <v>99</v>
      </c>
      <c r="BQ105" s="14" t="s">
        <v>99</v>
      </c>
      <c r="BR105" s="14" t="s">
        <v>124</v>
      </c>
      <c r="BS105" s="14" t="s">
        <v>2393</v>
      </c>
      <c r="BT105" s="14" t="str">
        <f>HYPERLINK("https%3A%2F%2Fwww.webofscience.com%2Fwos%2Fwoscc%2Ffull-record%2FWOS:000360994500014","View Full Record in Web of Science")</f>
        <v>View Full Record in Web of Science</v>
      </c>
    </row>
    <row r="106" ht="12.75" customHeight="1">
      <c r="A106" s="14" t="s">
        <v>97</v>
      </c>
      <c r="B106" s="14" t="s">
        <v>2394</v>
      </c>
      <c r="C106" s="14" t="s">
        <v>99</v>
      </c>
      <c r="D106" s="14" t="s">
        <v>99</v>
      </c>
      <c r="E106" s="14" t="s">
        <v>99</v>
      </c>
      <c r="F106" s="14" t="s">
        <v>2395</v>
      </c>
      <c r="G106" s="14" t="s">
        <v>99</v>
      </c>
      <c r="H106" s="14" t="s">
        <v>99</v>
      </c>
      <c r="I106" s="14" t="s">
        <v>2396</v>
      </c>
      <c r="J106" s="14" t="s">
        <v>2397</v>
      </c>
      <c r="K106" s="14" t="s">
        <v>99</v>
      </c>
      <c r="L106" s="14" t="s">
        <v>99</v>
      </c>
      <c r="M106" s="14" t="s">
        <v>103</v>
      </c>
      <c r="N106" s="14" t="s">
        <v>2284</v>
      </c>
      <c r="O106" s="14" t="s">
        <v>2398</v>
      </c>
      <c r="P106" s="14" t="s">
        <v>2399</v>
      </c>
      <c r="Q106" s="14" t="s">
        <v>2400</v>
      </c>
      <c r="R106" s="14" t="s">
        <v>99</v>
      </c>
      <c r="S106" s="14" t="s">
        <v>99</v>
      </c>
      <c r="T106" s="14" t="s">
        <v>2401</v>
      </c>
      <c r="U106" s="14" t="s">
        <v>2402</v>
      </c>
      <c r="V106" s="14" t="s">
        <v>2403</v>
      </c>
      <c r="W106" s="14" t="s">
        <v>2404</v>
      </c>
      <c r="X106" s="14" t="s">
        <v>2405</v>
      </c>
      <c r="Y106" s="14" t="s">
        <v>2406</v>
      </c>
      <c r="Z106" s="14" t="s">
        <v>2407</v>
      </c>
      <c r="AA106" s="14" t="s">
        <v>2408</v>
      </c>
      <c r="AB106" s="14" t="s">
        <v>2409</v>
      </c>
      <c r="AC106" s="14" t="s">
        <v>2410</v>
      </c>
      <c r="AD106" s="14" t="s">
        <v>2411</v>
      </c>
      <c r="AE106" s="14" t="s">
        <v>2412</v>
      </c>
      <c r="AF106" s="14" t="s">
        <v>99</v>
      </c>
      <c r="AG106" s="14">
        <v>47.0</v>
      </c>
      <c r="AH106" s="14">
        <v>268.0</v>
      </c>
      <c r="AI106" s="14">
        <v>306.0</v>
      </c>
      <c r="AJ106" s="14">
        <v>7.0</v>
      </c>
      <c r="AK106" s="14">
        <v>215.0</v>
      </c>
      <c r="AL106" s="14" t="s">
        <v>493</v>
      </c>
      <c r="AM106" s="14" t="s">
        <v>468</v>
      </c>
      <c r="AN106" s="14" t="s">
        <v>635</v>
      </c>
      <c r="AO106" s="14" t="s">
        <v>2413</v>
      </c>
      <c r="AP106" s="14" t="s">
        <v>2414</v>
      </c>
      <c r="AQ106" s="14" t="s">
        <v>99</v>
      </c>
      <c r="AR106" s="14" t="s">
        <v>2415</v>
      </c>
      <c r="AS106" s="14" t="s">
        <v>2416</v>
      </c>
      <c r="AT106" s="14" t="s">
        <v>2372</v>
      </c>
      <c r="AU106" s="14">
        <v>2015.0</v>
      </c>
      <c r="AV106" s="14">
        <v>115.0</v>
      </c>
      <c r="AW106" s="14" t="s">
        <v>99</v>
      </c>
      <c r="AX106" s="14" t="s">
        <v>99</v>
      </c>
      <c r="AY106" s="14" t="s">
        <v>99</v>
      </c>
      <c r="AZ106" s="14" t="s">
        <v>99</v>
      </c>
      <c r="BA106" s="14" t="s">
        <v>99</v>
      </c>
      <c r="BB106" s="14">
        <v>17.0</v>
      </c>
      <c r="BC106" s="14">
        <v>24.0</v>
      </c>
      <c r="BD106" s="14" t="s">
        <v>99</v>
      </c>
      <c r="BE106" s="14" t="s">
        <v>2417</v>
      </c>
      <c r="BF106" s="15" t="str">
        <f>HYPERLINK("http://dx.doi.org/10.1016/j.ocecoaman.2015.05.021","http://dx.doi.org/10.1016/j.ocecoaman.2015.05.021")</f>
        <v>http://dx.doi.org/10.1016/j.ocecoaman.2015.05.021</v>
      </c>
      <c r="BG106" s="14" t="s">
        <v>99</v>
      </c>
      <c r="BH106" s="14" t="s">
        <v>99</v>
      </c>
      <c r="BI106" s="14">
        <v>8.0</v>
      </c>
      <c r="BJ106" s="14" t="s">
        <v>2418</v>
      </c>
      <c r="BK106" s="14" t="s">
        <v>2311</v>
      </c>
      <c r="BL106" s="14" t="s">
        <v>2418</v>
      </c>
      <c r="BM106" s="14" t="s">
        <v>2419</v>
      </c>
      <c r="BN106" s="14" t="s">
        <v>99</v>
      </c>
      <c r="BO106" s="14" t="s">
        <v>1118</v>
      </c>
      <c r="BP106" s="14" t="s">
        <v>99</v>
      </c>
      <c r="BQ106" s="14" t="s">
        <v>99</v>
      </c>
      <c r="BR106" s="14" t="s">
        <v>124</v>
      </c>
      <c r="BS106" s="14" t="s">
        <v>2420</v>
      </c>
      <c r="BT106" s="14" t="str">
        <f>HYPERLINK("https%3A%2F%2Fwww.webofscience.com%2Fwos%2Fwoscc%2Ffull-record%2FWOS:000364252300004","View Full Record in Web of Science")</f>
        <v>View Full Record in Web of Science</v>
      </c>
    </row>
    <row r="107" ht="12.75" customHeight="1">
      <c r="A107" s="14" t="s">
        <v>97</v>
      </c>
      <c r="B107" s="14" t="s">
        <v>2421</v>
      </c>
      <c r="C107" s="14" t="s">
        <v>99</v>
      </c>
      <c r="D107" s="14" t="s">
        <v>99</v>
      </c>
      <c r="E107" s="14" t="s">
        <v>99</v>
      </c>
      <c r="F107" s="14" t="s">
        <v>2422</v>
      </c>
      <c r="G107" s="14" t="s">
        <v>99</v>
      </c>
      <c r="H107" s="14" t="s">
        <v>99</v>
      </c>
      <c r="I107" s="14" t="s">
        <v>2423</v>
      </c>
      <c r="J107" s="14" t="s">
        <v>1645</v>
      </c>
      <c r="K107" s="14" t="s">
        <v>99</v>
      </c>
      <c r="L107" s="14" t="s">
        <v>99</v>
      </c>
      <c r="M107" s="14" t="s">
        <v>103</v>
      </c>
      <c r="N107" s="14" t="s">
        <v>104</v>
      </c>
      <c r="O107" s="14" t="s">
        <v>99</v>
      </c>
      <c r="P107" s="14" t="s">
        <v>99</v>
      </c>
      <c r="Q107" s="14" t="s">
        <v>99</v>
      </c>
      <c r="R107" s="14" t="s">
        <v>99</v>
      </c>
      <c r="S107" s="14" t="s">
        <v>99</v>
      </c>
      <c r="T107" s="14" t="s">
        <v>99</v>
      </c>
      <c r="U107" s="14" t="s">
        <v>2424</v>
      </c>
      <c r="V107" s="14" t="s">
        <v>2425</v>
      </c>
      <c r="W107" s="14" t="s">
        <v>2426</v>
      </c>
      <c r="X107" s="14" t="s">
        <v>2427</v>
      </c>
      <c r="Y107" s="14" t="s">
        <v>2428</v>
      </c>
      <c r="Z107" s="14" t="s">
        <v>2429</v>
      </c>
      <c r="AA107" s="14" t="s">
        <v>2430</v>
      </c>
      <c r="AB107" s="14" t="s">
        <v>2431</v>
      </c>
      <c r="AC107" s="14" t="s">
        <v>2432</v>
      </c>
      <c r="AD107" s="14" t="s">
        <v>2433</v>
      </c>
      <c r="AE107" s="14" t="s">
        <v>2434</v>
      </c>
      <c r="AF107" s="14" t="s">
        <v>99</v>
      </c>
      <c r="AG107" s="14">
        <v>52.0</v>
      </c>
      <c r="AH107" s="14">
        <v>1006.0</v>
      </c>
      <c r="AI107" s="14">
        <v>1205.0</v>
      </c>
      <c r="AJ107" s="14">
        <v>6.0</v>
      </c>
      <c r="AK107" s="14">
        <v>495.0</v>
      </c>
      <c r="AL107" s="14" t="s">
        <v>909</v>
      </c>
      <c r="AM107" s="14" t="s">
        <v>910</v>
      </c>
      <c r="AN107" s="14" t="s">
        <v>911</v>
      </c>
      <c r="AO107" s="14" t="s">
        <v>1657</v>
      </c>
      <c r="AP107" s="14" t="s">
        <v>99</v>
      </c>
      <c r="AQ107" s="14" t="s">
        <v>99</v>
      </c>
      <c r="AR107" s="14" t="s">
        <v>1658</v>
      </c>
      <c r="AS107" s="14" t="s">
        <v>1659</v>
      </c>
      <c r="AT107" s="14" t="s">
        <v>2435</v>
      </c>
      <c r="AU107" s="14">
        <v>2015.0</v>
      </c>
      <c r="AV107" s="14">
        <v>5.0</v>
      </c>
      <c r="AW107" s="14" t="s">
        <v>99</v>
      </c>
      <c r="AX107" s="14" t="s">
        <v>99</v>
      </c>
      <c r="AY107" s="14" t="s">
        <v>99</v>
      </c>
      <c r="AZ107" s="14" t="s">
        <v>99</v>
      </c>
      <c r="BA107" s="14" t="s">
        <v>99</v>
      </c>
      <c r="BB107" s="14" t="s">
        <v>99</v>
      </c>
      <c r="BC107" s="14" t="s">
        <v>99</v>
      </c>
      <c r="BD107" s="14">
        <v>14340.0</v>
      </c>
      <c r="BE107" s="14" t="s">
        <v>2436</v>
      </c>
      <c r="BF107" s="15" t="str">
        <f>HYPERLINK("http://dx.doi.org/10.1038/srep14340","http://dx.doi.org/10.1038/srep14340")</f>
        <v>http://dx.doi.org/10.1038/srep14340</v>
      </c>
      <c r="BG107" s="14" t="s">
        <v>99</v>
      </c>
      <c r="BH107" s="14" t="s">
        <v>99</v>
      </c>
      <c r="BI107" s="14">
        <v>10.0</v>
      </c>
      <c r="BJ107" s="14" t="s">
        <v>799</v>
      </c>
      <c r="BK107" s="14" t="s">
        <v>122</v>
      </c>
      <c r="BL107" s="14" t="s">
        <v>801</v>
      </c>
      <c r="BM107" s="14" t="s">
        <v>2437</v>
      </c>
      <c r="BN107" s="14">
        <v>2.6399762E7</v>
      </c>
      <c r="BO107" s="14" t="s">
        <v>1251</v>
      </c>
      <c r="BP107" s="14" t="s">
        <v>99</v>
      </c>
      <c r="BQ107" s="14" t="s">
        <v>99</v>
      </c>
      <c r="BR107" s="14" t="s">
        <v>124</v>
      </c>
      <c r="BS107" s="14" t="s">
        <v>2438</v>
      </c>
      <c r="BT107" s="14" t="str">
        <f>HYPERLINK("https%3A%2F%2Fwww.webofscience.com%2Fwos%2Fwoscc%2Ffull-record%2FWOS:000361664300001","View Full Record in Web of Science")</f>
        <v>View Full Record in Web of Science</v>
      </c>
    </row>
    <row r="108" ht="12.75" customHeight="1">
      <c r="A108" s="14" t="s">
        <v>97</v>
      </c>
      <c r="B108" s="14" t="s">
        <v>2439</v>
      </c>
      <c r="C108" s="14" t="s">
        <v>99</v>
      </c>
      <c r="D108" s="14" t="s">
        <v>99</v>
      </c>
      <c r="E108" s="14" t="s">
        <v>99</v>
      </c>
      <c r="F108" s="14" t="s">
        <v>2440</v>
      </c>
      <c r="G108" s="14" t="s">
        <v>99</v>
      </c>
      <c r="H108" s="14" t="s">
        <v>99</v>
      </c>
      <c r="I108" s="14" t="s">
        <v>2441</v>
      </c>
      <c r="J108" s="14" t="s">
        <v>900</v>
      </c>
      <c r="K108" s="14" t="s">
        <v>99</v>
      </c>
      <c r="L108" s="14" t="s">
        <v>99</v>
      </c>
      <c r="M108" s="14" t="s">
        <v>103</v>
      </c>
      <c r="N108" s="14" t="s">
        <v>104</v>
      </c>
      <c r="O108" s="14" t="s">
        <v>99</v>
      </c>
      <c r="P108" s="14" t="s">
        <v>99</v>
      </c>
      <c r="Q108" s="14" t="s">
        <v>99</v>
      </c>
      <c r="R108" s="14" t="s">
        <v>99</v>
      </c>
      <c r="S108" s="14" t="s">
        <v>99</v>
      </c>
      <c r="T108" s="14" t="s">
        <v>99</v>
      </c>
      <c r="U108" s="14" t="s">
        <v>2442</v>
      </c>
      <c r="V108" s="14" t="s">
        <v>2443</v>
      </c>
      <c r="W108" s="14" t="s">
        <v>2444</v>
      </c>
      <c r="X108" s="14" t="s">
        <v>2445</v>
      </c>
      <c r="Y108" s="14" t="s">
        <v>2446</v>
      </c>
      <c r="Z108" s="14" t="s">
        <v>2447</v>
      </c>
      <c r="AA108" s="14" t="s">
        <v>2448</v>
      </c>
      <c r="AB108" s="14" t="s">
        <v>2449</v>
      </c>
      <c r="AC108" s="14" t="s">
        <v>2450</v>
      </c>
      <c r="AD108" s="14" t="s">
        <v>2451</v>
      </c>
      <c r="AE108" s="14" t="s">
        <v>2452</v>
      </c>
      <c r="AF108" s="14" t="s">
        <v>99</v>
      </c>
      <c r="AG108" s="14">
        <v>73.0</v>
      </c>
      <c r="AH108" s="14">
        <v>4332.0</v>
      </c>
      <c r="AI108" s="14">
        <v>4947.0</v>
      </c>
      <c r="AJ108" s="14">
        <v>86.0</v>
      </c>
      <c r="AK108" s="14">
        <v>3602.0</v>
      </c>
      <c r="AL108" s="14" t="s">
        <v>909</v>
      </c>
      <c r="AM108" s="14" t="s">
        <v>910</v>
      </c>
      <c r="AN108" s="14" t="s">
        <v>911</v>
      </c>
      <c r="AO108" s="14" t="s">
        <v>912</v>
      </c>
      <c r="AP108" s="14" t="s">
        <v>913</v>
      </c>
      <c r="AQ108" s="14" t="s">
        <v>99</v>
      </c>
      <c r="AR108" s="14" t="s">
        <v>900</v>
      </c>
      <c r="AS108" s="14" t="s">
        <v>914</v>
      </c>
      <c r="AT108" s="14" t="s">
        <v>2453</v>
      </c>
      <c r="AU108" s="14">
        <v>2015.0</v>
      </c>
      <c r="AV108" s="14">
        <v>525.0</v>
      </c>
      <c r="AW108" s="14">
        <v>7569.0</v>
      </c>
      <c r="AX108" s="14" t="s">
        <v>99</v>
      </c>
      <c r="AY108" s="14" t="s">
        <v>99</v>
      </c>
      <c r="AZ108" s="14" t="s">
        <v>99</v>
      </c>
      <c r="BA108" s="14" t="s">
        <v>99</v>
      </c>
      <c r="BB108" s="14">
        <v>367.0</v>
      </c>
      <c r="BC108" s="14" t="s">
        <v>916</v>
      </c>
      <c r="BD108" s="14" t="s">
        <v>99</v>
      </c>
      <c r="BE108" s="14" t="s">
        <v>2454</v>
      </c>
      <c r="BF108" s="15" t="str">
        <f>HYPERLINK("http://dx.doi.org/10.1038/nature15371","http://dx.doi.org/10.1038/nature15371")</f>
        <v>http://dx.doi.org/10.1038/nature15371</v>
      </c>
      <c r="BG108" s="14" t="s">
        <v>99</v>
      </c>
      <c r="BH108" s="14" t="s">
        <v>99</v>
      </c>
      <c r="BI108" s="14">
        <v>18.0</v>
      </c>
      <c r="BJ108" s="14" t="s">
        <v>799</v>
      </c>
      <c r="BK108" s="14" t="s">
        <v>122</v>
      </c>
      <c r="BL108" s="14" t="s">
        <v>801</v>
      </c>
      <c r="BM108" s="14" t="s">
        <v>2455</v>
      </c>
      <c r="BN108" s="14">
        <v>2.6381985E7</v>
      </c>
      <c r="BO108" s="14" t="s">
        <v>425</v>
      </c>
      <c r="BP108" s="14" t="s">
        <v>99</v>
      </c>
      <c r="BQ108" s="14" t="s">
        <v>99</v>
      </c>
      <c r="BR108" s="14" t="s">
        <v>124</v>
      </c>
      <c r="BS108" s="14" t="s">
        <v>2456</v>
      </c>
      <c r="BT108" s="14" t="str">
        <f>HYPERLINK("https%3A%2F%2Fwww.webofscience.com%2Fwos%2Fwoscc%2Ffull-record%2FWOS:000361297900041","View Full Record in Web of Science")</f>
        <v>View Full Record in Web of Science</v>
      </c>
    </row>
    <row r="109" ht="12.75" customHeight="1">
      <c r="A109" s="14" t="s">
        <v>97</v>
      </c>
      <c r="B109" s="14" t="s">
        <v>2457</v>
      </c>
      <c r="C109" s="14" t="s">
        <v>99</v>
      </c>
      <c r="D109" s="14" t="s">
        <v>99</v>
      </c>
      <c r="E109" s="14" t="s">
        <v>99</v>
      </c>
      <c r="F109" s="14" t="s">
        <v>2458</v>
      </c>
      <c r="G109" s="14" t="s">
        <v>99</v>
      </c>
      <c r="H109" s="14" t="s">
        <v>99</v>
      </c>
      <c r="I109" s="14" t="s">
        <v>2459</v>
      </c>
      <c r="J109" s="14" t="s">
        <v>2460</v>
      </c>
      <c r="K109" s="14" t="s">
        <v>99</v>
      </c>
      <c r="L109" s="14" t="s">
        <v>99</v>
      </c>
      <c r="M109" s="14" t="s">
        <v>103</v>
      </c>
      <c r="N109" s="14" t="s">
        <v>104</v>
      </c>
      <c r="O109" s="14" t="s">
        <v>99</v>
      </c>
      <c r="P109" s="14" t="s">
        <v>99</v>
      </c>
      <c r="Q109" s="14" t="s">
        <v>99</v>
      </c>
      <c r="R109" s="14" t="s">
        <v>99</v>
      </c>
      <c r="S109" s="14" t="s">
        <v>99</v>
      </c>
      <c r="T109" s="14" t="s">
        <v>99</v>
      </c>
      <c r="U109" s="14" t="s">
        <v>2461</v>
      </c>
      <c r="V109" s="14" t="s">
        <v>2462</v>
      </c>
      <c r="W109" s="14" t="s">
        <v>2463</v>
      </c>
      <c r="X109" s="14" t="s">
        <v>2464</v>
      </c>
      <c r="Y109" s="14" t="s">
        <v>2465</v>
      </c>
      <c r="Z109" s="14" t="s">
        <v>2466</v>
      </c>
      <c r="AA109" s="14" t="s">
        <v>2467</v>
      </c>
      <c r="AB109" s="14" t="s">
        <v>99</v>
      </c>
      <c r="AC109" s="14" t="s">
        <v>2468</v>
      </c>
      <c r="AD109" s="14" t="s">
        <v>2469</v>
      </c>
      <c r="AE109" s="14" t="s">
        <v>2470</v>
      </c>
      <c r="AF109" s="14" t="s">
        <v>99</v>
      </c>
      <c r="AG109" s="14">
        <v>73.0</v>
      </c>
      <c r="AH109" s="14">
        <v>22.0</v>
      </c>
      <c r="AI109" s="14">
        <v>27.0</v>
      </c>
      <c r="AJ109" s="14">
        <v>0.0</v>
      </c>
      <c r="AK109" s="14">
        <v>50.0</v>
      </c>
      <c r="AL109" s="14" t="s">
        <v>341</v>
      </c>
      <c r="AM109" s="14" t="s">
        <v>342</v>
      </c>
      <c r="AN109" s="14" t="s">
        <v>343</v>
      </c>
      <c r="AO109" s="14" t="s">
        <v>2471</v>
      </c>
      <c r="AP109" s="14" t="s">
        <v>2472</v>
      </c>
      <c r="AQ109" s="14" t="s">
        <v>99</v>
      </c>
      <c r="AR109" s="14" t="s">
        <v>2473</v>
      </c>
      <c r="AS109" s="14" t="s">
        <v>2474</v>
      </c>
      <c r="AT109" s="14" t="s">
        <v>421</v>
      </c>
      <c r="AU109" s="14">
        <v>2015.0</v>
      </c>
      <c r="AV109" s="14">
        <v>21.0</v>
      </c>
      <c r="AW109" s="14">
        <v>5.0</v>
      </c>
      <c r="AX109" s="14" t="s">
        <v>99</v>
      </c>
      <c r="AY109" s="14" t="s">
        <v>99</v>
      </c>
      <c r="AZ109" s="14" t="s">
        <v>99</v>
      </c>
      <c r="BA109" s="14" t="s">
        <v>99</v>
      </c>
      <c r="BB109" s="14">
        <v>234.0</v>
      </c>
      <c r="BC109" s="14">
        <v>245.0</v>
      </c>
      <c r="BD109" s="14" t="s">
        <v>99</v>
      </c>
      <c r="BE109" s="14" t="s">
        <v>2475</v>
      </c>
      <c r="BF109" s="15" t="str">
        <f>HYPERLINK("http://dx.doi.org/10.2981/wlb.00095","http://dx.doi.org/10.2981/wlb.00095")</f>
        <v>http://dx.doi.org/10.2981/wlb.00095</v>
      </c>
      <c r="BG109" s="14" t="s">
        <v>99</v>
      </c>
      <c r="BH109" s="14" t="s">
        <v>99</v>
      </c>
      <c r="BI109" s="14">
        <v>12.0</v>
      </c>
      <c r="BJ109" s="14" t="s">
        <v>189</v>
      </c>
      <c r="BK109" s="14" t="s">
        <v>122</v>
      </c>
      <c r="BL109" s="14" t="s">
        <v>190</v>
      </c>
      <c r="BM109" s="14" t="s">
        <v>2476</v>
      </c>
      <c r="BN109" s="14" t="s">
        <v>99</v>
      </c>
      <c r="BO109" s="14" t="s">
        <v>576</v>
      </c>
      <c r="BP109" s="14" t="s">
        <v>99</v>
      </c>
      <c r="BQ109" s="14" t="s">
        <v>99</v>
      </c>
      <c r="BR109" s="14" t="s">
        <v>124</v>
      </c>
      <c r="BS109" s="14" t="s">
        <v>2477</v>
      </c>
      <c r="BT109" s="14" t="str">
        <f>HYPERLINK("https%3A%2F%2Fwww.webofscience.com%2Fwos%2Fwoscc%2Ffull-record%2FWOS:000363668300001","View Full Record in Web of Science")</f>
        <v>View Full Record in Web of Science</v>
      </c>
    </row>
    <row r="110" ht="12.75" customHeight="1">
      <c r="A110" s="14" t="s">
        <v>97</v>
      </c>
      <c r="B110" s="14" t="s">
        <v>2478</v>
      </c>
      <c r="C110" s="14" t="s">
        <v>99</v>
      </c>
      <c r="D110" s="14" t="s">
        <v>99</v>
      </c>
      <c r="E110" s="14" t="s">
        <v>99</v>
      </c>
      <c r="F110" s="14" t="s">
        <v>2479</v>
      </c>
      <c r="G110" s="14" t="s">
        <v>99</v>
      </c>
      <c r="H110" s="14" t="s">
        <v>99</v>
      </c>
      <c r="I110" s="14" t="s">
        <v>2480</v>
      </c>
      <c r="J110" s="14" t="s">
        <v>556</v>
      </c>
      <c r="K110" s="14" t="s">
        <v>99</v>
      </c>
      <c r="L110" s="14" t="s">
        <v>99</v>
      </c>
      <c r="M110" s="14" t="s">
        <v>103</v>
      </c>
      <c r="N110" s="14" t="s">
        <v>104</v>
      </c>
      <c r="O110" s="14" t="s">
        <v>99</v>
      </c>
      <c r="P110" s="14" t="s">
        <v>99</v>
      </c>
      <c r="Q110" s="14" t="s">
        <v>99</v>
      </c>
      <c r="R110" s="14" t="s">
        <v>99</v>
      </c>
      <c r="S110" s="14" t="s">
        <v>99</v>
      </c>
      <c r="T110" s="14" t="s">
        <v>2481</v>
      </c>
      <c r="U110" s="14" t="s">
        <v>2482</v>
      </c>
      <c r="V110" s="14" t="s">
        <v>2483</v>
      </c>
      <c r="W110" s="14" t="s">
        <v>2484</v>
      </c>
      <c r="X110" s="14" t="s">
        <v>2485</v>
      </c>
      <c r="Y110" s="14" t="s">
        <v>2486</v>
      </c>
      <c r="Z110" s="14" t="s">
        <v>2487</v>
      </c>
      <c r="AA110" s="14" t="s">
        <v>2488</v>
      </c>
      <c r="AB110" s="14" t="s">
        <v>2489</v>
      </c>
      <c r="AC110" s="14" t="s">
        <v>2490</v>
      </c>
      <c r="AD110" s="14" t="s">
        <v>2491</v>
      </c>
      <c r="AE110" s="14" t="s">
        <v>2492</v>
      </c>
      <c r="AF110" s="14" t="s">
        <v>99</v>
      </c>
      <c r="AG110" s="14">
        <v>38.0</v>
      </c>
      <c r="AH110" s="14">
        <v>156.0</v>
      </c>
      <c r="AI110" s="14">
        <v>165.0</v>
      </c>
      <c r="AJ110" s="14">
        <v>2.0</v>
      </c>
      <c r="AK110" s="14">
        <v>92.0</v>
      </c>
      <c r="AL110" s="14" t="s">
        <v>2493</v>
      </c>
      <c r="AM110" s="14" t="s">
        <v>567</v>
      </c>
      <c r="AN110" s="14" t="s">
        <v>568</v>
      </c>
      <c r="AO110" s="14" t="s">
        <v>569</v>
      </c>
      <c r="AP110" s="14" t="s">
        <v>99</v>
      </c>
      <c r="AQ110" s="14" t="s">
        <v>99</v>
      </c>
      <c r="AR110" s="14" t="s">
        <v>570</v>
      </c>
      <c r="AS110" s="14" t="s">
        <v>571</v>
      </c>
      <c r="AT110" s="14" t="s">
        <v>421</v>
      </c>
      <c r="AU110" s="14">
        <v>2015.0</v>
      </c>
      <c r="AV110" s="14">
        <v>10.0</v>
      </c>
      <c r="AW110" s="14">
        <v>9.0</v>
      </c>
      <c r="AX110" s="14" t="s">
        <v>99</v>
      </c>
      <c r="AY110" s="14" t="s">
        <v>99</v>
      </c>
      <c r="AZ110" s="14" t="s">
        <v>99</v>
      </c>
      <c r="BA110" s="14" t="s">
        <v>99</v>
      </c>
      <c r="BB110" s="14" t="s">
        <v>99</v>
      </c>
      <c r="BC110" s="14" t="s">
        <v>99</v>
      </c>
      <c r="BD110" s="14">
        <v>94015.0</v>
      </c>
      <c r="BE110" s="14" t="s">
        <v>2494</v>
      </c>
      <c r="BF110" s="15" t="str">
        <f>HYPERLINK("http://dx.doi.org/10.1088/1748-9326/10/9/094015","http://dx.doi.org/10.1088/1748-9326/10/9/094015")</f>
        <v>http://dx.doi.org/10.1088/1748-9326/10/9/094015</v>
      </c>
      <c r="BG110" s="14" t="s">
        <v>99</v>
      </c>
      <c r="BH110" s="14" t="s">
        <v>99</v>
      </c>
      <c r="BI110" s="14">
        <v>9.0</v>
      </c>
      <c r="BJ110" s="14" t="s">
        <v>573</v>
      </c>
      <c r="BK110" s="14" t="s">
        <v>122</v>
      </c>
      <c r="BL110" s="14" t="s">
        <v>574</v>
      </c>
      <c r="BM110" s="14" t="s">
        <v>2495</v>
      </c>
      <c r="BN110" s="14" t="s">
        <v>99</v>
      </c>
      <c r="BO110" s="14" t="s">
        <v>1251</v>
      </c>
      <c r="BP110" s="14" t="s">
        <v>99</v>
      </c>
      <c r="BQ110" s="14" t="s">
        <v>99</v>
      </c>
      <c r="BR110" s="14" t="s">
        <v>124</v>
      </c>
      <c r="BS110" s="14" t="s">
        <v>2496</v>
      </c>
      <c r="BT110" s="14" t="str">
        <f>HYPERLINK("https%3A%2F%2Fwww.webofscience.com%2Fwos%2Fwoscc%2Ffull-record%2FWOS:000367141000018","View Full Record in Web of Science")</f>
        <v>View Full Record in Web of Science</v>
      </c>
    </row>
    <row r="111" ht="12.75" customHeight="1">
      <c r="A111" s="14" t="s">
        <v>97</v>
      </c>
      <c r="B111" s="14" t="s">
        <v>2497</v>
      </c>
      <c r="C111" s="14" t="s">
        <v>99</v>
      </c>
      <c r="D111" s="14" t="s">
        <v>99</v>
      </c>
      <c r="E111" s="14" t="s">
        <v>99</v>
      </c>
      <c r="F111" s="14" t="s">
        <v>2498</v>
      </c>
      <c r="G111" s="14" t="s">
        <v>99</v>
      </c>
      <c r="H111" s="14" t="s">
        <v>99</v>
      </c>
      <c r="I111" s="14" t="s">
        <v>2499</v>
      </c>
      <c r="J111" s="14" t="s">
        <v>2500</v>
      </c>
      <c r="K111" s="14" t="s">
        <v>99</v>
      </c>
      <c r="L111" s="14" t="s">
        <v>99</v>
      </c>
      <c r="M111" s="14" t="s">
        <v>103</v>
      </c>
      <c r="N111" s="14" t="s">
        <v>104</v>
      </c>
      <c r="O111" s="14" t="s">
        <v>99</v>
      </c>
      <c r="P111" s="14" t="s">
        <v>99</v>
      </c>
      <c r="Q111" s="14" t="s">
        <v>99</v>
      </c>
      <c r="R111" s="14" t="s">
        <v>99</v>
      </c>
      <c r="S111" s="14" t="s">
        <v>99</v>
      </c>
      <c r="T111" s="14" t="s">
        <v>99</v>
      </c>
      <c r="U111" s="14" t="s">
        <v>2501</v>
      </c>
      <c r="V111" s="14" t="s">
        <v>2502</v>
      </c>
      <c r="W111" s="14" t="s">
        <v>2503</v>
      </c>
      <c r="X111" s="14" t="s">
        <v>2504</v>
      </c>
      <c r="Y111" s="14" t="s">
        <v>2505</v>
      </c>
      <c r="Z111" s="14" t="s">
        <v>2506</v>
      </c>
      <c r="AA111" s="14" t="s">
        <v>2507</v>
      </c>
      <c r="AB111" s="14" t="s">
        <v>2508</v>
      </c>
      <c r="AC111" s="14" t="s">
        <v>2509</v>
      </c>
      <c r="AD111" s="14" t="s">
        <v>2510</v>
      </c>
      <c r="AE111" s="14" t="s">
        <v>2511</v>
      </c>
      <c r="AF111" s="14" t="s">
        <v>99</v>
      </c>
      <c r="AG111" s="14">
        <v>74.0</v>
      </c>
      <c r="AH111" s="14">
        <v>253.0</v>
      </c>
      <c r="AI111" s="14">
        <v>288.0</v>
      </c>
      <c r="AJ111" s="14">
        <v>1.0</v>
      </c>
      <c r="AK111" s="14">
        <v>108.0</v>
      </c>
      <c r="AL111" s="14" t="s">
        <v>2512</v>
      </c>
      <c r="AM111" s="14" t="s">
        <v>2513</v>
      </c>
      <c r="AN111" s="14" t="s">
        <v>2514</v>
      </c>
      <c r="AO111" s="14" t="s">
        <v>2515</v>
      </c>
      <c r="AP111" s="14" t="s">
        <v>99</v>
      </c>
      <c r="AQ111" s="14" t="s">
        <v>99</v>
      </c>
      <c r="AR111" s="14" t="s">
        <v>2500</v>
      </c>
      <c r="AS111" s="14" t="s">
        <v>2516</v>
      </c>
      <c r="AT111" s="14" t="s">
        <v>2517</v>
      </c>
      <c r="AU111" s="14">
        <v>2015.0</v>
      </c>
      <c r="AV111" s="14">
        <v>10.0</v>
      </c>
      <c r="AW111" s="14">
        <v>8.0</v>
      </c>
      <c r="AX111" s="14" t="s">
        <v>99</v>
      </c>
      <c r="AY111" s="14" t="s">
        <v>99</v>
      </c>
      <c r="AZ111" s="14" t="s">
        <v>99</v>
      </c>
      <c r="BA111" s="14" t="s">
        <v>99</v>
      </c>
      <c r="BB111" s="14" t="s">
        <v>99</v>
      </c>
      <c r="BC111" s="14" t="s">
        <v>99</v>
      </c>
      <c r="BD111" s="14" t="s">
        <v>2518</v>
      </c>
      <c r="BE111" s="14" t="s">
        <v>2519</v>
      </c>
      <c r="BF111" s="15" t="str">
        <f>HYPERLINK("http://dx.doi.org/10.1371/journal.pone.0135152","http://dx.doi.org/10.1371/journal.pone.0135152")</f>
        <v>http://dx.doi.org/10.1371/journal.pone.0135152</v>
      </c>
      <c r="BG111" s="14" t="s">
        <v>99</v>
      </c>
      <c r="BH111" s="14" t="s">
        <v>99</v>
      </c>
      <c r="BI111" s="14">
        <v>22.0</v>
      </c>
      <c r="BJ111" s="14" t="s">
        <v>799</v>
      </c>
      <c r="BK111" s="14" t="s">
        <v>122</v>
      </c>
      <c r="BL111" s="14" t="s">
        <v>801</v>
      </c>
      <c r="BM111" s="14" t="s">
        <v>2520</v>
      </c>
      <c r="BN111" s="14">
        <v>2.6252495E7</v>
      </c>
      <c r="BO111" s="14" t="s">
        <v>1251</v>
      </c>
      <c r="BP111" s="14" t="s">
        <v>99</v>
      </c>
      <c r="BQ111" s="14" t="s">
        <v>99</v>
      </c>
      <c r="BR111" s="14" t="s">
        <v>124</v>
      </c>
      <c r="BS111" s="14" t="s">
        <v>2521</v>
      </c>
      <c r="BT111" s="14" t="str">
        <f>HYPERLINK("https%3A%2F%2Fwww.webofscience.com%2Fwos%2Fwoscc%2Ffull-record%2FWOS:000359121100125","View Full Record in Web of Science")</f>
        <v>View Full Record in Web of Science</v>
      </c>
    </row>
    <row r="112" ht="12.75" customHeight="1">
      <c r="A112" s="14" t="s">
        <v>97</v>
      </c>
      <c r="B112" s="14" t="s">
        <v>2522</v>
      </c>
      <c r="C112" s="14" t="s">
        <v>99</v>
      </c>
      <c r="D112" s="14" t="s">
        <v>99</v>
      </c>
      <c r="E112" s="14" t="s">
        <v>99</v>
      </c>
      <c r="F112" s="14" t="s">
        <v>2523</v>
      </c>
      <c r="G112" s="14" t="s">
        <v>99</v>
      </c>
      <c r="H112" s="14" t="s">
        <v>99</v>
      </c>
      <c r="I112" s="14" t="s">
        <v>2524</v>
      </c>
      <c r="J112" s="14" t="s">
        <v>997</v>
      </c>
      <c r="K112" s="14" t="s">
        <v>99</v>
      </c>
      <c r="L112" s="14" t="s">
        <v>99</v>
      </c>
      <c r="M112" s="14" t="s">
        <v>103</v>
      </c>
      <c r="N112" s="14" t="s">
        <v>104</v>
      </c>
      <c r="O112" s="14" t="s">
        <v>99</v>
      </c>
      <c r="P112" s="14" t="s">
        <v>99</v>
      </c>
      <c r="Q112" s="14" t="s">
        <v>99</v>
      </c>
      <c r="R112" s="14" t="s">
        <v>99</v>
      </c>
      <c r="S112" s="14" t="s">
        <v>99</v>
      </c>
      <c r="T112" s="14" t="s">
        <v>99</v>
      </c>
      <c r="U112" s="14" t="s">
        <v>2525</v>
      </c>
      <c r="V112" s="14" t="s">
        <v>2526</v>
      </c>
      <c r="W112" s="14" t="s">
        <v>2527</v>
      </c>
      <c r="X112" s="14" t="s">
        <v>2528</v>
      </c>
      <c r="Y112" s="14" t="s">
        <v>2529</v>
      </c>
      <c r="Z112" s="14" t="s">
        <v>2530</v>
      </c>
      <c r="AA112" s="14" t="s">
        <v>2531</v>
      </c>
      <c r="AB112" s="14" t="s">
        <v>2532</v>
      </c>
      <c r="AC112" s="14" t="s">
        <v>2533</v>
      </c>
      <c r="AD112" s="14" t="s">
        <v>2534</v>
      </c>
      <c r="AE112" s="14" t="s">
        <v>2535</v>
      </c>
      <c r="AF112" s="14" t="s">
        <v>99</v>
      </c>
      <c r="AG112" s="14">
        <v>29.0</v>
      </c>
      <c r="AH112" s="14">
        <v>1159.0</v>
      </c>
      <c r="AI112" s="14">
        <v>1273.0</v>
      </c>
      <c r="AJ112" s="14">
        <v>15.0</v>
      </c>
      <c r="AK112" s="14">
        <v>406.0</v>
      </c>
      <c r="AL112" s="14" t="s">
        <v>1326</v>
      </c>
      <c r="AM112" s="14" t="s">
        <v>274</v>
      </c>
      <c r="AN112" s="14" t="s">
        <v>1327</v>
      </c>
      <c r="AO112" s="14" t="s">
        <v>1009</v>
      </c>
      <c r="AP112" s="14" t="s">
        <v>99</v>
      </c>
      <c r="AQ112" s="14" t="s">
        <v>99</v>
      </c>
      <c r="AR112" s="14" t="s">
        <v>1010</v>
      </c>
      <c r="AS112" s="14" t="s">
        <v>1011</v>
      </c>
      <c r="AT112" s="14" t="s">
        <v>525</v>
      </c>
      <c r="AU112" s="14">
        <v>2015.0</v>
      </c>
      <c r="AV112" s="14">
        <v>6.0</v>
      </c>
      <c r="AW112" s="14" t="s">
        <v>99</v>
      </c>
      <c r="AX112" s="14" t="s">
        <v>99</v>
      </c>
      <c r="AY112" s="14" t="s">
        <v>99</v>
      </c>
      <c r="AZ112" s="14" t="s">
        <v>99</v>
      </c>
      <c r="BA112" s="14" t="s">
        <v>99</v>
      </c>
      <c r="BB112" s="14" t="s">
        <v>99</v>
      </c>
      <c r="BC112" s="14" t="s">
        <v>99</v>
      </c>
      <c r="BD112" s="14">
        <v>7615.0</v>
      </c>
      <c r="BE112" s="14" t="s">
        <v>2536</v>
      </c>
      <c r="BF112" s="15" t="str">
        <f>HYPERLINK("http://dx.doi.org/10.1038/ncomms8615","http://dx.doi.org/10.1038/ncomms8615")</f>
        <v>http://dx.doi.org/10.1038/ncomms8615</v>
      </c>
      <c r="BG112" s="14" t="s">
        <v>99</v>
      </c>
      <c r="BH112" s="14" t="s">
        <v>99</v>
      </c>
      <c r="BI112" s="14">
        <v>7.0</v>
      </c>
      <c r="BJ112" s="14" t="s">
        <v>799</v>
      </c>
      <c r="BK112" s="14" t="s">
        <v>122</v>
      </c>
      <c r="BL112" s="14" t="s">
        <v>801</v>
      </c>
      <c r="BM112" s="14" t="s">
        <v>2537</v>
      </c>
      <c r="BN112" s="14">
        <v>2.617298E7</v>
      </c>
      <c r="BO112" s="14" t="s">
        <v>1251</v>
      </c>
      <c r="BP112" s="14" t="s">
        <v>99</v>
      </c>
      <c r="BQ112" s="14" t="s">
        <v>99</v>
      </c>
      <c r="BR112" s="14" t="s">
        <v>124</v>
      </c>
      <c r="BS112" s="14" t="s">
        <v>2538</v>
      </c>
      <c r="BT112" s="14" t="str">
        <f>HYPERLINK("https%3A%2F%2Fwww.webofscience.com%2Fwos%2Fwoscc%2Ffull-record%2FWOS:000358857000008","View Full Record in Web of Science")</f>
        <v>View Full Record in Web of Science</v>
      </c>
    </row>
    <row r="113" ht="12.75" customHeight="1">
      <c r="A113" s="14" t="s">
        <v>97</v>
      </c>
      <c r="B113" s="14" t="s">
        <v>2539</v>
      </c>
      <c r="C113" s="14" t="s">
        <v>99</v>
      </c>
      <c r="D113" s="14" t="s">
        <v>99</v>
      </c>
      <c r="E113" s="14" t="s">
        <v>99</v>
      </c>
      <c r="F113" s="14" t="s">
        <v>2540</v>
      </c>
      <c r="G113" s="14" t="s">
        <v>99</v>
      </c>
      <c r="H113" s="14" t="s">
        <v>99</v>
      </c>
      <c r="I113" s="14" t="s">
        <v>2541</v>
      </c>
      <c r="J113" s="14" t="s">
        <v>2542</v>
      </c>
      <c r="K113" s="14" t="s">
        <v>99</v>
      </c>
      <c r="L113" s="14" t="s">
        <v>99</v>
      </c>
      <c r="M113" s="14" t="s">
        <v>103</v>
      </c>
      <c r="N113" s="14" t="s">
        <v>104</v>
      </c>
      <c r="O113" s="14" t="s">
        <v>99</v>
      </c>
      <c r="P113" s="14" t="s">
        <v>99</v>
      </c>
      <c r="Q113" s="14" t="s">
        <v>99</v>
      </c>
      <c r="R113" s="14" t="s">
        <v>99</v>
      </c>
      <c r="S113" s="14" t="s">
        <v>99</v>
      </c>
      <c r="T113" s="14" t="s">
        <v>2543</v>
      </c>
      <c r="U113" s="14" t="s">
        <v>2544</v>
      </c>
      <c r="V113" s="14" t="s">
        <v>2545</v>
      </c>
      <c r="W113" s="14" t="s">
        <v>2546</v>
      </c>
      <c r="X113" s="14" t="s">
        <v>2547</v>
      </c>
      <c r="Y113" s="14" t="s">
        <v>2548</v>
      </c>
      <c r="Z113" s="14" t="s">
        <v>2549</v>
      </c>
      <c r="AA113" s="14" t="s">
        <v>2550</v>
      </c>
      <c r="AB113" s="14" t="s">
        <v>2551</v>
      </c>
      <c r="AC113" s="14" t="s">
        <v>2552</v>
      </c>
      <c r="AD113" s="14" t="s">
        <v>2553</v>
      </c>
      <c r="AE113" s="14" t="s">
        <v>2554</v>
      </c>
      <c r="AF113" s="14" t="s">
        <v>99</v>
      </c>
      <c r="AG113" s="14">
        <v>110.0</v>
      </c>
      <c r="AH113" s="14">
        <v>609.0</v>
      </c>
      <c r="AI113" s="14">
        <v>700.0</v>
      </c>
      <c r="AJ113" s="14">
        <v>20.0</v>
      </c>
      <c r="AK113" s="14">
        <v>367.0</v>
      </c>
      <c r="AL113" s="14" t="s">
        <v>982</v>
      </c>
      <c r="AM113" s="14" t="s">
        <v>789</v>
      </c>
      <c r="AN113" s="14" t="s">
        <v>983</v>
      </c>
      <c r="AO113" s="14" t="s">
        <v>2555</v>
      </c>
      <c r="AP113" s="14" t="s">
        <v>2556</v>
      </c>
      <c r="AQ113" s="14" t="s">
        <v>99</v>
      </c>
      <c r="AR113" s="14" t="s">
        <v>2557</v>
      </c>
      <c r="AS113" s="14" t="s">
        <v>2558</v>
      </c>
      <c r="AT113" s="14" t="s">
        <v>525</v>
      </c>
      <c r="AU113" s="14">
        <v>2015.0</v>
      </c>
      <c r="AV113" s="14">
        <v>51.0</v>
      </c>
      <c r="AW113" s="14">
        <v>7.0</v>
      </c>
      <c r="AX113" s="14" t="s">
        <v>99</v>
      </c>
      <c r="AY113" s="14" t="s">
        <v>99</v>
      </c>
      <c r="AZ113" s="14" t="s">
        <v>99</v>
      </c>
      <c r="BA113" s="14" t="s">
        <v>99</v>
      </c>
      <c r="BB113" s="14">
        <v>5217.0</v>
      </c>
      <c r="BC113" s="14">
        <v>5238.0</v>
      </c>
      <c r="BD113" s="14" t="s">
        <v>99</v>
      </c>
      <c r="BE113" s="14" t="s">
        <v>2559</v>
      </c>
      <c r="BF113" s="15" t="str">
        <f>HYPERLINK("http://dx.doi.org/10.1002/2015WR017349","http://dx.doi.org/10.1002/2015WR017349")</f>
        <v>http://dx.doi.org/10.1002/2015WR017349</v>
      </c>
      <c r="BG113" s="14" t="s">
        <v>99</v>
      </c>
      <c r="BH113" s="14" t="s">
        <v>99</v>
      </c>
      <c r="BI113" s="14">
        <v>22.0</v>
      </c>
      <c r="BJ113" s="14" t="s">
        <v>2560</v>
      </c>
      <c r="BK113" s="14" t="s">
        <v>122</v>
      </c>
      <c r="BL113" s="14" t="s">
        <v>845</v>
      </c>
      <c r="BM113" s="14" t="s">
        <v>2561</v>
      </c>
      <c r="BN113" s="14">
        <v>2.6900185E7</v>
      </c>
      <c r="BO113" s="14" t="s">
        <v>373</v>
      </c>
      <c r="BP113" s="14" t="s">
        <v>99</v>
      </c>
      <c r="BQ113" s="14" t="s">
        <v>99</v>
      </c>
      <c r="BR113" s="14" t="s">
        <v>124</v>
      </c>
      <c r="BS113" s="14" t="s">
        <v>2562</v>
      </c>
      <c r="BT113" s="14" t="str">
        <f>HYPERLINK("https%3A%2F%2Fwww.webofscience.com%2Fwos%2Fwoscc%2Ffull-record%2FWOS:000360080200019","View Full Record in Web of Science")</f>
        <v>View Full Record in Web of Science</v>
      </c>
    </row>
    <row r="114" ht="12.75" customHeight="1">
      <c r="A114" s="14" t="s">
        <v>97</v>
      </c>
      <c r="B114" s="14" t="s">
        <v>2563</v>
      </c>
      <c r="C114" s="14" t="s">
        <v>99</v>
      </c>
      <c r="D114" s="14" t="s">
        <v>99</v>
      </c>
      <c r="E114" s="14" t="s">
        <v>99</v>
      </c>
      <c r="F114" s="14" t="s">
        <v>2564</v>
      </c>
      <c r="G114" s="14" t="s">
        <v>99</v>
      </c>
      <c r="H114" s="14" t="s">
        <v>99</v>
      </c>
      <c r="I114" s="14" t="s">
        <v>2565</v>
      </c>
      <c r="J114" s="14" t="s">
        <v>2566</v>
      </c>
      <c r="K114" s="14" t="s">
        <v>99</v>
      </c>
      <c r="L114" s="14" t="s">
        <v>99</v>
      </c>
      <c r="M114" s="14" t="s">
        <v>103</v>
      </c>
      <c r="N114" s="14" t="s">
        <v>104</v>
      </c>
      <c r="O114" s="14" t="s">
        <v>99</v>
      </c>
      <c r="P114" s="14" t="s">
        <v>99</v>
      </c>
      <c r="Q114" s="14" t="s">
        <v>99</v>
      </c>
      <c r="R114" s="14" t="s">
        <v>99</v>
      </c>
      <c r="S114" s="14" t="s">
        <v>99</v>
      </c>
      <c r="T114" s="14" t="s">
        <v>99</v>
      </c>
      <c r="U114" s="14" t="s">
        <v>2567</v>
      </c>
      <c r="V114" s="14" t="s">
        <v>2568</v>
      </c>
      <c r="W114" s="14" t="s">
        <v>2569</v>
      </c>
      <c r="X114" s="14" t="s">
        <v>2570</v>
      </c>
      <c r="Y114" s="14" t="s">
        <v>2571</v>
      </c>
      <c r="Z114" s="14" t="s">
        <v>2572</v>
      </c>
      <c r="AA114" s="14" t="s">
        <v>2573</v>
      </c>
      <c r="AB114" s="14" t="s">
        <v>2574</v>
      </c>
      <c r="AC114" s="14" t="s">
        <v>2575</v>
      </c>
      <c r="AD114" s="14" t="s">
        <v>2576</v>
      </c>
      <c r="AE114" s="14" t="s">
        <v>2577</v>
      </c>
      <c r="AF114" s="14" t="s">
        <v>99</v>
      </c>
      <c r="AG114" s="14">
        <v>29.0</v>
      </c>
      <c r="AH114" s="14">
        <v>361.0</v>
      </c>
      <c r="AI114" s="14">
        <v>402.0</v>
      </c>
      <c r="AJ114" s="14">
        <v>6.0</v>
      </c>
      <c r="AK114" s="14">
        <v>287.0</v>
      </c>
      <c r="AL114" s="14" t="s">
        <v>1243</v>
      </c>
      <c r="AM114" s="14" t="s">
        <v>789</v>
      </c>
      <c r="AN114" s="14" t="s">
        <v>1244</v>
      </c>
      <c r="AO114" s="14" t="s">
        <v>2578</v>
      </c>
      <c r="AP114" s="14" t="s">
        <v>2579</v>
      </c>
      <c r="AQ114" s="14" t="s">
        <v>99</v>
      </c>
      <c r="AR114" s="14" t="s">
        <v>2566</v>
      </c>
      <c r="AS114" s="14" t="s">
        <v>2580</v>
      </c>
      <c r="AT114" s="14" t="s">
        <v>2581</v>
      </c>
      <c r="AU114" s="14">
        <v>2015.0</v>
      </c>
      <c r="AV114" s="14">
        <v>348.0</v>
      </c>
      <c r="AW114" s="14">
        <v>6240.0</v>
      </c>
      <c r="AX114" s="14" t="s">
        <v>99</v>
      </c>
      <c r="AY114" s="14" t="s">
        <v>99</v>
      </c>
      <c r="AZ114" s="14" t="s">
        <v>99</v>
      </c>
      <c r="BA114" s="14" t="s">
        <v>99</v>
      </c>
      <c r="BB114" s="14">
        <v>1248.0</v>
      </c>
      <c r="BC114" s="14">
        <v>1251.0</v>
      </c>
      <c r="BD114" s="14" t="s">
        <v>99</v>
      </c>
      <c r="BE114" s="14" t="s">
        <v>2582</v>
      </c>
      <c r="BF114" s="15" t="str">
        <f>HYPERLINK("http://dx.doi.org/10.1126/science.aaa8913","http://dx.doi.org/10.1126/science.aaa8913")</f>
        <v>http://dx.doi.org/10.1126/science.aaa8913</v>
      </c>
      <c r="BG114" s="14" t="s">
        <v>99</v>
      </c>
      <c r="BH114" s="14" t="s">
        <v>99</v>
      </c>
      <c r="BI114" s="14">
        <v>4.0</v>
      </c>
      <c r="BJ114" s="14" t="s">
        <v>799</v>
      </c>
      <c r="BK114" s="14" t="s">
        <v>122</v>
      </c>
      <c r="BL114" s="14" t="s">
        <v>801</v>
      </c>
      <c r="BM114" s="14" t="s">
        <v>2583</v>
      </c>
      <c r="BN114" s="14">
        <v>2.6068851E7</v>
      </c>
      <c r="BO114" s="14" t="s">
        <v>99</v>
      </c>
      <c r="BP114" s="14" t="s">
        <v>99</v>
      </c>
      <c r="BQ114" s="14" t="s">
        <v>99</v>
      </c>
      <c r="BR114" s="14" t="s">
        <v>124</v>
      </c>
      <c r="BS114" s="14" t="s">
        <v>2584</v>
      </c>
      <c r="BT114" s="14" t="str">
        <f>HYPERLINK("https%3A%2F%2Fwww.webofscience.com%2Fwos%2Fwoscc%2Ffull-record%2FWOS:000356011500053","View Full Record in Web of Science")</f>
        <v>View Full Record in Web of Science</v>
      </c>
    </row>
    <row r="115" ht="12.75" customHeight="1">
      <c r="A115" s="14" t="s">
        <v>97</v>
      </c>
      <c r="B115" s="14" t="s">
        <v>2585</v>
      </c>
      <c r="C115" s="14" t="s">
        <v>99</v>
      </c>
      <c r="D115" s="14" t="s">
        <v>99</v>
      </c>
      <c r="E115" s="14" t="s">
        <v>99</v>
      </c>
      <c r="F115" s="14" t="s">
        <v>2586</v>
      </c>
      <c r="G115" s="14" t="s">
        <v>99</v>
      </c>
      <c r="H115" s="14" t="s">
        <v>99</v>
      </c>
      <c r="I115" s="14" t="s">
        <v>2587</v>
      </c>
      <c r="J115" s="14" t="s">
        <v>2018</v>
      </c>
      <c r="K115" s="14" t="s">
        <v>99</v>
      </c>
      <c r="L115" s="14" t="s">
        <v>99</v>
      </c>
      <c r="M115" s="14" t="s">
        <v>103</v>
      </c>
      <c r="N115" s="14" t="s">
        <v>104</v>
      </c>
      <c r="O115" s="14" t="s">
        <v>99</v>
      </c>
      <c r="P115" s="14" t="s">
        <v>99</v>
      </c>
      <c r="Q115" s="14" t="s">
        <v>99</v>
      </c>
      <c r="R115" s="14" t="s">
        <v>99</v>
      </c>
      <c r="S115" s="14" t="s">
        <v>99</v>
      </c>
      <c r="T115" s="14" t="s">
        <v>99</v>
      </c>
      <c r="U115" s="14" t="s">
        <v>2588</v>
      </c>
      <c r="V115" s="14" t="s">
        <v>2589</v>
      </c>
      <c r="W115" s="14" t="s">
        <v>2590</v>
      </c>
      <c r="X115" s="14" t="s">
        <v>2591</v>
      </c>
      <c r="Y115" s="14" t="s">
        <v>2592</v>
      </c>
      <c r="Z115" s="14" t="s">
        <v>2593</v>
      </c>
      <c r="AA115" s="14" t="s">
        <v>2594</v>
      </c>
      <c r="AB115" s="14" t="s">
        <v>2595</v>
      </c>
      <c r="AC115" s="14" t="s">
        <v>2596</v>
      </c>
      <c r="AD115" s="14" t="s">
        <v>2597</v>
      </c>
      <c r="AE115" s="14" t="s">
        <v>2598</v>
      </c>
      <c r="AF115" s="14" t="s">
        <v>99</v>
      </c>
      <c r="AG115" s="14">
        <v>65.0</v>
      </c>
      <c r="AH115" s="14">
        <v>20.0</v>
      </c>
      <c r="AI115" s="14">
        <v>21.0</v>
      </c>
      <c r="AJ115" s="14">
        <v>1.0</v>
      </c>
      <c r="AK115" s="14">
        <v>58.0</v>
      </c>
      <c r="AL115" s="14" t="s">
        <v>2030</v>
      </c>
      <c r="AM115" s="14" t="s">
        <v>2031</v>
      </c>
      <c r="AN115" s="14" t="s">
        <v>2032</v>
      </c>
      <c r="AO115" s="14" t="s">
        <v>2033</v>
      </c>
      <c r="AP115" s="14" t="s">
        <v>99</v>
      </c>
      <c r="AQ115" s="14" t="s">
        <v>99</v>
      </c>
      <c r="AR115" s="14" t="s">
        <v>2018</v>
      </c>
      <c r="AS115" s="14" t="s">
        <v>2034</v>
      </c>
      <c r="AT115" s="14" t="s">
        <v>616</v>
      </c>
      <c r="AU115" s="14">
        <v>2015.0</v>
      </c>
      <c r="AV115" s="14">
        <v>28.0</v>
      </c>
      <c r="AW115" s="14">
        <v>2.0</v>
      </c>
      <c r="AX115" s="14" t="s">
        <v>99</v>
      </c>
      <c r="AY115" s="14" t="s">
        <v>99</v>
      </c>
      <c r="AZ115" s="14" t="s">
        <v>1738</v>
      </c>
      <c r="BA115" s="14" t="s">
        <v>99</v>
      </c>
      <c r="BB115" s="14">
        <v>30.0</v>
      </c>
      <c r="BC115" s="14">
        <v>39.0</v>
      </c>
      <c r="BD115" s="14" t="s">
        <v>99</v>
      </c>
      <c r="BE115" s="14" t="s">
        <v>2599</v>
      </c>
      <c r="BF115" s="15" t="str">
        <f>HYPERLINK("http://dx.doi.org/10.5670/oceanog.2015.29","http://dx.doi.org/10.5670/oceanog.2015.29")</f>
        <v>http://dx.doi.org/10.5670/oceanog.2015.29</v>
      </c>
      <c r="BG115" s="14" t="s">
        <v>99</v>
      </c>
      <c r="BH115" s="14" t="s">
        <v>99</v>
      </c>
      <c r="BI115" s="14">
        <v>10.0</v>
      </c>
      <c r="BJ115" s="14" t="s">
        <v>2034</v>
      </c>
      <c r="BK115" s="14" t="s">
        <v>122</v>
      </c>
      <c r="BL115" s="14" t="s">
        <v>2034</v>
      </c>
      <c r="BM115" s="14" t="s">
        <v>2600</v>
      </c>
      <c r="BN115" s="14" t="s">
        <v>99</v>
      </c>
      <c r="BO115" s="14" t="s">
        <v>1251</v>
      </c>
      <c r="BP115" s="14" t="s">
        <v>99</v>
      </c>
      <c r="BQ115" s="14" t="s">
        <v>99</v>
      </c>
      <c r="BR115" s="14" t="s">
        <v>124</v>
      </c>
      <c r="BS115" s="14" t="s">
        <v>2601</v>
      </c>
      <c r="BT115" s="14" t="str">
        <f>HYPERLINK("https%3A%2F%2Fwww.webofscience.com%2Fwos%2Fwoscc%2Ffull-record%2FWOS:000357231700007","View Full Record in Web of Science")</f>
        <v>View Full Record in Web of Science</v>
      </c>
    </row>
    <row r="116" ht="12.75" customHeight="1">
      <c r="A116" s="14" t="s">
        <v>97</v>
      </c>
      <c r="B116" s="14" t="s">
        <v>2602</v>
      </c>
      <c r="C116" s="14" t="s">
        <v>99</v>
      </c>
      <c r="D116" s="14" t="s">
        <v>99</v>
      </c>
      <c r="E116" s="14" t="s">
        <v>99</v>
      </c>
      <c r="F116" s="14" t="s">
        <v>2603</v>
      </c>
      <c r="G116" s="14" t="s">
        <v>99</v>
      </c>
      <c r="H116" s="14" t="s">
        <v>99</v>
      </c>
      <c r="I116" s="14" t="s">
        <v>2604</v>
      </c>
      <c r="J116" s="14" t="s">
        <v>2500</v>
      </c>
      <c r="K116" s="14" t="s">
        <v>99</v>
      </c>
      <c r="L116" s="14" t="s">
        <v>99</v>
      </c>
      <c r="M116" s="14" t="s">
        <v>103</v>
      </c>
      <c r="N116" s="14" t="s">
        <v>104</v>
      </c>
      <c r="O116" s="14" t="s">
        <v>99</v>
      </c>
      <c r="P116" s="14" t="s">
        <v>99</v>
      </c>
      <c r="Q116" s="14" t="s">
        <v>99</v>
      </c>
      <c r="R116" s="14" t="s">
        <v>99</v>
      </c>
      <c r="S116" s="14" t="s">
        <v>99</v>
      </c>
      <c r="T116" s="14" t="s">
        <v>99</v>
      </c>
      <c r="U116" s="14" t="s">
        <v>2605</v>
      </c>
      <c r="V116" s="14" t="s">
        <v>2606</v>
      </c>
      <c r="W116" s="14" t="s">
        <v>2607</v>
      </c>
      <c r="X116" s="14" t="s">
        <v>2608</v>
      </c>
      <c r="Y116" s="14" t="s">
        <v>2609</v>
      </c>
      <c r="Z116" s="14" t="s">
        <v>2610</v>
      </c>
      <c r="AA116" s="14" t="s">
        <v>2611</v>
      </c>
      <c r="AB116" s="14" t="s">
        <v>2612</v>
      </c>
      <c r="AC116" s="14" t="s">
        <v>2613</v>
      </c>
      <c r="AD116" s="14" t="s">
        <v>2614</v>
      </c>
      <c r="AE116" s="14" t="s">
        <v>2615</v>
      </c>
      <c r="AF116" s="14" t="s">
        <v>99</v>
      </c>
      <c r="AG116" s="14">
        <v>69.0</v>
      </c>
      <c r="AH116" s="14">
        <v>187.0</v>
      </c>
      <c r="AI116" s="14">
        <v>197.0</v>
      </c>
      <c r="AJ116" s="14">
        <v>0.0</v>
      </c>
      <c r="AK116" s="14">
        <v>71.0</v>
      </c>
      <c r="AL116" s="14" t="s">
        <v>2512</v>
      </c>
      <c r="AM116" s="14" t="s">
        <v>2513</v>
      </c>
      <c r="AN116" s="14" t="s">
        <v>2514</v>
      </c>
      <c r="AO116" s="14" t="s">
        <v>2515</v>
      </c>
      <c r="AP116" s="14" t="s">
        <v>99</v>
      </c>
      <c r="AQ116" s="14" t="s">
        <v>99</v>
      </c>
      <c r="AR116" s="14" t="s">
        <v>2500</v>
      </c>
      <c r="AS116" s="14" t="s">
        <v>2516</v>
      </c>
      <c r="AT116" s="14" t="s">
        <v>2616</v>
      </c>
      <c r="AU116" s="14">
        <v>2015.0</v>
      </c>
      <c r="AV116" s="14">
        <v>10.0</v>
      </c>
      <c r="AW116" s="14">
        <v>5.0</v>
      </c>
      <c r="AX116" s="14" t="s">
        <v>99</v>
      </c>
      <c r="AY116" s="14" t="s">
        <v>99</v>
      </c>
      <c r="AZ116" s="14" t="s">
        <v>99</v>
      </c>
      <c r="BA116" s="14" t="s">
        <v>99</v>
      </c>
      <c r="BB116" s="14" t="s">
        <v>99</v>
      </c>
      <c r="BC116" s="14" t="s">
        <v>99</v>
      </c>
      <c r="BD116" s="14" t="s">
        <v>2617</v>
      </c>
      <c r="BE116" s="14" t="s">
        <v>2618</v>
      </c>
      <c r="BF116" s="15" t="str">
        <f>HYPERLINK("http://dx.doi.org/10.1371/journal.pone.0127533","http://dx.doi.org/10.1371/journal.pone.0127533")</f>
        <v>http://dx.doi.org/10.1371/journal.pone.0127533</v>
      </c>
      <c r="BG116" s="14" t="s">
        <v>99</v>
      </c>
      <c r="BH116" s="14" t="s">
        <v>99</v>
      </c>
      <c r="BI116" s="14">
        <v>15.0</v>
      </c>
      <c r="BJ116" s="14" t="s">
        <v>799</v>
      </c>
      <c r="BK116" s="14" t="s">
        <v>800</v>
      </c>
      <c r="BL116" s="14" t="s">
        <v>801</v>
      </c>
      <c r="BM116" s="14" t="s">
        <v>2619</v>
      </c>
      <c r="BN116" s="14">
        <v>2.6017777E7</v>
      </c>
      <c r="BO116" s="14" t="s">
        <v>1251</v>
      </c>
      <c r="BP116" s="14" t="s">
        <v>99</v>
      </c>
      <c r="BQ116" s="14" t="s">
        <v>99</v>
      </c>
      <c r="BR116" s="14" t="s">
        <v>124</v>
      </c>
      <c r="BS116" s="14" t="s">
        <v>2620</v>
      </c>
      <c r="BT116" s="14" t="str">
        <f>HYPERLINK("https%3A%2F%2Fwww.webofscience.com%2Fwos%2Fwoscc%2Ffull-record%2FWOS:000355185600087","View Full Record in Web of Science")</f>
        <v>View Full Record in Web of Science</v>
      </c>
    </row>
    <row r="117" ht="12.75" customHeight="1">
      <c r="A117" s="14" t="s">
        <v>97</v>
      </c>
      <c r="B117" s="14" t="s">
        <v>2621</v>
      </c>
      <c r="C117" s="14" t="s">
        <v>99</v>
      </c>
      <c r="D117" s="14" t="s">
        <v>99</v>
      </c>
      <c r="E117" s="14" t="s">
        <v>99</v>
      </c>
      <c r="F117" s="14" t="s">
        <v>2622</v>
      </c>
      <c r="G117" s="14" t="s">
        <v>99</v>
      </c>
      <c r="H117" s="14" t="s">
        <v>99</v>
      </c>
      <c r="I117" s="14" t="s">
        <v>2623</v>
      </c>
      <c r="J117" s="14" t="s">
        <v>776</v>
      </c>
      <c r="K117" s="14" t="s">
        <v>99</v>
      </c>
      <c r="L117" s="14" t="s">
        <v>99</v>
      </c>
      <c r="M117" s="14" t="s">
        <v>103</v>
      </c>
      <c r="N117" s="14" t="s">
        <v>104</v>
      </c>
      <c r="O117" s="14" t="s">
        <v>99</v>
      </c>
      <c r="P117" s="14" t="s">
        <v>99</v>
      </c>
      <c r="Q117" s="14" t="s">
        <v>99</v>
      </c>
      <c r="R117" s="14" t="s">
        <v>99</v>
      </c>
      <c r="S117" s="14" t="s">
        <v>99</v>
      </c>
      <c r="T117" s="14" t="s">
        <v>2624</v>
      </c>
      <c r="U117" s="14" t="s">
        <v>2625</v>
      </c>
      <c r="V117" s="14" t="s">
        <v>2626</v>
      </c>
      <c r="W117" s="14" t="s">
        <v>2627</v>
      </c>
      <c r="X117" s="14" t="s">
        <v>2628</v>
      </c>
      <c r="Y117" s="14" t="s">
        <v>2629</v>
      </c>
      <c r="Z117" s="14" t="s">
        <v>2630</v>
      </c>
      <c r="AA117" s="14" t="s">
        <v>2631</v>
      </c>
      <c r="AB117" s="14" t="s">
        <v>99</v>
      </c>
      <c r="AC117" s="14" t="s">
        <v>2632</v>
      </c>
      <c r="AD117" s="14" t="s">
        <v>2633</v>
      </c>
      <c r="AE117" s="14" t="s">
        <v>2634</v>
      </c>
      <c r="AF117" s="14" t="s">
        <v>99</v>
      </c>
      <c r="AG117" s="14">
        <v>41.0</v>
      </c>
      <c r="AH117" s="14">
        <v>555.0</v>
      </c>
      <c r="AI117" s="14">
        <v>640.0</v>
      </c>
      <c r="AJ117" s="14">
        <v>19.0</v>
      </c>
      <c r="AK117" s="14">
        <v>462.0</v>
      </c>
      <c r="AL117" s="14" t="s">
        <v>788</v>
      </c>
      <c r="AM117" s="14" t="s">
        <v>789</v>
      </c>
      <c r="AN117" s="14" t="s">
        <v>790</v>
      </c>
      <c r="AO117" s="14" t="s">
        <v>791</v>
      </c>
      <c r="AP117" s="14" t="s">
        <v>99</v>
      </c>
      <c r="AQ117" s="14" t="s">
        <v>99</v>
      </c>
      <c r="AR117" s="14" t="s">
        <v>793</v>
      </c>
      <c r="AS117" s="14" t="s">
        <v>794</v>
      </c>
      <c r="AT117" s="14" t="s">
        <v>2635</v>
      </c>
      <c r="AU117" s="14">
        <v>2015.0</v>
      </c>
      <c r="AV117" s="14">
        <v>112.0</v>
      </c>
      <c r="AW117" s="14">
        <v>18.0</v>
      </c>
      <c r="AX117" s="14" t="s">
        <v>99</v>
      </c>
      <c r="AY117" s="14" t="s">
        <v>99</v>
      </c>
      <c r="AZ117" s="14" t="s">
        <v>99</v>
      </c>
      <c r="BA117" s="14" t="s">
        <v>99</v>
      </c>
      <c r="BB117" s="14">
        <v>5750.0</v>
      </c>
      <c r="BC117" s="14">
        <v>5755.0</v>
      </c>
      <c r="BD117" s="14" t="s">
        <v>99</v>
      </c>
      <c r="BE117" s="14" t="s">
        <v>2636</v>
      </c>
      <c r="BF117" s="15" t="str">
        <f>HYPERLINK("http://dx.doi.org/10.1073/pnas.1500232112","http://dx.doi.org/10.1073/pnas.1500232112")</f>
        <v>http://dx.doi.org/10.1073/pnas.1500232112</v>
      </c>
      <c r="BG117" s="14" t="s">
        <v>99</v>
      </c>
      <c r="BH117" s="14" t="s">
        <v>99</v>
      </c>
      <c r="BI117" s="14">
        <v>6.0</v>
      </c>
      <c r="BJ117" s="14" t="s">
        <v>799</v>
      </c>
      <c r="BK117" s="14" t="s">
        <v>122</v>
      </c>
      <c r="BL117" s="14" t="s">
        <v>801</v>
      </c>
      <c r="BM117" s="14" t="s">
        <v>2637</v>
      </c>
      <c r="BN117" s="14">
        <v>2.5870271E7</v>
      </c>
      <c r="BO117" s="14" t="s">
        <v>373</v>
      </c>
      <c r="BP117" s="14" t="s">
        <v>99</v>
      </c>
      <c r="BQ117" s="14" t="s">
        <v>99</v>
      </c>
      <c r="BR117" s="14" t="s">
        <v>124</v>
      </c>
      <c r="BS117" s="14" t="s">
        <v>2638</v>
      </c>
      <c r="BT117" s="14" t="str">
        <f>HYPERLINK("https%3A%2F%2Fwww.webofscience.com%2Fwos%2Fwoscc%2Ffull-record%2FWOS:000353953800062","View Full Record in Web of Science")</f>
        <v>View Full Record in Web of Science</v>
      </c>
    </row>
    <row r="118" ht="12.75" customHeight="1">
      <c r="A118" s="14" t="s">
        <v>97</v>
      </c>
      <c r="B118" s="14" t="s">
        <v>2639</v>
      </c>
      <c r="C118" s="14" t="s">
        <v>99</v>
      </c>
      <c r="D118" s="14" t="s">
        <v>99</v>
      </c>
      <c r="E118" s="14" t="s">
        <v>99</v>
      </c>
      <c r="F118" s="14" t="s">
        <v>2640</v>
      </c>
      <c r="G118" s="14" t="s">
        <v>99</v>
      </c>
      <c r="H118" s="14" t="s">
        <v>99</v>
      </c>
      <c r="I118" s="14" t="s">
        <v>2641</v>
      </c>
      <c r="J118" s="14" t="s">
        <v>876</v>
      </c>
      <c r="K118" s="14" t="s">
        <v>99</v>
      </c>
      <c r="L118" s="14" t="s">
        <v>99</v>
      </c>
      <c r="M118" s="14" t="s">
        <v>103</v>
      </c>
      <c r="N118" s="14" t="s">
        <v>104</v>
      </c>
      <c r="O118" s="14" t="s">
        <v>99</v>
      </c>
      <c r="P118" s="14" t="s">
        <v>99</v>
      </c>
      <c r="Q118" s="14" t="s">
        <v>99</v>
      </c>
      <c r="R118" s="14" t="s">
        <v>99</v>
      </c>
      <c r="S118" s="14" t="s">
        <v>99</v>
      </c>
      <c r="T118" s="14" t="s">
        <v>2642</v>
      </c>
      <c r="U118" s="14" t="s">
        <v>2643</v>
      </c>
      <c r="V118" s="14" t="s">
        <v>2644</v>
      </c>
      <c r="W118" s="14" t="s">
        <v>2645</v>
      </c>
      <c r="X118" s="14" t="s">
        <v>2646</v>
      </c>
      <c r="Y118" s="14" t="s">
        <v>2647</v>
      </c>
      <c r="Z118" s="14" t="s">
        <v>2648</v>
      </c>
      <c r="AA118" s="14" t="s">
        <v>2649</v>
      </c>
      <c r="AB118" s="14" t="s">
        <v>2650</v>
      </c>
      <c r="AC118" s="14" t="s">
        <v>2651</v>
      </c>
      <c r="AD118" s="14" t="s">
        <v>2652</v>
      </c>
      <c r="AE118" s="14" t="s">
        <v>2653</v>
      </c>
      <c r="AF118" s="14" t="s">
        <v>99</v>
      </c>
      <c r="AG118" s="14">
        <v>61.0</v>
      </c>
      <c r="AH118" s="14">
        <v>11.0</v>
      </c>
      <c r="AI118" s="14">
        <v>11.0</v>
      </c>
      <c r="AJ118" s="14">
        <v>0.0</v>
      </c>
      <c r="AK118" s="14">
        <v>37.0</v>
      </c>
      <c r="AL118" s="14" t="s">
        <v>441</v>
      </c>
      <c r="AM118" s="14" t="s">
        <v>442</v>
      </c>
      <c r="AN118" s="14" t="s">
        <v>443</v>
      </c>
      <c r="AO118" s="14" t="s">
        <v>889</v>
      </c>
      <c r="AP118" s="14" t="s">
        <v>890</v>
      </c>
      <c r="AQ118" s="14" t="s">
        <v>99</v>
      </c>
      <c r="AR118" s="14" t="s">
        <v>891</v>
      </c>
      <c r="AS118" s="14" t="s">
        <v>892</v>
      </c>
      <c r="AT118" s="14" t="s">
        <v>640</v>
      </c>
      <c r="AU118" s="14">
        <v>2015.0</v>
      </c>
      <c r="AV118" s="14">
        <v>165.0</v>
      </c>
      <c r="AW118" s="14" t="s">
        <v>99</v>
      </c>
      <c r="AX118" s="14" t="s">
        <v>99</v>
      </c>
      <c r="AY118" s="14" t="s">
        <v>99</v>
      </c>
      <c r="AZ118" s="14" t="s">
        <v>99</v>
      </c>
      <c r="BA118" s="14" t="s">
        <v>99</v>
      </c>
      <c r="BB118" s="14">
        <v>63.0</v>
      </c>
      <c r="BC118" s="14">
        <v>70.0</v>
      </c>
      <c r="BD118" s="14" t="s">
        <v>99</v>
      </c>
      <c r="BE118" s="14" t="s">
        <v>2654</v>
      </c>
      <c r="BF118" s="15" t="str">
        <f>HYPERLINK("http://dx.doi.org/10.1016/j.fishres.2014.12.016","http://dx.doi.org/10.1016/j.fishres.2014.12.016")</f>
        <v>http://dx.doi.org/10.1016/j.fishres.2014.12.016</v>
      </c>
      <c r="BG118" s="14" t="s">
        <v>99</v>
      </c>
      <c r="BH118" s="14" t="s">
        <v>99</v>
      </c>
      <c r="BI118" s="14">
        <v>8.0</v>
      </c>
      <c r="BJ118" s="14" t="s">
        <v>894</v>
      </c>
      <c r="BK118" s="14" t="s">
        <v>122</v>
      </c>
      <c r="BL118" s="14" t="s">
        <v>894</v>
      </c>
      <c r="BM118" s="14" t="s">
        <v>2655</v>
      </c>
      <c r="BN118" s="14" t="s">
        <v>99</v>
      </c>
      <c r="BO118" s="14" t="s">
        <v>99</v>
      </c>
      <c r="BP118" s="14" t="s">
        <v>99</v>
      </c>
      <c r="BQ118" s="14" t="s">
        <v>99</v>
      </c>
      <c r="BR118" s="14" t="s">
        <v>124</v>
      </c>
      <c r="BS118" s="14" t="s">
        <v>2656</v>
      </c>
      <c r="BT118" s="14" t="str">
        <f>HYPERLINK("https%3A%2F%2Fwww.webofscience.com%2Fwos%2Fwoscc%2Ffull-record%2FWOS:000352748800007","View Full Record in Web of Science")</f>
        <v>View Full Record in Web of Science</v>
      </c>
    </row>
    <row r="119" ht="12.75" customHeight="1">
      <c r="A119" s="14" t="s">
        <v>97</v>
      </c>
      <c r="B119" s="14" t="s">
        <v>2657</v>
      </c>
      <c r="C119" s="14" t="s">
        <v>99</v>
      </c>
      <c r="D119" s="14" t="s">
        <v>99</v>
      </c>
      <c r="E119" s="14" t="s">
        <v>99</v>
      </c>
      <c r="F119" s="14" t="s">
        <v>2658</v>
      </c>
      <c r="G119" s="14" t="s">
        <v>99</v>
      </c>
      <c r="H119" s="14" t="s">
        <v>99</v>
      </c>
      <c r="I119" s="14" t="s">
        <v>2659</v>
      </c>
      <c r="J119" s="14" t="s">
        <v>776</v>
      </c>
      <c r="K119" s="14" t="s">
        <v>99</v>
      </c>
      <c r="L119" s="14" t="s">
        <v>99</v>
      </c>
      <c r="M119" s="14" t="s">
        <v>103</v>
      </c>
      <c r="N119" s="14" t="s">
        <v>104</v>
      </c>
      <c r="O119" s="14" t="s">
        <v>99</v>
      </c>
      <c r="P119" s="14" t="s">
        <v>99</v>
      </c>
      <c r="Q119" s="14" t="s">
        <v>99</v>
      </c>
      <c r="R119" s="14" t="s">
        <v>99</v>
      </c>
      <c r="S119" s="14" t="s">
        <v>99</v>
      </c>
      <c r="T119" s="14" t="s">
        <v>2660</v>
      </c>
      <c r="U119" s="14" t="s">
        <v>2661</v>
      </c>
      <c r="V119" s="14" t="s">
        <v>2662</v>
      </c>
      <c r="W119" s="14" t="s">
        <v>2663</v>
      </c>
      <c r="X119" s="14" t="s">
        <v>2664</v>
      </c>
      <c r="Y119" s="14" t="s">
        <v>2665</v>
      </c>
      <c r="Z119" s="14" t="s">
        <v>2666</v>
      </c>
      <c r="AA119" s="14" t="s">
        <v>2667</v>
      </c>
      <c r="AB119" s="14" t="s">
        <v>2668</v>
      </c>
      <c r="AC119" s="14" t="s">
        <v>2669</v>
      </c>
      <c r="AD119" s="14" t="s">
        <v>2670</v>
      </c>
      <c r="AE119" s="14" t="s">
        <v>2671</v>
      </c>
      <c r="AF119" s="14" t="s">
        <v>99</v>
      </c>
      <c r="AG119" s="14">
        <v>44.0</v>
      </c>
      <c r="AH119" s="14">
        <v>158.0</v>
      </c>
      <c r="AI119" s="14">
        <v>182.0</v>
      </c>
      <c r="AJ119" s="14">
        <v>13.0</v>
      </c>
      <c r="AK119" s="14">
        <v>287.0</v>
      </c>
      <c r="AL119" s="14" t="s">
        <v>788</v>
      </c>
      <c r="AM119" s="14" t="s">
        <v>789</v>
      </c>
      <c r="AN119" s="14" t="s">
        <v>790</v>
      </c>
      <c r="AO119" s="14" t="s">
        <v>791</v>
      </c>
      <c r="AP119" s="14" t="s">
        <v>99</v>
      </c>
      <c r="AQ119" s="14" t="s">
        <v>99</v>
      </c>
      <c r="AR119" s="14" t="s">
        <v>793</v>
      </c>
      <c r="AS119" s="14" t="s">
        <v>794</v>
      </c>
      <c r="AT119" s="14" t="s">
        <v>2672</v>
      </c>
      <c r="AU119" s="14">
        <v>2015.0</v>
      </c>
      <c r="AV119" s="14">
        <v>112.0</v>
      </c>
      <c r="AW119" s="14">
        <v>15.0</v>
      </c>
      <c r="AX119" s="14" t="s">
        <v>99</v>
      </c>
      <c r="AY119" s="14" t="s">
        <v>99</v>
      </c>
      <c r="AZ119" s="14" t="s">
        <v>99</v>
      </c>
      <c r="BA119" s="14" t="s">
        <v>99</v>
      </c>
      <c r="BB119" s="14">
        <v>4588.0</v>
      </c>
      <c r="BC119" s="14">
        <v>4593.0</v>
      </c>
      <c r="BD119" s="14" t="s">
        <v>99</v>
      </c>
      <c r="BE119" s="14" t="s">
        <v>2673</v>
      </c>
      <c r="BF119" s="15" t="str">
        <f>HYPERLINK("http://dx.doi.org/10.1073/pnas.1504345112","http://dx.doi.org/10.1073/pnas.1504345112")</f>
        <v>http://dx.doi.org/10.1073/pnas.1504345112</v>
      </c>
      <c r="BG119" s="14" t="s">
        <v>99</v>
      </c>
      <c r="BH119" s="14" t="s">
        <v>99</v>
      </c>
      <c r="BI119" s="14">
        <v>6.0</v>
      </c>
      <c r="BJ119" s="14" t="s">
        <v>799</v>
      </c>
      <c r="BK119" s="14" t="s">
        <v>800</v>
      </c>
      <c r="BL119" s="14" t="s">
        <v>801</v>
      </c>
      <c r="BM119" s="14" t="s">
        <v>2674</v>
      </c>
      <c r="BN119" s="14">
        <v>2.5825748E7</v>
      </c>
      <c r="BO119" s="14" t="s">
        <v>373</v>
      </c>
      <c r="BP119" s="14" t="s">
        <v>99</v>
      </c>
      <c r="BQ119" s="14" t="s">
        <v>99</v>
      </c>
      <c r="BR119" s="14" t="s">
        <v>124</v>
      </c>
      <c r="BS119" s="14" t="s">
        <v>2675</v>
      </c>
      <c r="BT119" s="14" t="str">
        <f>HYPERLINK("https%3A%2F%2Fwww.webofscience.com%2Fwos%2Fwoscc%2Ffull-record%2FWOS:000352856800038","View Full Record in Web of Science")</f>
        <v>View Full Record in Web of Science</v>
      </c>
    </row>
    <row r="120" ht="12.75" customHeight="1">
      <c r="A120" s="14" t="s">
        <v>97</v>
      </c>
      <c r="B120" s="14" t="s">
        <v>2676</v>
      </c>
      <c r="C120" s="14" t="s">
        <v>99</v>
      </c>
      <c r="D120" s="14" t="s">
        <v>99</v>
      </c>
      <c r="E120" s="14" t="s">
        <v>99</v>
      </c>
      <c r="F120" s="14" t="s">
        <v>2677</v>
      </c>
      <c r="G120" s="14" t="s">
        <v>99</v>
      </c>
      <c r="H120" s="14" t="s">
        <v>99</v>
      </c>
      <c r="I120" s="14" t="s">
        <v>2678</v>
      </c>
      <c r="J120" s="14" t="s">
        <v>328</v>
      </c>
      <c r="K120" s="14" t="s">
        <v>99</v>
      </c>
      <c r="L120" s="14" t="s">
        <v>99</v>
      </c>
      <c r="M120" s="14" t="s">
        <v>103</v>
      </c>
      <c r="N120" s="14" t="s">
        <v>104</v>
      </c>
      <c r="O120" s="14" t="s">
        <v>99</v>
      </c>
      <c r="P120" s="14" t="s">
        <v>99</v>
      </c>
      <c r="Q120" s="14" t="s">
        <v>99</v>
      </c>
      <c r="R120" s="14" t="s">
        <v>99</v>
      </c>
      <c r="S120" s="14" t="s">
        <v>99</v>
      </c>
      <c r="T120" s="14" t="s">
        <v>2679</v>
      </c>
      <c r="U120" s="14" t="s">
        <v>2680</v>
      </c>
      <c r="V120" s="14" t="s">
        <v>2681</v>
      </c>
      <c r="W120" s="14" t="s">
        <v>2682</v>
      </c>
      <c r="X120" s="14" t="s">
        <v>2683</v>
      </c>
      <c r="Y120" s="14" t="s">
        <v>2684</v>
      </c>
      <c r="Z120" s="14" t="s">
        <v>2685</v>
      </c>
      <c r="AA120" s="14" t="s">
        <v>2686</v>
      </c>
      <c r="AB120" s="14" t="s">
        <v>2687</v>
      </c>
      <c r="AC120" s="14" t="s">
        <v>2688</v>
      </c>
      <c r="AD120" s="14" t="s">
        <v>2689</v>
      </c>
      <c r="AE120" s="14" t="s">
        <v>2690</v>
      </c>
      <c r="AF120" s="14" t="s">
        <v>99</v>
      </c>
      <c r="AG120" s="14">
        <v>65.0</v>
      </c>
      <c r="AH120" s="14">
        <v>735.0</v>
      </c>
      <c r="AI120" s="14">
        <v>850.0</v>
      </c>
      <c r="AJ120" s="14">
        <v>43.0</v>
      </c>
      <c r="AK120" s="14">
        <v>957.0</v>
      </c>
      <c r="AL120" s="14" t="s">
        <v>341</v>
      </c>
      <c r="AM120" s="14" t="s">
        <v>342</v>
      </c>
      <c r="AN120" s="14" t="s">
        <v>343</v>
      </c>
      <c r="AO120" s="14" t="s">
        <v>344</v>
      </c>
      <c r="AP120" s="14" t="s">
        <v>345</v>
      </c>
      <c r="AQ120" s="14" t="s">
        <v>99</v>
      </c>
      <c r="AR120" s="14" t="s">
        <v>346</v>
      </c>
      <c r="AS120" s="14" t="s">
        <v>347</v>
      </c>
      <c r="AT120" s="14" t="s">
        <v>718</v>
      </c>
      <c r="AU120" s="14">
        <v>2015.0</v>
      </c>
      <c r="AV120" s="14">
        <v>21.0</v>
      </c>
      <c r="AW120" s="14">
        <v>4.0</v>
      </c>
      <c r="AX120" s="14" t="s">
        <v>99</v>
      </c>
      <c r="AY120" s="14" t="s">
        <v>99</v>
      </c>
      <c r="AZ120" s="14" t="s">
        <v>99</v>
      </c>
      <c r="BA120" s="14" t="s">
        <v>99</v>
      </c>
      <c r="BB120" s="14">
        <v>1601.0</v>
      </c>
      <c r="BC120" s="14">
        <v>1609.0</v>
      </c>
      <c r="BD120" s="14" t="s">
        <v>99</v>
      </c>
      <c r="BE120" s="14" t="s">
        <v>2691</v>
      </c>
      <c r="BF120" s="15" t="str">
        <f>HYPERLINK("http://dx.doi.org/10.1111/gcb.12795","http://dx.doi.org/10.1111/gcb.12795")</f>
        <v>http://dx.doi.org/10.1111/gcb.12795</v>
      </c>
      <c r="BG120" s="14" t="s">
        <v>99</v>
      </c>
      <c r="BH120" s="14" t="s">
        <v>99</v>
      </c>
      <c r="BI120" s="14">
        <v>9.0</v>
      </c>
      <c r="BJ120" s="14" t="s">
        <v>351</v>
      </c>
      <c r="BK120" s="14" t="s">
        <v>122</v>
      </c>
      <c r="BL120" s="14" t="s">
        <v>352</v>
      </c>
      <c r="BM120" s="14" t="s">
        <v>2692</v>
      </c>
      <c r="BN120" s="14">
        <v>2.5369401E7</v>
      </c>
      <c r="BO120" s="14" t="s">
        <v>1251</v>
      </c>
      <c r="BP120" s="14" t="s">
        <v>99</v>
      </c>
      <c r="BQ120" s="14" t="s">
        <v>99</v>
      </c>
      <c r="BR120" s="14" t="s">
        <v>124</v>
      </c>
      <c r="BS120" s="14" t="s">
        <v>2693</v>
      </c>
      <c r="BT120" s="14" t="str">
        <f>HYPERLINK("https%3A%2F%2Fwww.webofscience.com%2Fwos%2Fwoscc%2Ffull-record%2FWOS:000351214100022","View Full Record in Web of Science")</f>
        <v>View Full Record in Web of Science</v>
      </c>
    </row>
    <row r="121" ht="12.75" customHeight="1">
      <c r="A121" s="14" t="s">
        <v>97</v>
      </c>
      <c r="B121" s="14" t="s">
        <v>2694</v>
      </c>
      <c r="C121" s="14" t="s">
        <v>99</v>
      </c>
      <c r="D121" s="14" t="s">
        <v>99</v>
      </c>
      <c r="E121" s="14" t="s">
        <v>99</v>
      </c>
      <c r="F121" s="14" t="s">
        <v>2695</v>
      </c>
      <c r="G121" s="14" t="s">
        <v>99</v>
      </c>
      <c r="H121" s="14" t="s">
        <v>99</v>
      </c>
      <c r="I121" s="14" t="s">
        <v>2696</v>
      </c>
      <c r="J121" s="14" t="s">
        <v>2500</v>
      </c>
      <c r="K121" s="14" t="s">
        <v>99</v>
      </c>
      <c r="L121" s="14" t="s">
        <v>99</v>
      </c>
      <c r="M121" s="14" t="s">
        <v>103</v>
      </c>
      <c r="N121" s="14" t="s">
        <v>104</v>
      </c>
      <c r="O121" s="14" t="s">
        <v>99</v>
      </c>
      <c r="P121" s="14" t="s">
        <v>99</v>
      </c>
      <c r="Q121" s="14" t="s">
        <v>99</v>
      </c>
      <c r="R121" s="14" t="s">
        <v>99</v>
      </c>
      <c r="S121" s="14" t="s">
        <v>99</v>
      </c>
      <c r="T121" s="14" t="s">
        <v>99</v>
      </c>
      <c r="U121" s="14" t="s">
        <v>2697</v>
      </c>
      <c r="V121" s="14" t="s">
        <v>2698</v>
      </c>
      <c r="W121" s="14" t="s">
        <v>2699</v>
      </c>
      <c r="X121" s="14" t="s">
        <v>2700</v>
      </c>
      <c r="Y121" s="14" t="s">
        <v>2701</v>
      </c>
      <c r="Z121" s="14" t="s">
        <v>2702</v>
      </c>
      <c r="AA121" s="14" t="s">
        <v>2703</v>
      </c>
      <c r="AB121" s="14" t="s">
        <v>2704</v>
      </c>
      <c r="AC121" s="14" t="s">
        <v>2705</v>
      </c>
      <c r="AD121" s="14" t="s">
        <v>2705</v>
      </c>
      <c r="AE121" s="14" t="s">
        <v>2706</v>
      </c>
      <c r="AF121" s="14" t="s">
        <v>99</v>
      </c>
      <c r="AG121" s="14">
        <v>35.0</v>
      </c>
      <c r="AH121" s="14">
        <v>76.0</v>
      </c>
      <c r="AI121" s="14">
        <v>89.0</v>
      </c>
      <c r="AJ121" s="14">
        <v>1.0</v>
      </c>
      <c r="AK121" s="14">
        <v>45.0</v>
      </c>
      <c r="AL121" s="14" t="s">
        <v>2512</v>
      </c>
      <c r="AM121" s="14" t="s">
        <v>2513</v>
      </c>
      <c r="AN121" s="14" t="s">
        <v>2514</v>
      </c>
      <c r="AO121" s="14" t="s">
        <v>2515</v>
      </c>
      <c r="AP121" s="14" t="s">
        <v>99</v>
      </c>
      <c r="AQ121" s="14" t="s">
        <v>99</v>
      </c>
      <c r="AR121" s="14" t="s">
        <v>2500</v>
      </c>
      <c r="AS121" s="14" t="s">
        <v>2516</v>
      </c>
      <c r="AT121" s="14" t="s">
        <v>2707</v>
      </c>
      <c r="AU121" s="14">
        <v>2015.0</v>
      </c>
      <c r="AV121" s="14">
        <v>10.0</v>
      </c>
      <c r="AW121" s="14">
        <v>3.0</v>
      </c>
      <c r="AX121" s="14" t="s">
        <v>99</v>
      </c>
      <c r="AY121" s="14" t="s">
        <v>99</v>
      </c>
      <c r="AZ121" s="14" t="s">
        <v>99</v>
      </c>
      <c r="BA121" s="14" t="s">
        <v>99</v>
      </c>
      <c r="BB121" s="14" t="s">
        <v>99</v>
      </c>
      <c r="BC121" s="14" t="s">
        <v>99</v>
      </c>
      <c r="BD121" s="14" t="s">
        <v>2708</v>
      </c>
      <c r="BE121" s="14" t="s">
        <v>2709</v>
      </c>
      <c r="BF121" s="15" t="str">
        <f>HYPERLINK("http://dx.doi.org/10.1371/journal.pone.0120198","http://dx.doi.org/10.1371/journal.pone.0120198")</f>
        <v>http://dx.doi.org/10.1371/journal.pone.0120198</v>
      </c>
      <c r="BG121" s="14" t="s">
        <v>99</v>
      </c>
      <c r="BH121" s="14" t="s">
        <v>99</v>
      </c>
      <c r="BI121" s="14">
        <v>14.0</v>
      </c>
      <c r="BJ121" s="14" t="s">
        <v>799</v>
      </c>
      <c r="BK121" s="14" t="s">
        <v>122</v>
      </c>
      <c r="BL121" s="14" t="s">
        <v>801</v>
      </c>
      <c r="BM121" s="14" t="s">
        <v>2710</v>
      </c>
      <c r="BN121" s="14">
        <v>2.5807292E7</v>
      </c>
      <c r="BO121" s="14" t="s">
        <v>1251</v>
      </c>
      <c r="BP121" s="14" t="s">
        <v>99</v>
      </c>
      <c r="BQ121" s="14" t="s">
        <v>99</v>
      </c>
      <c r="BR121" s="14" t="s">
        <v>124</v>
      </c>
      <c r="BS121" s="14" t="s">
        <v>2711</v>
      </c>
      <c r="BT121" s="14" t="str">
        <f>HYPERLINK("https%3A%2F%2Fwww.webofscience.com%2Fwos%2Fwoscc%2Ffull-record%2FWOS:000351880000071","View Full Record in Web of Science")</f>
        <v>View Full Record in Web of Science</v>
      </c>
    </row>
    <row r="122" ht="12.75" customHeight="1">
      <c r="A122" s="14" t="s">
        <v>97</v>
      </c>
      <c r="B122" s="14" t="s">
        <v>2712</v>
      </c>
      <c r="C122" s="14" t="s">
        <v>99</v>
      </c>
      <c r="D122" s="14" t="s">
        <v>99</v>
      </c>
      <c r="E122" s="14" t="s">
        <v>99</v>
      </c>
      <c r="F122" s="14" t="s">
        <v>2713</v>
      </c>
      <c r="G122" s="14" t="s">
        <v>99</v>
      </c>
      <c r="H122" s="14" t="s">
        <v>99</v>
      </c>
      <c r="I122" s="14" t="s">
        <v>2714</v>
      </c>
      <c r="J122" s="14" t="s">
        <v>2715</v>
      </c>
      <c r="K122" s="14" t="s">
        <v>99</v>
      </c>
      <c r="L122" s="14" t="s">
        <v>99</v>
      </c>
      <c r="M122" s="14" t="s">
        <v>103</v>
      </c>
      <c r="N122" s="14" t="s">
        <v>104</v>
      </c>
      <c r="O122" s="14" t="s">
        <v>99</v>
      </c>
      <c r="P122" s="14" t="s">
        <v>99</v>
      </c>
      <c r="Q122" s="14" t="s">
        <v>99</v>
      </c>
      <c r="R122" s="14" t="s">
        <v>99</v>
      </c>
      <c r="S122" s="14" t="s">
        <v>99</v>
      </c>
      <c r="T122" s="14" t="s">
        <v>99</v>
      </c>
      <c r="U122" s="14" t="s">
        <v>2716</v>
      </c>
      <c r="V122" s="14" t="s">
        <v>2717</v>
      </c>
      <c r="W122" s="14" t="s">
        <v>2718</v>
      </c>
      <c r="X122" s="14" t="s">
        <v>2719</v>
      </c>
      <c r="Y122" s="14" t="s">
        <v>2720</v>
      </c>
      <c r="Z122" s="14" t="s">
        <v>99</v>
      </c>
      <c r="AA122" s="14" t="s">
        <v>99</v>
      </c>
      <c r="AB122" s="14" t="s">
        <v>2721</v>
      </c>
      <c r="AC122" s="14" t="s">
        <v>2722</v>
      </c>
      <c r="AD122" s="14" t="s">
        <v>2723</v>
      </c>
      <c r="AE122" s="14" t="s">
        <v>2724</v>
      </c>
      <c r="AF122" s="14" t="s">
        <v>99</v>
      </c>
      <c r="AG122" s="14">
        <v>36.0</v>
      </c>
      <c r="AH122" s="14">
        <v>229.0</v>
      </c>
      <c r="AI122" s="14">
        <v>286.0</v>
      </c>
      <c r="AJ122" s="14">
        <v>9.0</v>
      </c>
      <c r="AK122" s="14">
        <v>127.0</v>
      </c>
      <c r="AL122" s="14" t="s">
        <v>2725</v>
      </c>
      <c r="AM122" s="14" t="s">
        <v>2726</v>
      </c>
      <c r="AN122" s="14" t="s">
        <v>2727</v>
      </c>
      <c r="AO122" s="14" t="s">
        <v>2728</v>
      </c>
      <c r="AP122" s="14" t="s">
        <v>2729</v>
      </c>
      <c r="AQ122" s="14" t="s">
        <v>99</v>
      </c>
      <c r="AR122" s="14" t="s">
        <v>2730</v>
      </c>
      <c r="AS122" s="14" t="s">
        <v>2731</v>
      </c>
      <c r="AT122" s="14" t="s">
        <v>1485</v>
      </c>
      <c r="AU122" s="14">
        <v>2015.0</v>
      </c>
      <c r="AV122" s="14">
        <v>97.0</v>
      </c>
      <c r="AW122" s="14">
        <v>1.0</v>
      </c>
      <c r="AX122" s="14" t="s">
        <v>99</v>
      </c>
      <c r="AY122" s="14" t="s">
        <v>99</v>
      </c>
      <c r="AZ122" s="14" t="s">
        <v>99</v>
      </c>
      <c r="BA122" s="14" t="s">
        <v>99</v>
      </c>
      <c r="BB122" s="14">
        <v>104.0</v>
      </c>
      <c r="BC122" s="14">
        <v>115.0</v>
      </c>
      <c r="BD122" s="14" t="s">
        <v>99</v>
      </c>
      <c r="BE122" s="14" t="s">
        <v>2732</v>
      </c>
      <c r="BF122" s="15" t="str">
        <f>HYPERLINK("http://dx.doi.org/10.1162/REST_a_00438","http://dx.doi.org/10.1162/REST_a_00438")</f>
        <v>http://dx.doi.org/10.1162/REST_a_00438</v>
      </c>
      <c r="BG122" s="14" t="s">
        <v>99</v>
      </c>
      <c r="BH122" s="14" t="s">
        <v>99</v>
      </c>
      <c r="BI122" s="14">
        <v>12.0</v>
      </c>
      <c r="BJ122" s="14" t="s">
        <v>2733</v>
      </c>
      <c r="BK122" s="14" t="s">
        <v>643</v>
      </c>
      <c r="BL122" s="14" t="s">
        <v>2734</v>
      </c>
      <c r="BM122" s="14" t="s">
        <v>2735</v>
      </c>
      <c r="BN122" s="14" t="s">
        <v>99</v>
      </c>
      <c r="BO122" s="14" t="s">
        <v>99</v>
      </c>
      <c r="BP122" s="14" t="s">
        <v>99</v>
      </c>
      <c r="BQ122" s="14" t="s">
        <v>99</v>
      </c>
      <c r="BR122" s="14" t="s">
        <v>124</v>
      </c>
      <c r="BS122" s="14" t="s">
        <v>2736</v>
      </c>
      <c r="BT122" s="14" t="str">
        <f>HYPERLINK("https%3A%2F%2Fwww.webofscience.com%2Fwos%2Fwoscc%2Ffull-record%2FWOS:000350556700008","View Full Record in Web of Science")</f>
        <v>View Full Record in Web of Science</v>
      </c>
    </row>
    <row r="123" ht="12.75" customHeight="1">
      <c r="A123" s="14" t="s">
        <v>97</v>
      </c>
      <c r="B123" s="14" t="s">
        <v>2737</v>
      </c>
      <c r="C123" s="14" t="s">
        <v>99</v>
      </c>
      <c r="D123" s="14" t="s">
        <v>99</v>
      </c>
      <c r="E123" s="14" t="s">
        <v>99</v>
      </c>
      <c r="F123" s="14" t="s">
        <v>2738</v>
      </c>
      <c r="G123" s="14" t="s">
        <v>99</v>
      </c>
      <c r="H123" s="14" t="s">
        <v>99</v>
      </c>
      <c r="I123" s="14" t="s">
        <v>2739</v>
      </c>
      <c r="J123" s="14" t="s">
        <v>1231</v>
      </c>
      <c r="K123" s="14" t="s">
        <v>99</v>
      </c>
      <c r="L123" s="14" t="s">
        <v>99</v>
      </c>
      <c r="M123" s="14" t="s">
        <v>103</v>
      </c>
      <c r="N123" s="14" t="s">
        <v>104</v>
      </c>
      <c r="O123" s="14" t="s">
        <v>99</v>
      </c>
      <c r="P123" s="14" t="s">
        <v>99</v>
      </c>
      <c r="Q123" s="14" t="s">
        <v>99</v>
      </c>
      <c r="R123" s="14" t="s">
        <v>99</v>
      </c>
      <c r="S123" s="14" t="s">
        <v>99</v>
      </c>
      <c r="T123" s="14" t="s">
        <v>99</v>
      </c>
      <c r="U123" s="14" t="s">
        <v>2740</v>
      </c>
      <c r="V123" s="14" t="s">
        <v>2741</v>
      </c>
      <c r="W123" s="14" t="s">
        <v>2742</v>
      </c>
      <c r="X123" s="14" t="s">
        <v>2743</v>
      </c>
      <c r="Y123" s="14" t="s">
        <v>2744</v>
      </c>
      <c r="Z123" s="14" t="s">
        <v>2745</v>
      </c>
      <c r="AA123" s="14" t="s">
        <v>2746</v>
      </c>
      <c r="AB123" s="14" t="s">
        <v>2747</v>
      </c>
      <c r="AC123" s="14" t="s">
        <v>2748</v>
      </c>
      <c r="AD123" s="14" t="s">
        <v>2749</v>
      </c>
      <c r="AE123" s="14" t="s">
        <v>2750</v>
      </c>
      <c r="AF123" s="14" t="s">
        <v>99</v>
      </c>
      <c r="AG123" s="14">
        <v>85.0</v>
      </c>
      <c r="AH123" s="14">
        <v>3175.0</v>
      </c>
      <c r="AI123" s="14">
        <v>3775.0</v>
      </c>
      <c r="AJ123" s="14">
        <v>136.0</v>
      </c>
      <c r="AK123" s="14">
        <v>1612.0</v>
      </c>
      <c r="AL123" s="14" t="s">
        <v>1243</v>
      </c>
      <c r="AM123" s="14" t="s">
        <v>789</v>
      </c>
      <c r="AN123" s="14" t="s">
        <v>1244</v>
      </c>
      <c r="AO123" s="14" t="s">
        <v>1245</v>
      </c>
      <c r="AP123" s="14" t="s">
        <v>99</v>
      </c>
      <c r="AQ123" s="14" t="s">
        <v>99</v>
      </c>
      <c r="AR123" s="14" t="s">
        <v>1246</v>
      </c>
      <c r="AS123" s="14" t="s">
        <v>1247</v>
      </c>
      <c r="AT123" s="14" t="s">
        <v>1485</v>
      </c>
      <c r="AU123" s="14">
        <v>2015.0</v>
      </c>
      <c r="AV123" s="14">
        <v>1.0</v>
      </c>
      <c r="AW123" s="14">
        <v>2.0</v>
      </c>
      <c r="AX123" s="14" t="s">
        <v>99</v>
      </c>
      <c r="AY123" s="14" t="s">
        <v>99</v>
      </c>
      <c r="AZ123" s="14" t="s">
        <v>99</v>
      </c>
      <c r="BA123" s="14" t="s">
        <v>99</v>
      </c>
      <c r="BB123" s="14" t="s">
        <v>99</v>
      </c>
      <c r="BC123" s="14" t="s">
        <v>99</v>
      </c>
      <c r="BD123" s="14" t="s">
        <v>2751</v>
      </c>
      <c r="BE123" s="14" t="s">
        <v>2752</v>
      </c>
      <c r="BF123" s="15" t="str">
        <f>HYPERLINK("http://dx.doi.org/10.1126/sciadv.1500052","http://dx.doi.org/10.1126/sciadv.1500052")</f>
        <v>http://dx.doi.org/10.1126/sciadv.1500052</v>
      </c>
      <c r="BG123" s="14" t="s">
        <v>99</v>
      </c>
      <c r="BH123" s="14" t="s">
        <v>99</v>
      </c>
      <c r="BI123" s="14">
        <v>9.0</v>
      </c>
      <c r="BJ123" s="14" t="s">
        <v>799</v>
      </c>
      <c r="BK123" s="14" t="s">
        <v>122</v>
      </c>
      <c r="BL123" s="14" t="s">
        <v>801</v>
      </c>
      <c r="BM123" s="14" t="s">
        <v>2753</v>
      </c>
      <c r="BN123" s="14">
        <v>2.6601154E7</v>
      </c>
      <c r="BO123" s="14" t="s">
        <v>1251</v>
      </c>
      <c r="BP123" s="14" t="s">
        <v>99</v>
      </c>
      <c r="BQ123" s="14" t="s">
        <v>99</v>
      </c>
      <c r="BR123" s="14" t="s">
        <v>124</v>
      </c>
      <c r="BS123" s="14" t="s">
        <v>2754</v>
      </c>
      <c r="BT123" s="14" t="str">
        <f>HYPERLINK("https%3A%2F%2Fwww.webofscience.com%2Fwos%2Fwoscc%2Ffull-record%2FWOS:000216591000009","View Full Record in Web of Science")</f>
        <v>View Full Record in Web of Science</v>
      </c>
    </row>
    <row r="124" ht="12.75" customHeight="1">
      <c r="A124" s="14" t="s">
        <v>97</v>
      </c>
      <c r="B124" s="14" t="s">
        <v>2755</v>
      </c>
      <c r="C124" s="14" t="s">
        <v>99</v>
      </c>
      <c r="D124" s="14" t="s">
        <v>99</v>
      </c>
      <c r="E124" s="14" t="s">
        <v>99</v>
      </c>
      <c r="F124" s="14" t="s">
        <v>2756</v>
      </c>
      <c r="G124" s="14" t="s">
        <v>99</v>
      </c>
      <c r="H124" s="14" t="s">
        <v>99</v>
      </c>
      <c r="I124" s="14" t="s">
        <v>2757</v>
      </c>
      <c r="J124" s="14" t="s">
        <v>581</v>
      </c>
      <c r="K124" s="14" t="s">
        <v>99</v>
      </c>
      <c r="L124" s="14" t="s">
        <v>99</v>
      </c>
      <c r="M124" s="14" t="s">
        <v>103</v>
      </c>
      <c r="N124" s="14" t="s">
        <v>104</v>
      </c>
      <c r="O124" s="14" t="s">
        <v>99</v>
      </c>
      <c r="P124" s="14" t="s">
        <v>99</v>
      </c>
      <c r="Q124" s="14" t="s">
        <v>99</v>
      </c>
      <c r="R124" s="14" t="s">
        <v>99</v>
      </c>
      <c r="S124" s="14" t="s">
        <v>99</v>
      </c>
      <c r="T124" s="14" t="s">
        <v>2758</v>
      </c>
      <c r="U124" s="14" t="s">
        <v>2759</v>
      </c>
      <c r="V124" s="14" t="s">
        <v>2760</v>
      </c>
      <c r="W124" s="14" t="s">
        <v>2761</v>
      </c>
      <c r="X124" s="14" t="s">
        <v>2762</v>
      </c>
      <c r="Y124" s="14" t="s">
        <v>2763</v>
      </c>
      <c r="Z124" s="14" t="s">
        <v>2764</v>
      </c>
      <c r="AA124" s="14" t="s">
        <v>2765</v>
      </c>
      <c r="AB124" s="14" t="s">
        <v>2766</v>
      </c>
      <c r="AC124" s="14" t="s">
        <v>2767</v>
      </c>
      <c r="AD124" s="14" t="s">
        <v>2768</v>
      </c>
      <c r="AE124" s="14" t="s">
        <v>2769</v>
      </c>
      <c r="AF124" s="14" t="s">
        <v>99</v>
      </c>
      <c r="AG124" s="14">
        <v>65.0</v>
      </c>
      <c r="AH124" s="14">
        <v>121.0</v>
      </c>
      <c r="AI124" s="14">
        <v>128.0</v>
      </c>
      <c r="AJ124" s="14">
        <v>3.0</v>
      </c>
      <c r="AK124" s="14">
        <v>110.0</v>
      </c>
      <c r="AL124" s="14" t="s">
        <v>441</v>
      </c>
      <c r="AM124" s="14" t="s">
        <v>442</v>
      </c>
      <c r="AN124" s="14" t="s">
        <v>443</v>
      </c>
      <c r="AO124" s="14" t="s">
        <v>593</v>
      </c>
      <c r="AP124" s="14" t="s">
        <v>594</v>
      </c>
      <c r="AQ124" s="14" t="s">
        <v>99</v>
      </c>
      <c r="AR124" s="14" t="s">
        <v>595</v>
      </c>
      <c r="AS124" s="14" t="s">
        <v>596</v>
      </c>
      <c r="AT124" s="14" t="s">
        <v>1485</v>
      </c>
      <c r="AU124" s="14">
        <v>2015.0</v>
      </c>
      <c r="AV124" s="14">
        <v>50.0</v>
      </c>
      <c r="AW124" s="14" t="s">
        <v>99</v>
      </c>
      <c r="AX124" s="14" t="s">
        <v>99</v>
      </c>
      <c r="AY124" s="14" t="s">
        <v>99</v>
      </c>
      <c r="AZ124" s="14" t="s">
        <v>99</v>
      </c>
      <c r="BA124" s="14" t="s">
        <v>99</v>
      </c>
      <c r="BB124" s="14">
        <v>196.0</v>
      </c>
      <c r="BC124" s="14">
        <v>205.0</v>
      </c>
      <c r="BD124" s="14" t="s">
        <v>99</v>
      </c>
      <c r="BE124" s="14" t="s">
        <v>2770</v>
      </c>
      <c r="BF124" s="15" t="str">
        <f>HYPERLINK("http://dx.doi.org/10.1016/j.ecolind.2014.10.019","http://dx.doi.org/10.1016/j.ecolind.2014.10.019")</f>
        <v>http://dx.doi.org/10.1016/j.ecolind.2014.10.019</v>
      </c>
      <c r="BG124" s="14" t="s">
        <v>99</v>
      </c>
      <c r="BH124" s="14" t="s">
        <v>99</v>
      </c>
      <c r="BI124" s="14">
        <v>10.0</v>
      </c>
      <c r="BJ124" s="14" t="s">
        <v>598</v>
      </c>
      <c r="BK124" s="14" t="s">
        <v>122</v>
      </c>
      <c r="BL124" s="14" t="s">
        <v>352</v>
      </c>
      <c r="BM124" s="14" t="s">
        <v>2771</v>
      </c>
      <c r="BN124" s="14">
        <v>2.573766E7</v>
      </c>
      <c r="BO124" s="14" t="s">
        <v>1118</v>
      </c>
      <c r="BP124" s="14" t="s">
        <v>99</v>
      </c>
      <c r="BQ124" s="14" t="s">
        <v>99</v>
      </c>
      <c r="BR124" s="14" t="s">
        <v>124</v>
      </c>
      <c r="BS124" s="14" t="s">
        <v>2772</v>
      </c>
      <c r="BT124" s="14" t="str">
        <f>HYPERLINK("https%3A%2F%2Fwww.webofscience.com%2Fwos%2Fwoscc%2Ffull-record%2FWOS:000348265200019","View Full Record in Web of Science")</f>
        <v>View Full Record in Web of Science</v>
      </c>
    </row>
    <row r="125" ht="12.75" customHeight="1">
      <c r="A125" s="14" t="s">
        <v>97</v>
      </c>
      <c r="B125" s="14" t="s">
        <v>2773</v>
      </c>
      <c r="C125" s="14" t="s">
        <v>99</v>
      </c>
      <c r="D125" s="14" t="s">
        <v>99</v>
      </c>
      <c r="E125" s="14" t="s">
        <v>99</v>
      </c>
      <c r="F125" s="14" t="s">
        <v>2774</v>
      </c>
      <c r="G125" s="14" t="s">
        <v>99</v>
      </c>
      <c r="H125" s="14" t="s">
        <v>99</v>
      </c>
      <c r="I125" s="14" t="s">
        <v>2775</v>
      </c>
      <c r="J125" s="14" t="s">
        <v>2566</v>
      </c>
      <c r="K125" s="14" t="s">
        <v>99</v>
      </c>
      <c r="L125" s="14" t="s">
        <v>99</v>
      </c>
      <c r="M125" s="14" t="s">
        <v>103</v>
      </c>
      <c r="N125" s="14" t="s">
        <v>104</v>
      </c>
      <c r="O125" s="14" t="s">
        <v>99</v>
      </c>
      <c r="P125" s="14" t="s">
        <v>99</v>
      </c>
      <c r="Q125" s="14" t="s">
        <v>99</v>
      </c>
      <c r="R125" s="14" t="s">
        <v>99</v>
      </c>
      <c r="S125" s="14" t="s">
        <v>99</v>
      </c>
      <c r="T125" s="14" t="s">
        <v>99</v>
      </c>
      <c r="U125" s="14" t="s">
        <v>2776</v>
      </c>
      <c r="V125" s="14" t="s">
        <v>2777</v>
      </c>
      <c r="W125" s="14" t="s">
        <v>2778</v>
      </c>
      <c r="X125" s="14" t="s">
        <v>2779</v>
      </c>
      <c r="Y125" s="14" t="s">
        <v>2780</v>
      </c>
      <c r="Z125" s="14" t="s">
        <v>2781</v>
      </c>
      <c r="AA125" s="14" t="s">
        <v>2782</v>
      </c>
      <c r="AB125" s="14" t="s">
        <v>2783</v>
      </c>
      <c r="AC125" s="14" t="s">
        <v>2784</v>
      </c>
      <c r="AD125" s="14" t="s">
        <v>2784</v>
      </c>
      <c r="AE125" s="14" t="s">
        <v>2785</v>
      </c>
      <c r="AF125" s="14" t="s">
        <v>99</v>
      </c>
      <c r="AG125" s="14">
        <v>21.0</v>
      </c>
      <c r="AH125" s="14">
        <v>8524.0</v>
      </c>
      <c r="AI125" s="14">
        <v>10190.0</v>
      </c>
      <c r="AJ125" s="14">
        <v>269.0</v>
      </c>
      <c r="AK125" s="14">
        <v>5303.0</v>
      </c>
      <c r="AL125" s="14" t="s">
        <v>1243</v>
      </c>
      <c r="AM125" s="14" t="s">
        <v>789</v>
      </c>
      <c r="AN125" s="14" t="s">
        <v>1244</v>
      </c>
      <c r="AO125" s="14" t="s">
        <v>2578</v>
      </c>
      <c r="AP125" s="14" t="s">
        <v>2579</v>
      </c>
      <c r="AQ125" s="14" t="s">
        <v>99</v>
      </c>
      <c r="AR125" s="14" t="s">
        <v>2566</v>
      </c>
      <c r="AS125" s="14" t="s">
        <v>2580</v>
      </c>
      <c r="AT125" s="14" t="s">
        <v>2786</v>
      </c>
      <c r="AU125" s="14">
        <v>2015.0</v>
      </c>
      <c r="AV125" s="14">
        <v>347.0</v>
      </c>
      <c r="AW125" s="14">
        <v>6223.0</v>
      </c>
      <c r="AX125" s="14" t="s">
        <v>99</v>
      </c>
      <c r="AY125" s="14" t="s">
        <v>99</v>
      </c>
      <c r="AZ125" s="14" t="s">
        <v>99</v>
      </c>
      <c r="BA125" s="14" t="s">
        <v>99</v>
      </c>
      <c r="BB125" s="14">
        <v>768.0</v>
      </c>
      <c r="BC125" s="14">
        <v>771.0</v>
      </c>
      <c r="BD125" s="14" t="s">
        <v>99</v>
      </c>
      <c r="BE125" s="14" t="s">
        <v>2787</v>
      </c>
      <c r="BF125" s="15" t="str">
        <f>HYPERLINK("http://dx.doi.org/10.1126/science.1260352","http://dx.doi.org/10.1126/science.1260352")</f>
        <v>http://dx.doi.org/10.1126/science.1260352</v>
      </c>
      <c r="BG125" s="14" t="s">
        <v>99</v>
      </c>
      <c r="BH125" s="14" t="s">
        <v>99</v>
      </c>
      <c r="BI125" s="14">
        <v>4.0</v>
      </c>
      <c r="BJ125" s="14" t="s">
        <v>799</v>
      </c>
      <c r="BK125" s="14" t="s">
        <v>122</v>
      </c>
      <c r="BL125" s="14" t="s">
        <v>801</v>
      </c>
      <c r="BM125" s="14" t="s">
        <v>2788</v>
      </c>
      <c r="BN125" s="14">
        <v>2.5678662E7</v>
      </c>
      <c r="BO125" s="14" t="s">
        <v>99</v>
      </c>
      <c r="BP125" s="14" t="s">
        <v>99</v>
      </c>
      <c r="BQ125" s="14" t="s">
        <v>99</v>
      </c>
      <c r="BR125" s="14" t="s">
        <v>124</v>
      </c>
      <c r="BS125" s="14" t="s">
        <v>2789</v>
      </c>
      <c r="BT125" s="14" t="str">
        <f>HYPERLINK("https%3A%2F%2Fwww.webofscience.com%2Fwos%2Fwoscc%2Ffull-record%2FWOS:000349221300047","View Full Record in Web of Science")</f>
        <v>View Full Record in Web of Science</v>
      </c>
    </row>
    <row r="126" ht="12.75" customHeight="1">
      <c r="A126" s="14" t="s">
        <v>97</v>
      </c>
      <c r="B126" s="14" t="s">
        <v>2790</v>
      </c>
      <c r="C126" s="14" t="s">
        <v>99</v>
      </c>
      <c r="D126" s="14" t="s">
        <v>99</v>
      </c>
      <c r="E126" s="14" t="s">
        <v>99</v>
      </c>
      <c r="F126" s="14" t="s">
        <v>2791</v>
      </c>
      <c r="G126" s="14" t="s">
        <v>99</v>
      </c>
      <c r="H126" s="14" t="s">
        <v>99</v>
      </c>
      <c r="I126" s="14" t="s">
        <v>2792</v>
      </c>
      <c r="J126" s="14" t="s">
        <v>2793</v>
      </c>
      <c r="K126" s="14" t="s">
        <v>99</v>
      </c>
      <c r="L126" s="14" t="s">
        <v>99</v>
      </c>
      <c r="M126" s="14" t="s">
        <v>103</v>
      </c>
      <c r="N126" s="14" t="s">
        <v>104</v>
      </c>
      <c r="O126" s="14" t="s">
        <v>99</v>
      </c>
      <c r="P126" s="14" t="s">
        <v>99</v>
      </c>
      <c r="Q126" s="14" t="s">
        <v>99</v>
      </c>
      <c r="R126" s="14" t="s">
        <v>99</v>
      </c>
      <c r="S126" s="14" t="s">
        <v>99</v>
      </c>
      <c r="T126" s="14" t="s">
        <v>99</v>
      </c>
      <c r="U126" s="14" t="s">
        <v>2794</v>
      </c>
      <c r="V126" s="14" t="s">
        <v>2795</v>
      </c>
      <c r="W126" s="14" t="s">
        <v>2796</v>
      </c>
      <c r="X126" s="14" t="s">
        <v>2797</v>
      </c>
      <c r="Y126" s="14" t="s">
        <v>2798</v>
      </c>
      <c r="Z126" s="14" t="s">
        <v>2799</v>
      </c>
      <c r="AA126" s="14" t="s">
        <v>2800</v>
      </c>
      <c r="AB126" s="14" t="s">
        <v>2801</v>
      </c>
      <c r="AC126" s="14" t="s">
        <v>2802</v>
      </c>
      <c r="AD126" s="14" t="s">
        <v>2803</v>
      </c>
      <c r="AE126" s="14" t="s">
        <v>2804</v>
      </c>
      <c r="AF126" s="14" t="s">
        <v>99</v>
      </c>
      <c r="AG126" s="14">
        <v>30.0</v>
      </c>
      <c r="AH126" s="14">
        <v>523.0</v>
      </c>
      <c r="AI126" s="14">
        <v>586.0</v>
      </c>
      <c r="AJ126" s="14">
        <v>20.0</v>
      </c>
      <c r="AK126" s="14">
        <v>437.0</v>
      </c>
      <c r="AL126" s="14" t="s">
        <v>1326</v>
      </c>
      <c r="AM126" s="14" t="s">
        <v>274</v>
      </c>
      <c r="AN126" s="14" t="s">
        <v>1327</v>
      </c>
      <c r="AO126" s="14" t="s">
        <v>2805</v>
      </c>
      <c r="AP126" s="14" t="s">
        <v>2806</v>
      </c>
      <c r="AQ126" s="14" t="s">
        <v>99</v>
      </c>
      <c r="AR126" s="14" t="s">
        <v>2807</v>
      </c>
      <c r="AS126" s="14" t="s">
        <v>2808</v>
      </c>
      <c r="AT126" s="14" t="s">
        <v>280</v>
      </c>
      <c r="AU126" s="14">
        <v>2015.0</v>
      </c>
      <c r="AV126" s="14">
        <v>5.0</v>
      </c>
      <c r="AW126" s="14">
        <v>2.0</v>
      </c>
      <c r="AX126" s="14" t="s">
        <v>99</v>
      </c>
      <c r="AY126" s="14" t="s">
        <v>99</v>
      </c>
      <c r="AZ126" s="14" t="s">
        <v>99</v>
      </c>
      <c r="BA126" s="14" t="s">
        <v>99</v>
      </c>
      <c r="BB126" s="14">
        <v>132.0</v>
      </c>
      <c r="BC126" s="14">
        <v>137.0</v>
      </c>
      <c r="BD126" s="14" t="s">
        <v>99</v>
      </c>
      <c r="BE126" s="14" t="s">
        <v>2809</v>
      </c>
      <c r="BF126" s="15" t="str">
        <f>HYPERLINK("http://dx.doi.org/10.1038/NCLIMATE2492","http://dx.doi.org/10.1038/NCLIMATE2492")</f>
        <v>http://dx.doi.org/10.1038/NCLIMATE2492</v>
      </c>
      <c r="BG126" s="14" t="s">
        <v>99</v>
      </c>
      <c r="BH126" s="14" t="s">
        <v>99</v>
      </c>
      <c r="BI126" s="14">
        <v>6.0</v>
      </c>
      <c r="BJ126" s="14" t="s">
        <v>2810</v>
      </c>
      <c r="BK126" s="14" t="s">
        <v>800</v>
      </c>
      <c r="BL126" s="14" t="s">
        <v>574</v>
      </c>
      <c r="BM126" s="14" t="s">
        <v>2811</v>
      </c>
      <c r="BN126" s="14" t="s">
        <v>99</v>
      </c>
      <c r="BO126" s="14" t="s">
        <v>425</v>
      </c>
      <c r="BP126" s="14" t="s">
        <v>99</v>
      </c>
      <c r="BQ126" s="14" t="s">
        <v>99</v>
      </c>
      <c r="BR126" s="14" t="s">
        <v>124</v>
      </c>
      <c r="BS126" s="14" t="s">
        <v>2812</v>
      </c>
      <c r="BT126" s="14" t="str">
        <f>HYPERLINK("https%3A%2F%2Fwww.webofscience.com%2Fwos%2Fwoscc%2Ffull-record%2FWOS:000350327700022","View Full Record in Web of Science")</f>
        <v>View Full Record in Web of Science</v>
      </c>
    </row>
    <row r="127" ht="12.75" customHeight="1">
      <c r="A127" s="14" t="s">
        <v>97</v>
      </c>
      <c r="B127" s="14" t="s">
        <v>2813</v>
      </c>
      <c r="C127" s="14" t="s">
        <v>99</v>
      </c>
      <c r="D127" s="14" t="s">
        <v>99</v>
      </c>
      <c r="E127" s="14" t="s">
        <v>99</v>
      </c>
      <c r="F127" s="14" t="s">
        <v>2814</v>
      </c>
      <c r="G127" s="14" t="s">
        <v>99</v>
      </c>
      <c r="H127" s="14" t="s">
        <v>99</v>
      </c>
      <c r="I127" s="14" t="s">
        <v>2815</v>
      </c>
      <c r="J127" s="14" t="s">
        <v>2816</v>
      </c>
      <c r="K127" s="14" t="s">
        <v>99</v>
      </c>
      <c r="L127" s="14" t="s">
        <v>99</v>
      </c>
      <c r="M127" s="14" t="s">
        <v>103</v>
      </c>
      <c r="N127" s="14" t="s">
        <v>2284</v>
      </c>
      <c r="O127" s="14" t="s">
        <v>2817</v>
      </c>
      <c r="P127" s="14" t="s">
        <v>2818</v>
      </c>
      <c r="Q127" s="14" t="s">
        <v>2819</v>
      </c>
      <c r="R127" s="14" t="s">
        <v>99</v>
      </c>
      <c r="S127" s="14" t="s">
        <v>99</v>
      </c>
      <c r="T127" s="14" t="s">
        <v>99</v>
      </c>
      <c r="U127" s="14" t="s">
        <v>2820</v>
      </c>
      <c r="V127" s="14" t="s">
        <v>2821</v>
      </c>
      <c r="W127" s="14" t="s">
        <v>2822</v>
      </c>
      <c r="X127" s="14" t="s">
        <v>2823</v>
      </c>
      <c r="Y127" s="14" t="s">
        <v>2824</v>
      </c>
      <c r="Z127" s="14" t="s">
        <v>2825</v>
      </c>
      <c r="AA127" s="14" t="s">
        <v>2826</v>
      </c>
      <c r="AB127" s="14" t="s">
        <v>2827</v>
      </c>
      <c r="AC127" s="14" t="s">
        <v>2828</v>
      </c>
      <c r="AD127" s="14" t="s">
        <v>2829</v>
      </c>
      <c r="AE127" s="14" t="s">
        <v>2830</v>
      </c>
      <c r="AF127" s="14" t="s">
        <v>99</v>
      </c>
      <c r="AG127" s="14">
        <v>38.0</v>
      </c>
      <c r="AH127" s="14">
        <v>84.0</v>
      </c>
      <c r="AI127" s="14">
        <v>92.0</v>
      </c>
      <c r="AJ127" s="14">
        <v>3.0</v>
      </c>
      <c r="AK127" s="14">
        <v>56.0</v>
      </c>
      <c r="AL127" s="14" t="s">
        <v>1347</v>
      </c>
      <c r="AM127" s="14" t="s">
        <v>1348</v>
      </c>
      <c r="AN127" s="14" t="s">
        <v>1349</v>
      </c>
      <c r="AO127" s="14" t="s">
        <v>99</v>
      </c>
      <c r="AP127" s="14" t="s">
        <v>2831</v>
      </c>
      <c r="AQ127" s="14" t="s">
        <v>99</v>
      </c>
      <c r="AR127" s="14" t="s">
        <v>2832</v>
      </c>
      <c r="AS127" s="14" t="s">
        <v>2833</v>
      </c>
      <c r="AT127" s="14" t="s">
        <v>280</v>
      </c>
      <c r="AU127" s="14">
        <v>2015.0</v>
      </c>
      <c r="AV127" s="14">
        <v>7.0</v>
      </c>
      <c r="AW127" s="14">
        <v>2.0</v>
      </c>
      <c r="AX127" s="14" t="s">
        <v>99</v>
      </c>
      <c r="AY127" s="14" t="s">
        <v>99</v>
      </c>
      <c r="AZ127" s="14" t="s">
        <v>99</v>
      </c>
      <c r="BA127" s="14" t="s">
        <v>99</v>
      </c>
      <c r="BB127" s="14">
        <v>2086.0</v>
      </c>
      <c r="BC127" s="14">
        <v>2112.0</v>
      </c>
      <c r="BD127" s="14" t="s">
        <v>99</v>
      </c>
      <c r="BE127" s="14" t="s">
        <v>2834</v>
      </c>
      <c r="BF127" s="15" t="str">
        <f>HYPERLINK("http://dx.doi.org/10.3390/su7022086","http://dx.doi.org/10.3390/su7022086")</f>
        <v>http://dx.doi.org/10.3390/su7022086</v>
      </c>
      <c r="BG127" s="14" t="s">
        <v>99</v>
      </c>
      <c r="BH127" s="14" t="s">
        <v>99</v>
      </c>
      <c r="BI127" s="14">
        <v>27.0</v>
      </c>
      <c r="BJ127" s="14" t="s">
        <v>2835</v>
      </c>
      <c r="BK127" s="14" t="s">
        <v>2836</v>
      </c>
      <c r="BL127" s="14" t="s">
        <v>2837</v>
      </c>
      <c r="BM127" s="14" t="s">
        <v>2838</v>
      </c>
      <c r="BN127" s="14" t="s">
        <v>99</v>
      </c>
      <c r="BO127" s="14" t="s">
        <v>1251</v>
      </c>
      <c r="BP127" s="14" t="s">
        <v>99</v>
      </c>
      <c r="BQ127" s="14" t="s">
        <v>99</v>
      </c>
      <c r="BR127" s="14" t="s">
        <v>124</v>
      </c>
      <c r="BS127" s="14" t="s">
        <v>2839</v>
      </c>
      <c r="BT127" s="14" t="str">
        <f>HYPERLINK("https%3A%2F%2Fwww.webofscience.com%2Fwos%2Fwoscc%2Ffull-record%2FWOS:000350217700053","View Full Record in Web of Science")</f>
        <v>View Full Record in Web of Science</v>
      </c>
    </row>
    <row r="128" ht="12.75" customHeight="1">
      <c r="A128" s="14" t="s">
        <v>97</v>
      </c>
      <c r="B128" s="14" t="s">
        <v>2840</v>
      </c>
      <c r="C128" s="14" t="s">
        <v>99</v>
      </c>
      <c r="D128" s="14" t="s">
        <v>99</v>
      </c>
      <c r="E128" s="14" t="s">
        <v>99</v>
      </c>
      <c r="F128" s="14" t="s">
        <v>2841</v>
      </c>
      <c r="G128" s="14" t="s">
        <v>99</v>
      </c>
      <c r="H128" s="14" t="s">
        <v>99</v>
      </c>
      <c r="I128" s="14" t="s">
        <v>2842</v>
      </c>
      <c r="J128" s="14" t="s">
        <v>2843</v>
      </c>
      <c r="K128" s="14" t="s">
        <v>99</v>
      </c>
      <c r="L128" s="14" t="s">
        <v>99</v>
      </c>
      <c r="M128" s="14" t="s">
        <v>103</v>
      </c>
      <c r="N128" s="14" t="s">
        <v>104</v>
      </c>
      <c r="O128" s="14" t="s">
        <v>99</v>
      </c>
      <c r="P128" s="14" t="s">
        <v>99</v>
      </c>
      <c r="Q128" s="14" t="s">
        <v>99</v>
      </c>
      <c r="R128" s="14" t="s">
        <v>99</v>
      </c>
      <c r="S128" s="14" t="s">
        <v>99</v>
      </c>
      <c r="T128" s="14" t="s">
        <v>2844</v>
      </c>
      <c r="U128" s="14" t="s">
        <v>2845</v>
      </c>
      <c r="V128" s="14" t="s">
        <v>2846</v>
      </c>
      <c r="W128" s="14" t="s">
        <v>2847</v>
      </c>
      <c r="X128" s="14" t="s">
        <v>2848</v>
      </c>
      <c r="Y128" s="14" t="s">
        <v>2849</v>
      </c>
      <c r="Z128" s="14" t="s">
        <v>2850</v>
      </c>
      <c r="AA128" s="14" t="s">
        <v>2851</v>
      </c>
      <c r="AB128" s="14" t="s">
        <v>2852</v>
      </c>
      <c r="AC128" s="14" t="s">
        <v>99</v>
      </c>
      <c r="AD128" s="14" t="s">
        <v>99</v>
      </c>
      <c r="AE128" s="14" t="s">
        <v>99</v>
      </c>
      <c r="AF128" s="14" t="s">
        <v>99</v>
      </c>
      <c r="AG128" s="14">
        <v>38.0</v>
      </c>
      <c r="AH128" s="14">
        <v>248.0</v>
      </c>
      <c r="AI128" s="14">
        <v>301.0</v>
      </c>
      <c r="AJ128" s="14">
        <v>7.0</v>
      </c>
      <c r="AK128" s="14">
        <v>258.0</v>
      </c>
      <c r="AL128" s="14" t="s">
        <v>2073</v>
      </c>
      <c r="AM128" s="14" t="s">
        <v>274</v>
      </c>
      <c r="AN128" s="14" t="s">
        <v>2074</v>
      </c>
      <c r="AO128" s="14" t="s">
        <v>2853</v>
      </c>
      <c r="AP128" s="14" t="s">
        <v>2854</v>
      </c>
      <c r="AQ128" s="14" t="s">
        <v>99</v>
      </c>
      <c r="AR128" s="14" t="s">
        <v>2855</v>
      </c>
      <c r="AS128" s="14" t="s">
        <v>2856</v>
      </c>
      <c r="AT128" s="14" t="s">
        <v>2857</v>
      </c>
      <c r="AU128" s="14">
        <v>2015.0</v>
      </c>
      <c r="AV128" s="14">
        <v>148.0</v>
      </c>
      <c r="AW128" s="14" t="s">
        <v>99</v>
      </c>
      <c r="AX128" s="14" t="s">
        <v>99</v>
      </c>
      <c r="AY128" s="14" t="s">
        <v>99</v>
      </c>
      <c r="AZ128" s="14" t="s">
        <v>1738</v>
      </c>
      <c r="BA128" s="14" t="s">
        <v>99</v>
      </c>
      <c r="BB128" s="14">
        <v>101.0</v>
      </c>
      <c r="BC128" s="14">
        <v>111.0</v>
      </c>
      <c r="BD128" s="14" t="s">
        <v>99</v>
      </c>
      <c r="BE128" s="14" t="s">
        <v>2858</v>
      </c>
      <c r="BF128" s="15" t="str">
        <f>HYPERLINK("http://dx.doi.org/10.1016/j.jenvman.2014.01.020","http://dx.doi.org/10.1016/j.jenvman.2014.01.020")</f>
        <v>http://dx.doi.org/10.1016/j.jenvman.2014.01.020</v>
      </c>
      <c r="BG128" s="14" t="s">
        <v>99</v>
      </c>
      <c r="BH128" s="14" t="s">
        <v>99</v>
      </c>
      <c r="BI128" s="14">
        <v>11.0</v>
      </c>
      <c r="BJ128" s="14" t="s">
        <v>1041</v>
      </c>
      <c r="BK128" s="14" t="s">
        <v>122</v>
      </c>
      <c r="BL128" s="14" t="s">
        <v>260</v>
      </c>
      <c r="BM128" s="14" t="s">
        <v>2859</v>
      </c>
      <c r="BN128" s="14">
        <v>2.4735705E7</v>
      </c>
      <c r="BO128" s="14" t="s">
        <v>99</v>
      </c>
      <c r="BP128" s="14" t="s">
        <v>99</v>
      </c>
      <c r="BQ128" s="14" t="s">
        <v>99</v>
      </c>
      <c r="BR128" s="14" t="s">
        <v>124</v>
      </c>
      <c r="BS128" s="14" t="s">
        <v>2860</v>
      </c>
      <c r="BT128" s="14" t="str">
        <f>HYPERLINK("https%3A%2F%2Fwww.webofscience.com%2Fwos%2Fwoscc%2Ffull-record%2FWOS:000348016400011","View Full Record in Web of Science")</f>
        <v>View Full Record in Web of Science</v>
      </c>
    </row>
    <row r="129" ht="12.75" customHeight="1">
      <c r="A129" s="14" t="s">
        <v>97</v>
      </c>
      <c r="B129" s="14" t="s">
        <v>2861</v>
      </c>
      <c r="C129" s="14" t="s">
        <v>99</v>
      </c>
      <c r="D129" s="14" t="s">
        <v>99</v>
      </c>
      <c r="E129" s="14" t="s">
        <v>99</v>
      </c>
      <c r="F129" s="14" t="s">
        <v>2862</v>
      </c>
      <c r="G129" s="14" t="s">
        <v>99</v>
      </c>
      <c r="H129" s="14" t="s">
        <v>99</v>
      </c>
      <c r="I129" s="14" t="s">
        <v>2863</v>
      </c>
      <c r="J129" s="14" t="s">
        <v>1020</v>
      </c>
      <c r="K129" s="14" t="s">
        <v>99</v>
      </c>
      <c r="L129" s="14" t="s">
        <v>99</v>
      </c>
      <c r="M129" s="14" t="s">
        <v>103</v>
      </c>
      <c r="N129" s="14" t="s">
        <v>104</v>
      </c>
      <c r="O129" s="14" t="s">
        <v>99</v>
      </c>
      <c r="P129" s="14" t="s">
        <v>99</v>
      </c>
      <c r="Q129" s="14" t="s">
        <v>99</v>
      </c>
      <c r="R129" s="14" t="s">
        <v>99</v>
      </c>
      <c r="S129" s="14" t="s">
        <v>99</v>
      </c>
      <c r="T129" s="14" t="s">
        <v>2864</v>
      </c>
      <c r="U129" s="14" t="s">
        <v>2865</v>
      </c>
      <c r="V129" s="14" t="s">
        <v>2866</v>
      </c>
      <c r="W129" s="14" t="s">
        <v>2867</v>
      </c>
      <c r="X129" s="14" t="s">
        <v>2868</v>
      </c>
      <c r="Y129" s="14" t="s">
        <v>2869</v>
      </c>
      <c r="Z129" s="14" t="s">
        <v>2870</v>
      </c>
      <c r="AA129" s="14" t="s">
        <v>2871</v>
      </c>
      <c r="AB129" s="14" t="s">
        <v>2872</v>
      </c>
      <c r="AC129" s="14" t="s">
        <v>2873</v>
      </c>
      <c r="AD129" s="14" t="s">
        <v>2874</v>
      </c>
      <c r="AE129" s="14" t="s">
        <v>2875</v>
      </c>
      <c r="AF129" s="14" t="s">
        <v>99</v>
      </c>
      <c r="AG129" s="14">
        <v>44.0</v>
      </c>
      <c r="AH129" s="14">
        <v>179.0</v>
      </c>
      <c r="AI129" s="14">
        <v>195.0</v>
      </c>
      <c r="AJ129" s="14">
        <v>3.0</v>
      </c>
      <c r="AK129" s="14">
        <v>176.0</v>
      </c>
      <c r="AL129" s="14" t="s">
        <v>441</v>
      </c>
      <c r="AM129" s="14" t="s">
        <v>442</v>
      </c>
      <c r="AN129" s="14" t="s">
        <v>443</v>
      </c>
      <c r="AO129" s="14" t="s">
        <v>1035</v>
      </c>
      <c r="AP129" s="14" t="s">
        <v>1036</v>
      </c>
      <c r="AQ129" s="14" t="s">
        <v>99</v>
      </c>
      <c r="AR129" s="14" t="s">
        <v>1037</v>
      </c>
      <c r="AS129" s="14" t="s">
        <v>1038</v>
      </c>
      <c r="AT129" s="14" t="s">
        <v>2857</v>
      </c>
      <c r="AU129" s="14">
        <v>2015.0</v>
      </c>
      <c r="AV129" s="14">
        <v>503.0</v>
      </c>
      <c r="AW129" s="14" t="s">
        <v>99</v>
      </c>
      <c r="AX129" s="14" t="s">
        <v>99</v>
      </c>
      <c r="AY129" s="14" t="s">
        <v>99</v>
      </c>
      <c r="AZ129" s="14" t="s">
        <v>1738</v>
      </c>
      <c r="BA129" s="14" t="s">
        <v>99</v>
      </c>
      <c r="BB129" s="14">
        <v>3.0</v>
      </c>
      <c r="BC129" s="14">
        <v>9.0</v>
      </c>
      <c r="BD129" s="14" t="s">
        <v>99</v>
      </c>
      <c r="BE129" s="14" t="s">
        <v>2876</v>
      </c>
      <c r="BF129" s="15" t="str">
        <f>HYPERLINK("http://dx.doi.org/10.1016/j.scitotenv.2014.06.081","http://dx.doi.org/10.1016/j.scitotenv.2014.06.081")</f>
        <v>http://dx.doi.org/10.1016/j.scitotenv.2014.06.081</v>
      </c>
      <c r="BG129" s="14" t="s">
        <v>99</v>
      </c>
      <c r="BH129" s="14" t="s">
        <v>99</v>
      </c>
      <c r="BI129" s="14">
        <v>7.0</v>
      </c>
      <c r="BJ129" s="14" t="s">
        <v>1041</v>
      </c>
      <c r="BK129" s="14" t="s">
        <v>122</v>
      </c>
      <c r="BL129" s="14" t="s">
        <v>260</v>
      </c>
      <c r="BM129" s="14" t="s">
        <v>2877</v>
      </c>
      <c r="BN129" s="14">
        <v>2.5005236E7</v>
      </c>
      <c r="BO129" s="14" t="s">
        <v>2878</v>
      </c>
      <c r="BP129" s="14" t="s">
        <v>99</v>
      </c>
      <c r="BQ129" s="14" t="s">
        <v>99</v>
      </c>
      <c r="BR129" s="14" t="s">
        <v>124</v>
      </c>
      <c r="BS129" s="14" t="s">
        <v>2879</v>
      </c>
      <c r="BT129" s="14" t="str">
        <f>HYPERLINK("https%3A%2F%2Fwww.webofscience.com%2Fwos%2Fwoscc%2Ffull-record%2FWOS:000345729000002","View Full Record in Web of Science")</f>
        <v>View Full Record in Web of Science</v>
      </c>
    </row>
    <row r="130" ht="12.75" customHeight="1">
      <c r="A130" s="14" t="s">
        <v>97</v>
      </c>
      <c r="B130" s="14" t="s">
        <v>2880</v>
      </c>
      <c r="C130" s="14" t="s">
        <v>99</v>
      </c>
      <c r="D130" s="14" t="s">
        <v>99</v>
      </c>
      <c r="E130" s="14" t="s">
        <v>99</v>
      </c>
      <c r="F130" s="14" t="s">
        <v>2881</v>
      </c>
      <c r="G130" s="14" t="s">
        <v>99</v>
      </c>
      <c r="H130" s="14" t="s">
        <v>99</v>
      </c>
      <c r="I130" s="14" t="s">
        <v>2882</v>
      </c>
      <c r="J130" s="14" t="s">
        <v>2883</v>
      </c>
      <c r="K130" s="14" t="s">
        <v>99</v>
      </c>
      <c r="L130" s="14" t="s">
        <v>99</v>
      </c>
      <c r="M130" s="14" t="s">
        <v>103</v>
      </c>
      <c r="N130" s="14" t="s">
        <v>2284</v>
      </c>
      <c r="O130" s="14" t="s">
        <v>2884</v>
      </c>
      <c r="P130" s="14" t="s">
        <v>2885</v>
      </c>
      <c r="Q130" s="14" t="s">
        <v>2886</v>
      </c>
      <c r="R130" s="14" t="s">
        <v>99</v>
      </c>
      <c r="S130" s="14" t="s">
        <v>99</v>
      </c>
      <c r="T130" s="14" t="s">
        <v>2887</v>
      </c>
      <c r="U130" s="14" t="s">
        <v>2888</v>
      </c>
      <c r="V130" s="14" t="s">
        <v>2889</v>
      </c>
      <c r="W130" s="14" t="s">
        <v>2890</v>
      </c>
      <c r="X130" s="14" t="s">
        <v>2891</v>
      </c>
      <c r="Y130" s="14" t="s">
        <v>2892</v>
      </c>
      <c r="Z130" s="14" t="s">
        <v>2893</v>
      </c>
      <c r="AA130" s="14" t="s">
        <v>2894</v>
      </c>
      <c r="AB130" s="14" t="s">
        <v>2895</v>
      </c>
      <c r="AC130" s="14" t="s">
        <v>99</v>
      </c>
      <c r="AD130" s="14" t="s">
        <v>99</v>
      </c>
      <c r="AE130" s="14" t="s">
        <v>99</v>
      </c>
      <c r="AF130" s="14" t="s">
        <v>99</v>
      </c>
      <c r="AG130" s="14">
        <v>143.0</v>
      </c>
      <c r="AH130" s="14">
        <v>87.0</v>
      </c>
      <c r="AI130" s="14">
        <v>92.0</v>
      </c>
      <c r="AJ130" s="14">
        <v>3.0</v>
      </c>
      <c r="AK130" s="14">
        <v>19.0</v>
      </c>
      <c r="AL130" s="14" t="s">
        <v>441</v>
      </c>
      <c r="AM130" s="14" t="s">
        <v>442</v>
      </c>
      <c r="AN130" s="14" t="s">
        <v>443</v>
      </c>
      <c r="AO130" s="14" t="s">
        <v>2896</v>
      </c>
      <c r="AP130" s="14" t="s">
        <v>2897</v>
      </c>
      <c r="AQ130" s="14" t="s">
        <v>99</v>
      </c>
      <c r="AR130" s="14" t="s">
        <v>2898</v>
      </c>
      <c r="AS130" s="14" t="s">
        <v>2899</v>
      </c>
      <c r="AT130" s="14" t="s">
        <v>935</v>
      </c>
      <c r="AU130" s="14">
        <v>2015.0</v>
      </c>
      <c r="AV130" s="14">
        <v>141.0</v>
      </c>
      <c r="AW130" s="14" t="s">
        <v>99</v>
      </c>
      <c r="AX130" s="14" t="s">
        <v>99</v>
      </c>
      <c r="AY130" s="14" t="s">
        <v>99</v>
      </c>
      <c r="AZ130" s="14" t="s">
        <v>1738</v>
      </c>
      <c r="BA130" s="14" t="s">
        <v>99</v>
      </c>
      <c r="BB130" s="14">
        <v>18.0</v>
      </c>
      <c r="BC130" s="14">
        <v>33.0</v>
      </c>
      <c r="BD130" s="14" t="s">
        <v>99</v>
      </c>
      <c r="BE130" s="14" t="s">
        <v>2900</v>
      </c>
      <c r="BF130" s="15" t="str">
        <f>HYPERLINK("http://dx.doi.org/10.1016/j.jmarsys.2014.03.012","http://dx.doi.org/10.1016/j.jmarsys.2014.03.012")</f>
        <v>http://dx.doi.org/10.1016/j.jmarsys.2014.03.012</v>
      </c>
      <c r="BG130" s="14" t="s">
        <v>99</v>
      </c>
      <c r="BH130" s="14" t="s">
        <v>99</v>
      </c>
      <c r="BI130" s="14">
        <v>16.0</v>
      </c>
      <c r="BJ130" s="14" t="s">
        <v>2901</v>
      </c>
      <c r="BK130" s="14" t="s">
        <v>2311</v>
      </c>
      <c r="BL130" s="14" t="s">
        <v>2902</v>
      </c>
      <c r="BM130" s="14" t="s">
        <v>2903</v>
      </c>
      <c r="BN130" s="14" t="s">
        <v>99</v>
      </c>
      <c r="BO130" s="14" t="s">
        <v>99</v>
      </c>
      <c r="BP130" s="14" t="s">
        <v>99</v>
      </c>
      <c r="BQ130" s="14" t="s">
        <v>99</v>
      </c>
      <c r="BR130" s="14" t="s">
        <v>124</v>
      </c>
      <c r="BS130" s="14" t="s">
        <v>2904</v>
      </c>
      <c r="BT130" s="14" t="str">
        <f>HYPERLINK("https%3A%2F%2Fwww.webofscience.com%2Fwos%2Fwoscc%2Ffull-record%2FWOS:000347868800003","View Full Record in Web of Science")</f>
        <v>View Full Record in Web of Science</v>
      </c>
    </row>
    <row r="131" ht="12.75" customHeight="1">
      <c r="A131" s="14" t="s">
        <v>97</v>
      </c>
      <c r="B131" s="14" t="s">
        <v>2905</v>
      </c>
      <c r="C131" s="14" t="s">
        <v>99</v>
      </c>
      <c r="D131" s="14" t="s">
        <v>99</v>
      </c>
      <c r="E131" s="14" t="s">
        <v>99</v>
      </c>
      <c r="F131" s="14" t="s">
        <v>2906</v>
      </c>
      <c r="G131" s="14" t="s">
        <v>99</v>
      </c>
      <c r="H131" s="14" t="s">
        <v>99</v>
      </c>
      <c r="I131" s="14" t="s">
        <v>2907</v>
      </c>
      <c r="J131" s="14" t="s">
        <v>2908</v>
      </c>
      <c r="K131" s="14" t="s">
        <v>99</v>
      </c>
      <c r="L131" s="14" t="s">
        <v>99</v>
      </c>
      <c r="M131" s="14" t="s">
        <v>103</v>
      </c>
      <c r="N131" s="14" t="s">
        <v>104</v>
      </c>
      <c r="O131" s="14" t="s">
        <v>99</v>
      </c>
      <c r="P131" s="14" t="s">
        <v>99</v>
      </c>
      <c r="Q131" s="14" t="s">
        <v>99</v>
      </c>
      <c r="R131" s="14" t="s">
        <v>99</v>
      </c>
      <c r="S131" s="14" t="s">
        <v>99</v>
      </c>
      <c r="T131" s="14" t="s">
        <v>2909</v>
      </c>
      <c r="U131" s="14" t="s">
        <v>2910</v>
      </c>
      <c r="V131" s="14" t="s">
        <v>2911</v>
      </c>
      <c r="W131" s="14" t="s">
        <v>2912</v>
      </c>
      <c r="X131" s="14" t="s">
        <v>99</v>
      </c>
      <c r="Y131" s="14" t="s">
        <v>2913</v>
      </c>
      <c r="Z131" s="14" t="s">
        <v>2914</v>
      </c>
      <c r="AA131" s="14" t="s">
        <v>99</v>
      </c>
      <c r="AB131" s="14" t="s">
        <v>99</v>
      </c>
      <c r="AC131" s="14" t="s">
        <v>2915</v>
      </c>
      <c r="AD131" s="14" t="s">
        <v>2915</v>
      </c>
      <c r="AE131" s="14" t="s">
        <v>2916</v>
      </c>
      <c r="AF131" s="14" t="s">
        <v>99</v>
      </c>
      <c r="AG131" s="14">
        <v>65.0</v>
      </c>
      <c r="AH131" s="14">
        <v>6.0</v>
      </c>
      <c r="AI131" s="14">
        <v>9.0</v>
      </c>
      <c r="AJ131" s="14">
        <v>1.0</v>
      </c>
      <c r="AK131" s="14">
        <v>20.0</v>
      </c>
      <c r="AL131" s="14" t="s">
        <v>2917</v>
      </c>
      <c r="AM131" s="14" t="s">
        <v>2918</v>
      </c>
      <c r="AN131" s="14" t="s">
        <v>2919</v>
      </c>
      <c r="AO131" s="14" t="s">
        <v>2920</v>
      </c>
      <c r="AP131" s="14" t="s">
        <v>2921</v>
      </c>
      <c r="AQ131" s="14" t="s">
        <v>99</v>
      </c>
      <c r="AR131" s="14" t="s">
        <v>2908</v>
      </c>
      <c r="AS131" s="14" t="s">
        <v>2922</v>
      </c>
      <c r="AT131" s="14" t="s">
        <v>99</v>
      </c>
      <c r="AU131" s="14">
        <v>2015.0</v>
      </c>
      <c r="AV131" s="14">
        <v>217.0</v>
      </c>
      <c r="AW131" s="14" t="s">
        <v>99</v>
      </c>
      <c r="AX131" s="14" t="s">
        <v>99</v>
      </c>
      <c r="AY131" s="14" t="s">
        <v>99</v>
      </c>
      <c r="AZ131" s="14" t="s">
        <v>99</v>
      </c>
      <c r="BA131" s="14" t="s">
        <v>99</v>
      </c>
      <c r="BB131" s="14">
        <v>99.0</v>
      </c>
      <c r="BC131" s="14">
        <v>108.0</v>
      </c>
      <c r="BD131" s="14" t="s">
        <v>99</v>
      </c>
      <c r="BE131" s="14" t="s">
        <v>2923</v>
      </c>
      <c r="BF131" s="15" t="str">
        <f>HYPERLINK("http://dx.doi.org/10.1016/j.flora.2015.09.013","http://dx.doi.org/10.1016/j.flora.2015.09.013")</f>
        <v>http://dx.doi.org/10.1016/j.flora.2015.09.013</v>
      </c>
      <c r="BG131" s="14" t="s">
        <v>99</v>
      </c>
      <c r="BH131" s="14" t="s">
        <v>99</v>
      </c>
      <c r="BI131" s="14">
        <v>10.0</v>
      </c>
      <c r="BJ131" s="14" t="s">
        <v>2924</v>
      </c>
      <c r="BK131" s="14" t="s">
        <v>122</v>
      </c>
      <c r="BL131" s="14" t="s">
        <v>2925</v>
      </c>
      <c r="BM131" s="14" t="s">
        <v>2926</v>
      </c>
      <c r="BN131" s="14" t="s">
        <v>99</v>
      </c>
      <c r="BO131" s="14" t="s">
        <v>99</v>
      </c>
      <c r="BP131" s="14" t="s">
        <v>99</v>
      </c>
      <c r="BQ131" s="14" t="s">
        <v>99</v>
      </c>
      <c r="BR131" s="14" t="s">
        <v>124</v>
      </c>
      <c r="BS131" s="14" t="s">
        <v>2927</v>
      </c>
      <c r="BT131" s="14" t="str">
        <f>HYPERLINK("https%3A%2F%2Fwww.webofscience.com%2Fwos%2Fwoscc%2Ffull-record%2FWOS:000367110300012","View Full Record in Web of Science")</f>
        <v>View Full Record in Web of Science</v>
      </c>
    </row>
    <row r="132" ht="12.75" customHeight="1">
      <c r="A132" s="14" t="s">
        <v>97</v>
      </c>
      <c r="B132" s="14" t="s">
        <v>2928</v>
      </c>
      <c r="C132" s="14" t="s">
        <v>99</v>
      </c>
      <c r="D132" s="14" t="s">
        <v>99</v>
      </c>
      <c r="E132" s="14" t="s">
        <v>99</v>
      </c>
      <c r="F132" s="14" t="s">
        <v>2929</v>
      </c>
      <c r="G132" s="14" t="s">
        <v>99</v>
      </c>
      <c r="H132" s="14" t="s">
        <v>99</v>
      </c>
      <c r="I132" s="14" t="s">
        <v>2930</v>
      </c>
      <c r="J132" s="14" t="s">
        <v>2500</v>
      </c>
      <c r="K132" s="14" t="s">
        <v>99</v>
      </c>
      <c r="L132" s="14" t="s">
        <v>99</v>
      </c>
      <c r="M132" s="14" t="s">
        <v>103</v>
      </c>
      <c r="N132" s="14" t="s">
        <v>104</v>
      </c>
      <c r="O132" s="14" t="s">
        <v>99</v>
      </c>
      <c r="P132" s="14" t="s">
        <v>99</v>
      </c>
      <c r="Q132" s="14" t="s">
        <v>99</v>
      </c>
      <c r="R132" s="14" t="s">
        <v>99</v>
      </c>
      <c r="S132" s="14" t="s">
        <v>99</v>
      </c>
      <c r="T132" s="14" t="s">
        <v>99</v>
      </c>
      <c r="U132" s="14" t="s">
        <v>2931</v>
      </c>
      <c r="V132" s="14" t="s">
        <v>2932</v>
      </c>
      <c r="W132" s="14" t="s">
        <v>2933</v>
      </c>
      <c r="X132" s="14" t="s">
        <v>2934</v>
      </c>
      <c r="Y132" s="14" t="s">
        <v>2935</v>
      </c>
      <c r="Z132" s="14" t="s">
        <v>2936</v>
      </c>
      <c r="AA132" s="14" t="s">
        <v>2937</v>
      </c>
      <c r="AB132" s="14" t="s">
        <v>2938</v>
      </c>
      <c r="AC132" s="14" t="s">
        <v>2939</v>
      </c>
      <c r="AD132" s="14" t="s">
        <v>2940</v>
      </c>
      <c r="AE132" s="14" t="s">
        <v>2941</v>
      </c>
      <c r="AF132" s="14" t="s">
        <v>99</v>
      </c>
      <c r="AG132" s="14">
        <v>42.0</v>
      </c>
      <c r="AH132" s="14">
        <v>3293.0</v>
      </c>
      <c r="AI132" s="14">
        <v>3869.0</v>
      </c>
      <c r="AJ132" s="14">
        <v>46.0</v>
      </c>
      <c r="AK132" s="14">
        <v>2667.0</v>
      </c>
      <c r="AL132" s="14" t="s">
        <v>2512</v>
      </c>
      <c r="AM132" s="14" t="s">
        <v>2513</v>
      </c>
      <c r="AN132" s="14" t="s">
        <v>2514</v>
      </c>
      <c r="AO132" s="14" t="s">
        <v>2515</v>
      </c>
      <c r="AP132" s="14" t="s">
        <v>99</v>
      </c>
      <c r="AQ132" s="14" t="s">
        <v>99</v>
      </c>
      <c r="AR132" s="14" t="s">
        <v>2500</v>
      </c>
      <c r="AS132" s="14" t="s">
        <v>2516</v>
      </c>
      <c r="AT132" s="14" t="s">
        <v>2942</v>
      </c>
      <c r="AU132" s="14">
        <v>2014.0</v>
      </c>
      <c r="AV132" s="14">
        <v>9.0</v>
      </c>
      <c r="AW132" s="14">
        <v>12.0</v>
      </c>
      <c r="AX132" s="14" t="s">
        <v>99</v>
      </c>
      <c r="AY132" s="14" t="s">
        <v>99</v>
      </c>
      <c r="AZ132" s="14" t="s">
        <v>99</v>
      </c>
      <c r="BA132" s="14" t="s">
        <v>99</v>
      </c>
      <c r="BB132" s="14" t="s">
        <v>99</v>
      </c>
      <c r="BC132" s="14" t="s">
        <v>99</v>
      </c>
      <c r="BD132" s="14" t="s">
        <v>2943</v>
      </c>
      <c r="BE132" s="14" t="s">
        <v>2944</v>
      </c>
      <c r="BF132" s="15" t="str">
        <f>HYPERLINK("http://dx.doi.org/10.1371/journal.pone.0111913","http://dx.doi.org/10.1371/journal.pone.0111913")</f>
        <v>http://dx.doi.org/10.1371/journal.pone.0111913</v>
      </c>
      <c r="BG132" s="14" t="s">
        <v>99</v>
      </c>
      <c r="BH132" s="14" t="s">
        <v>99</v>
      </c>
      <c r="BI132" s="14">
        <v>15.0</v>
      </c>
      <c r="BJ132" s="14" t="s">
        <v>799</v>
      </c>
      <c r="BK132" s="14" t="s">
        <v>122</v>
      </c>
      <c r="BL132" s="14" t="s">
        <v>801</v>
      </c>
      <c r="BM132" s="14" t="s">
        <v>2945</v>
      </c>
      <c r="BN132" s="14">
        <v>2.5494041E7</v>
      </c>
      <c r="BO132" s="14" t="s">
        <v>1251</v>
      </c>
      <c r="BP132" s="14" t="s">
        <v>99</v>
      </c>
      <c r="BQ132" s="14" t="s">
        <v>99</v>
      </c>
      <c r="BR132" s="14" t="s">
        <v>124</v>
      </c>
      <c r="BS132" s="14" t="s">
        <v>2946</v>
      </c>
      <c r="BT132" s="14" t="str">
        <f>HYPERLINK("https%3A%2F%2Fwww.webofscience.com%2Fwos%2Fwoscc%2Ffull-record%2FWOS:000346611400007","View Full Record in Web of Science")</f>
        <v>View Full Record in Web of Science</v>
      </c>
    </row>
    <row r="133" ht="12.75" customHeight="1">
      <c r="A133" s="14" t="s">
        <v>97</v>
      </c>
      <c r="B133" s="14" t="s">
        <v>2947</v>
      </c>
      <c r="C133" s="14" t="s">
        <v>99</v>
      </c>
      <c r="D133" s="14" t="s">
        <v>99</v>
      </c>
      <c r="E133" s="14" t="s">
        <v>99</v>
      </c>
      <c r="F133" s="14" t="s">
        <v>2948</v>
      </c>
      <c r="G133" s="14" t="s">
        <v>99</v>
      </c>
      <c r="H133" s="14" t="s">
        <v>99</v>
      </c>
      <c r="I133" s="14" t="s">
        <v>2949</v>
      </c>
      <c r="J133" s="14" t="s">
        <v>2950</v>
      </c>
      <c r="K133" s="14" t="s">
        <v>99</v>
      </c>
      <c r="L133" s="14" t="s">
        <v>99</v>
      </c>
      <c r="M133" s="14" t="s">
        <v>103</v>
      </c>
      <c r="N133" s="14" t="s">
        <v>104</v>
      </c>
      <c r="O133" s="14" t="s">
        <v>99</v>
      </c>
      <c r="P133" s="14" t="s">
        <v>99</v>
      </c>
      <c r="Q133" s="14" t="s">
        <v>99</v>
      </c>
      <c r="R133" s="14" t="s">
        <v>99</v>
      </c>
      <c r="S133" s="14" t="s">
        <v>99</v>
      </c>
      <c r="T133" s="14" t="s">
        <v>2951</v>
      </c>
      <c r="U133" s="14" t="s">
        <v>2952</v>
      </c>
      <c r="V133" s="14" t="s">
        <v>2953</v>
      </c>
      <c r="W133" s="14" t="s">
        <v>2954</v>
      </c>
      <c r="X133" s="14" t="s">
        <v>2955</v>
      </c>
      <c r="Y133" s="14" t="s">
        <v>2956</v>
      </c>
      <c r="Z133" s="14" t="s">
        <v>2957</v>
      </c>
      <c r="AA133" s="14" t="s">
        <v>2958</v>
      </c>
      <c r="AB133" s="14" t="s">
        <v>2959</v>
      </c>
      <c r="AC133" s="14" t="s">
        <v>2960</v>
      </c>
      <c r="AD133" s="14" t="s">
        <v>2961</v>
      </c>
      <c r="AE133" s="14" t="s">
        <v>2962</v>
      </c>
      <c r="AF133" s="14" t="s">
        <v>99</v>
      </c>
      <c r="AG133" s="14">
        <v>64.0</v>
      </c>
      <c r="AH133" s="14">
        <v>21.0</v>
      </c>
      <c r="AI133" s="14">
        <v>25.0</v>
      </c>
      <c r="AJ133" s="14">
        <v>2.0</v>
      </c>
      <c r="AK133" s="14">
        <v>158.0</v>
      </c>
      <c r="AL133" s="14" t="s">
        <v>341</v>
      </c>
      <c r="AM133" s="14" t="s">
        <v>342</v>
      </c>
      <c r="AN133" s="14" t="s">
        <v>343</v>
      </c>
      <c r="AO133" s="14" t="s">
        <v>2963</v>
      </c>
      <c r="AP133" s="14" t="s">
        <v>2964</v>
      </c>
      <c r="AQ133" s="14" t="s">
        <v>99</v>
      </c>
      <c r="AR133" s="14" t="s">
        <v>2965</v>
      </c>
      <c r="AS133" s="14" t="s">
        <v>2966</v>
      </c>
      <c r="AT133" s="14" t="s">
        <v>1058</v>
      </c>
      <c r="AU133" s="14">
        <v>2014.0</v>
      </c>
      <c r="AV133" s="14">
        <v>69.0</v>
      </c>
      <c r="AW133" s="14">
        <v>4.0</v>
      </c>
      <c r="AX133" s="14" t="s">
        <v>99</v>
      </c>
      <c r="AY133" s="14" t="s">
        <v>99</v>
      </c>
      <c r="AZ133" s="14" t="s">
        <v>99</v>
      </c>
      <c r="BA133" s="14" t="s">
        <v>99</v>
      </c>
      <c r="BB133" s="14">
        <v>596.0</v>
      </c>
      <c r="BC133" s="14">
        <v>610.0</v>
      </c>
      <c r="BD133" s="14" t="s">
        <v>99</v>
      </c>
      <c r="BE133" s="14" t="s">
        <v>2967</v>
      </c>
      <c r="BF133" s="15" t="str">
        <f>HYPERLINK("http://dx.doi.org/10.1111/gfs.12073","http://dx.doi.org/10.1111/gfs.12073")</f>
        <v>http://dx.doi.org/10.1111/gfs.12073</v>
      </c>
      <c r="BG133" s="14" t="s">
        <v>99</v>
      </c>
      <c r="BH133" s="14" t="s">
        <v>99</v>
      </c>
      <c r="BI133" s="14">
        <v>15.0</v>
      </c>
      <c r="BJ133" s="14" t="s">
        <v>2968</v>
      </c>
      <c r="BK133" s="14" t="s">
        <v>122</v>
      </c>
      <c r="BL133" s="14" t="s">
        <v>2969</v>
      </c>
      <c r="BM133" s="14" t="s">
        <v>2970</v>
      </c>
      <c r="BN133" s="14" t="s">
        <v>99</v>
      </c>
      <c r="BO133" s="14" t="s">
        <v>99</v>
      </c>
      <c r="BP133" s="14" t="s">
        <v>99</v>
      </c>
      <c r="BQ133" s="14" t="s">
        <v>99</v>
      </c>
      <c r="BR133" s="14" t="s">
        <v>124</v>
      </c>
      <c r="BS133" s="14" t="s">
        <v>2971</v>
      </c>
      <c r="BT133" s="14" t="str">
        <f>HYPERLINK("https%3A%2F%2Fwww.webofscience.com%2Fwos%2Fwoscc%2Ffull-record%2FWOS:000343754300004","View Full Record in Web of Science")</f>
        <v>View Full Record in Web of Science</v>
      </c>
    </row>
    <row r="134" ht="12.75" customHeight="1">
      <c r="A134" s="14" t="s">
        <v>97</v>
      </c>
      <c r="B134" s="14" t="s">
        <v>2972</v>
      </c>
      <c r="C134" s="14" t="s">
        <v>99</v>
      </c>
      <c r="D134" s="14" t="s">
        <v>99</v>
      </c>
      <c r="E134" s="14" t="s">
        <v>99</v>
      </c>
      <c r="F134" s="14" t="s">
        <v>2973</v>
      </c>
      <c r="G134" s="14" t="s">
        <v>99</v>
      </c>
      <c r="H134" s="14" t="s">
        <v>99</v>
      </c>
      <c r="I134" s="14" t="s">
        <v>2974</v>
      </c>
      <c r="J134" s="14" t="s">
        <v>2500</v>
      </c>
      <c r="K134" s="14" t="s">
        <v>99</v>
      </c>
      <c r="L134" s="14" t="s">
        <v>99</v>
      </c>
      <c r="M134" s="14" t="s">
        <v>103</v>
      </c>
      <c r="N134" s="14" t="s">
        <v>104</v>
      </c>
      <c r="O134" s="14" t="s">
        <v>99</v>
      </c>
      <c r="P134" s="14" t="s">
        <v>99</v>
      </c>
      <c r="Q134" s="14" t="s">
        <v>99</v>
      </c>
      <c r="R134" s="14" t="s">
        <v>99</v>
      </c>
      <c r="S134" s="14" t="s">
        <v>99</v>
      </c>
      <c r="T134" s="14" t="s">
        <v>99</v>
      </c>
      <c r="U134" s="14" t="s">
        <v>2975</v>
      </c>
      <c r="V134" s="14" t="s">
        <v>2976</v>
      </c>
      <c r="W134" s="14" t="s">
        <v>2977</v>
      </c>
      <c r="X134" s="14" t="s">
        <v>2978</v>
      </c>
      <c r="Y134" s="14" t="s">
        <v>2979</v>
      </c>
      <c r="Z134" s="14" t="s">
        <v>2980</v>
      </c>
      <c r="AA134" s="14" t="s">
        <v>2981</v>
      </c>
      <c r="AB134" s="14" t="s">
        <v>2982</v>
      </c>
      <c r="AC134" s="14" t="s">
        <v>2983</v>
      </c>
      <c r="AD134" s="14" t="s">
        <v>2984</v>
      </c>
      <c r="AE134" s="14" t="s">
        <v>2985</v>
      </c>
      <c r="AF134" s="14" t="s">
        <v>99</v>
      </c>
      <c r="AG134" s="14">
        <v>38.0</v>
      </c>
      <c r="AH134" s="14">
        <v>72.0</v>
      </c>
      <c r="AI134" s="14">
        <v>79.0</v>
      </c>
      <c r="AJ134" s="14">
        <v>0.0</v>
      </c>
      <c r="AK134" s="14">
        <v>71.0</v>
      </c>
      <c r="AL134" s="14" t="s">
        <v>2512</v>
      </c>
      <c r="AM134" s="14" t="s">
        <v>2513</v>
      </c>
      <c r="AN134" s="14" t="s">
        <v>2514</v>
      </c>
      <c r="AO134" s="14" t="s">
        <v>2515</v>
      </c>
      <c r="AP134" s="14" t="s">
        <v>99</v>
      </c>
      <c r="AQ134" s="14" t="s">
        <v>99</v>
      </c>
      <c r="AR134" s="14" t="s">
        <v>2500</v>
      </c>
      <c r="AS134" s="14" t="s">
        <v>2516</v>
      </c>
      <c r="AT134" s="14" t="s">
        <v>2986</v>
      </c>
      <c r="AU134" s="14">
        <v>2014.0</v>
      </c>
      <c r="AV134" s="14">
        <v>9.0</v>
      </c>
      <c r="AW134" s="14">
        <v>11.0</v>
      </c>
      <c r="AX134" s="14" t="s">
        <v>99</v>
      </c>
      <c r="AY134" s="14" t="s">
        <v>99</v>
      </c>
      <c r="AZ134" s="14" t="s">
        <v>99</v>
      </c>
      <c r="BA134" s="14" t="s">
        <v>99</v>
      </c>
      <c r="BB134" s="14" t="s">
        <v>99</v>
      </c>
      <c r="BC134" s="14" t="s">
        <v>99</v>
      </c>
      <c r="BD134" s="14" t="s">
        <v>2987</v>
      </c>
      <c r="BE134" s="14" t="s">
        <v>2988</v>
      </c>
      <c r="BF134" s="15" t="str">
        <f>HYPERLINK("http://dx.doi.org/10.1371/journal.pone.0113934","http://dx.doi.org/10.1371/journal.pone.0113934")</f>
        <v>http://dx.doi.org/10.1371/journal.pone.0113934</v>
      </c>
      <c r="BG134" s="14" t="s">
        <v>99</v>
      </c>
      <c r="BH134" s="14" t="s">
        <v>99</v>
      </c>
      <c r="BI134" s="14">
        <v>17.0</v>
      </c>
      <c r="BJ134" s="14" t="s">
        <v>799</v>
      </c>
      <c r="BK134" s="14" t="s">
        <v>122</v>
      </c>
      <c r="BL134" s="14" t="s">
        <v>801</v>
      </c>
      <c r="BM134" s="14" t="s">
        <v>2989</v>
      </c>
      <c r="BN134" s="14">
        <v>2.5426636E7</v>
      </c>
      <c r="BO134" s="14" t="s">
        <v>1251</v>
      </c>
      <c r="BP134" s="14" t="s">
        <v>99</v>
      </c>
      <c r="BQ134" s="14" t="s">
        <v>99</v>
      </c>
      <c r="BR134" s="14" t="s">
        <v>124</v>
      </c>
      <c r="BS134" s="14" t="s">
        <v>2990</v>
      </c>
      <c r="BT134" s="14" t="str">
        <f>HYPERLINK("https%3A%2F%2Fwww.webofscience.com%2Fwos%2Fwoscc%2Ffull-record%2FWOS:000349145400104","View Full Record in Web of Science")</f>
        <v>View Full Record in Web of Science</v>
      </c>
    </row>
    <row r="135" ht="12.75" customHeight="1">
      <c r="A135" s="14" t="s">
        <v>97</v>
      </c>
      <c r="B135" s="14" t="s">
        <v>2991</v>
      </c>
      <c r="C135" s="14" t="s">
        <v>99</v>
      </c>
      <c r="D135" s="14" t="s">
        <v>99</v>
      </c>
      <c r="E135" s="14" t="s">
        <v>99</v>
      </c>
      <c r="F135" s="14" t="s">
        <v>2992</v>
      </c>
      <c r="G135" s="14" t="s">
        <v>99</v>
      </c>
      <c r="H135" s="14" t="s">
        <v>99</v>
      </c>
      <c r="I135" s="14" t="s">
        <v>2993</v>
      </c>
      <c r="J135" s="14" t="s">
        <v>2994</v>
      </c>
      <c r="K135" s="14" t="s">
        <v>99</v>
      </c>
      <c r="L135" s="14" t="s">
        <v>99</v>
      </c>
      <c r="M135" s="14" t="s">
        <v>103</v>
      </c>
      <c r="N135" s="14" t="s">
        <v>104</v>
      </c>
      <c r="O135" s="14" t="s">
        <v>99</v>
      </c>
      <c r="P135" s="14" t="s">
        <v>99</v>
      </c>
      <c r="Q135" s="14" t="s">
        <v>99</v>
      </c>
      <c r="R135" s="14" t="s">
        <v>99</v>
      </c>
      <c r="S135" s="14" t="s">
        <v>99</v>
      </c>
      <c r="T135" s="14" t="s">
        <v>2995</v>
      </c>
      <c r="U135" s="14" t="s">
        <v>2996</v>
      </c>
      <c r="V135" s="14" t="s">
        <v>2997</v>
      </c>
      <c r="W135" s="14" t="s">
        <v>2998</v>
      </c>
      <c r="X135" s="14" t="s">
        <v>2999</v>
      </c>
      <c r="Y135" s="14" t="s">
        <v>3000</v>
      </c>
      <c r="Z135" s="14" t="s">
        <v>3001</v>
      </c>
      <c r="AA135" s="14" t="s">
        <v>99</v>
      </c>
      <c r="AB135" s="14" t="s">
        <v>3002</v>
      </c>
      <c r="AC135" s="14" t="s">
        <v>99</v>
      </c>
      <c r="AD135" s="14" t="s">
        <v>99</v>
      </c>
      <c r="AE135" s="14" t="s">
        <v>99</v>
      </c>
      <c r="AF135" s="14" t="s">
        <v>99</v>
      </c>
      <c r="AG135" s="14">
        <v>53.0</v>
      </c>
      <c r="AH135" s="14">
        <v>3.0</v>
      </c>
      <c r="AI135" s="14">
        <v>3.0</v>
      </c>
      <c r="AJ135" s="14">
        <v>1.0</v>
      </c>
      <c r="AK135" s="14">
        <v>22.0</v>
      </c>
      <c r="AL135" s="14" t="s">
        <v>3003</v>
      </c>
      <c r="AM135" s="14" t="s">
        <v>3004</v>
      </c>
      <c r="AN135" s="14" t="s">
        <v>3005</v>
      </c>
      <c r="AO135" s="14" t="s">
        <v>3006</v>
      </c>
      <c r="AP135" s="14" t="s">
        <v>3007</v>
      </c>
      <c r="AQ135" s="14" t="s">
        <v>99</v>
      </c>
      <c r="AR135" s="14" t="s">
        <v>3008</v>
      </c>
      <c r="AS135" s="14" t="s">
        <v>3009</v>
      </c>
      <c r="AT135" s="14" t="s">
        <v>348</v>
      </c>
      <c r="AU135" s="14">
        <v>2014.0</v>
      </c>
      <c r="AV135" s="14">
        <v>225.0</v>
      </c>
      <c r="AW135" s="14">
        <v>11.0</v>
      </c>
      <c r="AX135" s="14" t="s">
        <v>99</v>
      </c>
      <c r="AY135" s="14" t="s">
        <v>99</v>
      </c>
      <c r="AZ135" s="14" t="s">
        <v>99</v>
      </c>
      <c r="BA135" s="14" t="s">
        <v>99</v>
      </c>
      <c r="BB135" s="14" t="s">
        <v>99</v>
      </c>
      <c r="BC135" s="14" t="s">
        <v>99</v>
      </c>
      <c r="BD135" s="14">
        <v>2186.0</v>
      </c>
      <c r="BE135" s="14" t="s">
        <v>3010</v>
      </c>
      <c r="BF135" s="15" t="str">
        <f>HYPERLINK("http://dx.doi.org/10.1007/s11270-014-2186-4","http://dx.doi.org/10.1007/s11270-014-2186-4")</f>
        <v>http://dx.doi.org/10.1007/s11270-014-2186-4</v>
      </c>
      <c r="BG135" s="14" t="s">
        <v>99</v>
      </c>
      <c r="BH135" s="14" t="s">
        <v>99</v>
      </c>
      <c r="BI135" s="14">
        <v>13.0</v>
      </c>
      <c r="BJ135" s="14" t="s">
        <v>3011</v>
      </c>
      <c r="BK135" s="14" t="s">
        <v>122</v>
      </c>
      <c r="BL135" s="14" t="s">
        <v>3012</v>
      </c>
      <c r="BM135" s="14" t="s">
        <v>3013</v>
      </c>
      <c r="BN135" s="14" t="s">
        <v>99</v>
      </c>
      <c r="BO135" s="14" t="s">
        <v>425</v>
      </c>
      <c r="BP135" s="14" t="s">
        <v>99</v>
      </c>
      <c r="BQ135" s="14" t="s">
        <v>99</v>
      </c>
      <c r="BR135" s="14" t="s">
        <v>124</v>
      </c>
      <c r="BS135" s="14" t="s">
        <v>3014</v>
      </c>
      <c r="BT135" s="14" t="str">
        <f>HYPERLINK("https%3A%2F%2Fwww.webofscience.com%2Fwos%2Fwoscc%2Ffull-record%2FWOS:000343913200027","View Full Record in Web of Science")</f>
        <v>View Full Record in Web of Science</v>
      </c>
    </row>
    <row r="136" ht="12.75" customHeight="1">
      <c r="A136" s="14" t="s">
        <v>97</v>
      </c>
      <c r="B136" s="14" t="s">
        <v>3015</v>
      </c>
      <c r="C136" s="14" t="s">
        <v>99</v>
      </c>
      <c r="D136" s="14" t="s">
        <v>99</v>
      </c>
      <c r="E136" s="14" t="s">
        <v>99</v>
      </c>
      <c r="F136" s="14" t="s">
        <v>3016</v>
      </c>
      <c r="G136" s="14" t="s">
        <v>99</v>
      </c>
      <c r="H136" s="14" t="s">
        <v>99</v>
      </c>
      <c r="I136" s="14" t="s">
        <v>3017</v>
      </c>
      <c r="J136" s="14" t="s">
        <v>3018</v>
      </c>
      <c r="K136" s="14" t="s">
        <v>99</v>
      </c>
      <c r="L136" s="14" t="s">
        <v>99</v>
      </c>
      <c r="M136" s="14" t="s">
        <v>103</v>
      </c>
      <c r="N136" s="14" t="s">
        <v>104</v>
      </c>
      <c r="O136" s="14" t="s">
        <v>99</v>
      </c>
      <c r="P136" s="14" t="s">
        <v>99</v>
      </c>
      <c r="Q136" s="14" t="s">
        <v>99</v>
      </c>
      <c r="R136" s="14" t="s">
        <v>99</v>
      </c>
      <c r="S136" s="14" t="s">
        <v>99</v>
      </c>
      <c r="T136" s="14" t="s">
        <v>3019</v>
      </c>
      <c r="U136" s="14" t="s">
        <v>3020</v>
      </c>
      <c r="V136" s="14" t="s">
        <v>3021</v>
      </c>
      <c r="W136" s="14" t="s">
        <v>3022</v>
      </c>
      <c r="X136" s="14" t="s">
        <v>3023</v>
      </c>
      <c r="Y136" s="14" t="s">
        <v>3024</v>
      </c>
      <c r="Z136" s="14" t="s">
        <v>3025</v>
      </c>
      <c r="AA136" s="14" t="s">
        <v>3026</v>
      </c>
      <c r="AB136" s="14" t="s">
        <v>3027</v>
      </c>
      <c r="AC136" s="14" t="s">
        <v>3028</v>
      </c>
      <c r="AD136" s="14" t="s">
        <v>3028</v>
      </c>
      <c r="AE136" s="14" t="s">
        <v>3029</v>
      </c>
      <c r="AF136" s="14" t="s">
        <v>99</v>
      </c>
      <c r="AG136" s="14">
        <v>85.0</v>
      </c>
      <c r="AH136" s="14">
        <v>25.0</v>
      </c>
      <c r="AI136" s="14">
        <v>27.0</v>
      </c>
      <c r="AJ136" s="14">
        <v>0.0</v>
      </c>
      <c r="AK136" s="14">
        <v>34.0</v>
      </c>
      <c r="AL136" s="14" t="s">
        <v>1033</v>
      </c>
      <c r="AM136" s="14" t="s">
        <v>442</v>
      </c>
      <c r="AN136" s="14" t="s">
        <v>1034</v>
      </c>
      <c r="AO136" s="14" t="s">
        <v>3030</v>
      </c>
      <c r="AP136" s="14" t="s">
        <v>3031</v>
      </c>
      <c r="AQ136" s="14" t="s">
        <v>99</v>
      </c>
      <c r="AR136" s="14" t="s">
        <v>3032</v>
      </c>
      <c r="AS136" s="14" t="s">
        <v>3033</v>
      </c>
      <c r="AT136" s="14" t="s">
        <v>2372</v>
      </c>
      <c r="AU136" s="14">
        <v>2014.0</v>
      </c>
      <c r="AV136" s="14">
        <v>121.0</v>
      </c>
      <c r="AW136" s="14" t="s">
        <v>99</v>
      </c>
      <c r="AX136" s="14" t="s">
        <v>99</v>
      </c>
      <c r="AY136" s="14" t="s">
        <v>99</v>
      </c>
      <c r="AZ136" s="14" t="s">
        <v>99</v>
      </c>
      <c r="BA136" s="14" t="s">
        <v>99</v>
      </c>
      <c r="BB136" s="14">
        <v>64.0</v>
      </c>
      <c r="BC136" s="14">
        <v>77.0</v>
      </c>
      <c r="BD136" s="14" t="s">
        <v>99</v>
      </c>
      <c r="BE136" s="14" t="s">
        <v>3034</v>
      </c>
      <c r="BF136" s="15" t="str">
        <f>HYPERLINK("http://dx.doi.org/10.1016/j.gloplacha.2014.07.007","http://dx.doi.org/10.1016/j.gloplacha.2014.07.007")</f>
        <v>http://dx.doi.org/10.1016/j.gloplacha.2014.07.007</v>
      </c>
      <c r="BG136" s="14" t="s">
        <v>99</v>
      </c>
      <c r="BH136" s="14" t="s">
        <v>99</v>
      </c>
      <c r="BI136" s="14">
        <v>14.0</v>
      </c>
      <c r="BJ136" s="14" t="s">
        <v>3035</v>
      </c>
      <c r="BK136" s="14" t="s">
        <v>800</v>
      </c>
      <c r="BL136" s="14" t="s">
        <v>3036</v>
      </c>
      <c r="BM136" s="14" t="s">
        <v>3037</v>
      </c>
      <c r="BN136" s="14" t="s">
        <v>99</v>
      </c>
      <c r="BO136" s="14" t="s">
        <v>99</v>
      </c>
      <c r="BP136" s="14" t="s">
        <v>99</v>
      </c>
      <c r="BQ136" s="14" t="s">
        <v>99</v>
      </c>
      <c r="BR136" s="14" t="s">
        <v>124</v>
      </c>
      <c r="BS136" s="14" t="s">
        <v>3038</v>
      </c>
      <c r="BT136" s="14" t="str">
        <f>HYPERLINK("https%3A%2F%2Fwww.webofscience.com%2Fwos%2Fwoscc%2Ffull-record%2FWOS:000341558700007","View Full Record in Web of Science")</f>
        <v>View Full Record in Web of Science</v>
      </c>
    </row>
    <row r="137" ht="12.75" customHeight="1">
      <c r="A137" s="14" t="s">
        <v>97</v>
      </c>
      <c r="B137" s="14" t="s">
        <v>3039</v>
      </c>
      <c r="C137" s="14" t="s">
        <v>99</v>
      </c>
      <c r="D137" s="14" t="s">
        <v>99</v>
      </c>
      <c r="E137" s="14" t="s">
        <v>99</v>
      </c>
      <c r="F137" s="14" t="s">
        <v>3040</v>
      </c>
      <c r="G137" s="14" t="s">
        <v>99</v>
      </c>
      <c r="H137" s="14" t="s">
        <v>99</v>
      </c>
      <c r="I137" s="14" t="s">
        <v>3041</v>
      </c>
      <c r="J137" s="14" t="s">
        <v>3042</v>
      </c>
      <c r="K137" s="14" t="s">
        <v>99</v>
      </c>
      <c r="L137" s="14" t="s">
        <v>99</v>
      </c>
      <c r="M137" s="14" t="s">
        <v>103</v>
      </c>
      <c r="N137" s="14" t="s">
        <v>104</v>
      </c>
      <c r="O137" s="14" t="s">
        <v>99</v>
      </c>
      <c r="P137" s="14" t="s">
        <v>99</v>
      </c>
      <c r="Q137" s="14" t="s">
        <v>99</v>
      </c>
      <c r="R137" s="14" t="s">
        <v>99</v>
      </c>
      <c r="S137" s="14" t="s">
        <v>99</v>
      </c>
      <c r="T137" s="14" t="s">
        <v>3043</v>
      </c>
      <c r="U137" s="14" t="s">
        <v>3044</v>
      </c>
      <c r="V137" s="14" t="s">
        <v>3045</v>
      </c>
      <c r="W137" s="14" t="s">
        <v>3046</v>
      </c>
      <c r="X137" s="14" t="s">
        <v>3047</v>
      </c>
      <c r="Y137" s="14" t="s">
        <v>3048</v>
      </c>
      <c r="Z137" s="14" t="s">
        <v>3049</v>
      </c>
      <c r="AA137" s="14" t="s">
        <v>99</v>
      </c>
      <c r="AB137" s="14" t="s">
        <v>3050</v>
      </c>
      <c r="AC137" s="14" t="s">
        <v>3051</v>
      </c>
      <c r="AD137" s="14" t="s">
        <v>3051</v>
      </c>
      <c r="AE137" s="14" t="s">
        <v>3052</v>
      </c>
      <c r="AF137" s="14" t="s">
        <v>99</v>
      </c>
      <c r="AG137" s="14">
        <v>36.0</v>
      </c>
      <c r="AH137" s="14">
        <v>6.0</v>
      </c>
      <c r="AI137" s="14">
        <v>7.0</v>
      </c>
      <c r="AJ137" s="14">
        <v>0.0</v>
      </c>
      <c r="AK137" s="14">
        <v>36.0</v>
      </c>
      <c r="AL137" s="14" t="s">
        <v>3042</v>
      </c>
      <c r="AM137" s="14" t="s">
        <v>3053</v>
      </c>
      <c r="AN137" s="14" t="s">
        <v>3054</v>
      </c>
      <c r="AO137" s="14" t="s">
        <v>3055</v>
      </c>
      <c r="AP137" s="14" t="s">
        <v>3056</v>
      </c>
      <c r="AQ137" s="14" t="s">
        <v>99</v>
      </c>
      <c r="AR137" s="14" t="s">
        <v>3057</v>
      </c>
      <c r="AS137" s="14" t="s">
        <v>3058</v>
      </c>
      <c r="AT137" s="14" t="s">
        <v>421</v>
      </c>
      <c r="AU137" s="14">
        <v>2014.0</v>
      </c>
      <c r="AV137" s="14">
        <v>62.0</v>
      </c>
      <c r="AW137" s="14" t="s">
        <v>99</v>
      </c>
      <c r="AX137" s="14" t="s">
        <v>99</v>
      </c>
      <c r="AY137" s="14">
        <v>3.0</v>
      </c>
      <c r="AZ137" s="14" t="s">
        <v>99</v>
      </c>
      <c r="BA137" s="14" t="s">
        <v>99</v>
      </c>
      <c r="BB137" s="14">
        <v>273.0</v>
      </c>
      <c r="BC137" s="14">
        <v>286.0</v>
      </c>
      <c r="BD137" s="14" t="s">
        <v>99</v>
      </c>
      <c r="BE137" s="14" t="s">
        <v>3059</v>
      </c>
      <c r="BF137" s="15" t="str">
        <f>HYPERLINK("http://dx.doi.org/10.15517/rbt.v62i0.15922","http://dx.doi.org/10.15517/rbt.v62i0.15922")</f>
        <v>http://dx.doi.org/10.15517/rbt.v62i0.15922</v>
      </c>
      <c r="BG137" s="14" t="s">
        <v>99</v>
      </c>
      <c r="BH137" s="14" t="s">
        <v>99</v>
      </c>
      <c r="BI137" s="14">
        <v>14.0</v>
      </c>
      <c r="BJ137" s="14" t="s">
        <v>1803</v>
      </c>
      <c r="BK137" s="14" t="s">
        <v>122</v>
      </c>
      <c r="BL137" s="14" t="s">
        <v>1804</v>
      </c>
      <c r="BM137" s="14" t="s">
        <v>3060</v>
      </c>
      <c r="BN137" s="14" t="s">
        <v>99</v>
      </c>
      <c r="BO137" s="14" t="s">
        <v>2037</v>
      </c>
      <c r="BP137" s="14" t="s">
        <v>99</v>
      </c>
      <c r="BQ137" s="14" t="s">
        <v>99</v>
      </c>
      <c r="BR137" s="14" t="s">
        <v>124</v>
      </c>
      <c r="BS137" s="14" t="s">
        <v>3061</v>
      </c>
      <c r="BT137" s="14" t="str">
        <f>HYPERLINK("https%3A%2F%2Fwww.webofscience.com%2Fwos%2Fwoscc%2Ffull-record%2FWOS:000209580800026","View Full Record in Web of Science")</f>
        <v>View Full Record in Web of Science</v>
      </c>
    </row>
    <row r="138" ht="12.75" customHeight="1">
      <c r="A138" s="14" t="s">
        <v>97</v>
      </c>
      <c r="B138" s="14" t="s">
        <v>3062</v>
      </c>
      <c r="C138" s="14" t="s">
        <v>99</v>
      </c>
      <c r="D138" s="14" t="s">
        <v>99</v>
      </c>
      <c r="E138" s="14" t="s">
        <v>99</v>
      </c>
      <c r="F138" s="14" t="s">
        <v>3063</v>
      </c>
      <c r="G138" s="14" t="s">
        <v>99</v>
      </c>
      <c r="H138" s="14" t="s">
        <v>99</v>
      </c>
      <c r="I138" s="14" t="s">
        <v>3064</v>
      </c>
      <c r="J138" s="14" t="s">
        <v>3065</v>
      </c>
      <c r="K138" s="14" t="s">
        <v>99</v>
      </c>
      <c r="L138" s="14" t="s">
        <v>99</v>
      </c>
      <c r="M138" s="14" t="s">
        <v>103</v>
      </c>
      <c r="N138" s="14" t="s">
        <v>104</v>
      </c>
      <c r="O138" s="14" t="s">
        <v>99</v>
      </c>
      <c r="P138" s="14" t="s">
        <v>99</v>
      </c>
      <c r="Q138" s="14" t="s">
        <v>99</v>
      </c>
      <c r="R138" s="14" t="s">
        <v>99</v>
      </c>
      <c r="S138" s="14" t="s">
        <v>99</v>
      </c>
      <c r="T138" s="14" t="s">
        <v>3066</v>
      </c>
      <c r="U138" s="14" t="s">
        <v>3067</v>
      </c>
      <c r="V138" s="14" t="s">
        <v>3068</v>
      </c>
      <c r="W138" s="14" t="s">
        <v>3069</v>
      </c>
      <c r="X138" s="14" t="s">
        <v>3070</v>
      </c>
      <c r="Y138" s="14" t="s">
        <v>3071</v>
      </c>
      <c r="Z138" s="14" t="s">
        <v>3072</v>
      </c>
      <c r="AA138" s="14" t="s">
        <v>3073</v>
      </c>
      <c r="AB138" s="14" t="s">
        <v>3074</v>
      </c>
      <c r="AC138" s="14" t="s">
        <v>3075</v>
      </c>
      <c r="AD138" s="14" t="s">
        <v>3076</v>
      </c>
      <c r="AE138" s="14" t="s">
        <v>3077</v>
      </c>
      <c r="AF138" s="14" t="s">
        <v>99</v>
      </c>
      <c r="AG138" s="14">
        <v>58.0</v>
      </c>
      <c r="AH138" s="14">
        <v>93.0</v>
      </c>
      <c r="AI138" s="14">
        <v>104.0</v>
      </c>
      <c r="AJ138" s="14">
        <v>0.0</v>
      </c>
      <c r="AK138" s="14">
        <v>48.0</v>
      </c>
      <c r="AL138" s="14" t="s">
        <v>3078</v>
      </c>
      <c r="AM138" s="14" t="s">
        <v>468</v>
      </c>
      <c r="AN138" s="14" t="s">
        <v>3079</v>
      </c>
      <c r="AO138" s="14" t="s">
        <v>3080</v>
      </c>
      <c r="AP138" s="14" t="s">
        <v>3081</v>
      </c>
      <c r="AQ138" s="14" t="s">
        <v>99</v>
      </c>
      <c r="AR138" s="14" t="s">
        <v>3082</v>
      </c>
      <c r="AS138" s="14" t="s">
        <v>3083</v>
      </c>
      <c r="AT138" s="14" t="s">
        <v>3084</v>
      </c>
      <c r="AU138" s="14">
        <v>2014.0</v>
      </c>
      <c r="AV138" s="14">
        <v>71.0</v>
      </c>
      <c r="AW138" s="14">
        <v>7.0</v>
      </c>
      <c r="AX138" s="14" t="s">
        <v>99</v>
      </c>
      <c r="AY138" s="14" t="s">
        <v>99</v>
      </c>
      <c r="AZ138" s="14" t="s">
        <v>99</v>
      </c>
      <c r="BA138" s="14" t="s">
        <v>99</v>
      </c>
      <c r="BB138" s="14">
        <v>1593.0</v>
      </c>
      <c r="BC138" s="14">
        <v>1603.0</v>
      </c>
      <c r="BD138" s="14" t="s">
        <v>99</v>
      </c>
      <c r="BE138" s="14" t="s">
        <v>3085</v>
      </c>
      <c r="BF138" s="15" t="str">
        <f>HYPERLINK("http://dx.doi.org/10.1093/icesjms/fst222","http://dx.doi.org/10.1093/icesjms/fst222")</f>
        <v>http://dx.doi.org/10.1093/icesjms/fst222</v>
      </c>
      <c r="BG138" s="14" t="s">
        <v>99</v>
      </c>
      <c r="BH138" s="14" t="s">
        <v>99</v>
      </c>
      <c r="BI138" s="14">
        <v>11.0</v>
      </c>
      <c r="BJ138" s="14" t="s">
        <v>3086</v>
      </c>
      <c r="BK138" s="14" t="s">
        <v>122</v>
      </c>
      <c r="BL138" s="14" t="s">
        <v>3086</v>
      </c>
      <c r="BM138" s="14" t="s">
        <v>3087</v>
      </c>
      <c r="BN138" s="14" t="s">
        <v>99</v>
      </c>
      <c r="BO138" s="14" t="s">
        <v>373</v>
      </c>
      <c r="BP138" s="14" t="s">
        <v>99</v>
      </c>
      <c r="BQ138" s="14" t="s">
        <v>99</v>
      </c>
      <c r="BR138" s="14" t="s">
        <v>124</v>
      </c>
      <c r="BS138" s="14" t="s">
        <v>3088</v>
      </c>
      <c r="BT138" s="14" t="str">
        <f>HYPERLINK("https%3A%2F%2Fwww.webofscience.com%2Fwos%2Fwoscc%2Ffull-record%2FWOS:000343315900008","View Full Record in Web of Science")</f>
        <v>View Full Record in Web of Science</v>
      </c>
    </row>
    <row r="139" ht="12.75" customHeight="1">
      <c r="A139" s="14" t="s">
        <v>97</v>
      </c>
      <c r="B139" s="14" t="s">
        <v>3089</v>
      </c>
      <c r="C139" s="14" t="s">
        <v>99</v>
      </c>
      <c r="D139" s="14" t="s">
        <v>99</v>
      </c>
      <c r="E139" s="14" t="s">
        <v>99</v>
      </c>
      <c r="F139" s="14" t="s">
        <v>3090</v>
      </c>
      <c r="G139" s="14" t="s">
        <v>99</v>
      </c>
      <c r="H139" s="14" t="s">
        <v>99</v>
      </c>
      <c r="I139" s="14" t="s">
        <v>3091</v>
      </c>
      <c r="J139" s="14" t="s">
        <v>3092</v>
      </c>
      <c r="K139" s="14" t="s">
        <v>99</v>
      </c>
      <c r="L139" s="14" t="s">
        <v>99</v>
      </c>
      <c r="M139" s="14" t="s">
        <v>103</v>
      </c>
      <c r="N139" s="14" t="s">
        <v>104</v>
      </c>
      <c r="O139" s="14" t="s">
        <v>99</v>
      </c>
      <c r="P139" s="14" t="s">
        <v>99</v>
      </c>
      <c r="Q139" s="14" t="s">
        <v>99</v>
      </c>
      <c r="R139" s="14" t="s">
        <v>99</v>
      </c>
      <c r="S139" s="14" t="s">
        <v>99</v>
      </c>
      <c r="T139" s="14" t="s">
        <v>3093</v>
      </c>
      <c r="U139" s="14" t="s">
        <v>3094</v>
      </c>
      <c r="V139" s="14" t="s">
        <v>3095</v>
      </c>
      <c r="W139" s="14" t="s">
        <v>3096</v>
      </c>
      <c r="X139" s="14" t="s">
        <v>3097</v>
      </c>
      <c r="Y139" s="14" t="s">
        <v>3098</v>
      </c>
      <c r="Z139" s="14" t="s">
        <v>3099</v>
      </c>
      <c r="AA139" s="14" t="s">
        <v>3100</v>
      </c>
      <c r="AB139" s="14" t="s">
        <v>99</v>
      </c>
      <c r="AC139" s="14" t="s">
        <v>99</v>
      </c>
      <c r="AD139" s="14" t="s">
        <v>99</v>
      </c>
      <c r="AE139" s="14" t="s">
        <v>99</v>
      </c>
      <c r="AF139" s="14" t="s">
        <v>99</v>
      </c>
      <c r="AG139" s="14">
        <v>92.0</v>
      </c>
      <c r="AH139" s="14">
        <v>128.0</v>
      </c>
      <c r="AI139" s="14">
        <v>150.0</v>
      </c>
      <c r="AJ139" s="14">
        <v>1.0</v>
      </c>
      <c r="AK139" s="14">
        <v>8.0</v>
      </c>
      <c r="AL139" s="14" t="s">
        <v>3101</v>
      </c>
      <c r="AM139" s="14" t="s">
        <v>3102</v>
      </c>
      <c r="AN139" s="14" t="s">
        <v>3103</v>
      </c>
      <c r="AO139" s="14" t="s">
        <v>3104</v>
      </c>
      <c r="AP139" s="14" t="s">
        <v>3105</v>
      </c>
      <c r="AQ139" s="14" t="s">
        <v>99</v>
      </c>
      <c r="AR139" s="14" t="s">
        <v>3106</v>
      </c>
      <c r="AS139" s="14" t="s">
        <v>3107</v>
      </c>
      <c r="AT139" s="14" t="s">
        <v>421</v>
      </c>
      <c r="AU139" s="14">
        <v>2014.0</v>
      </c>
      <c r="AV139" s="14">
        <v>2.0</v>
      </c>
      <c r="AW139" s="14">
        <v>3.0</v>
      </c>
      <c r="AX139" s="14" t="s">
        <v>99</v>
      </c>
      <c r="AY139" s="14" t="s">
        <v>99</v>
      </c>
      <c r="AZ139" s="14" t="s">
        <v>99</v>
      </c>
      <c r="BA139" s="14" t="s">
        <v>99</v>
      </c>
      <c r="BB139" s="14">
        <v>36.0</v>
      </c>
      <c r="BC139" s="14">
        <v>47.0</v>
      </c>
      <c r="BD139" s="14" t="s">
        <v>99</v>
      </c>
      <c r="BE139" s="14" t="s">
        <v>3108</v>
      </c>
      <c r="BF139" s="15" t="str">
        <f>HYPERLINK("http://dx.doi.org/10.1016/S2095-6339(15)30021-6","http://dx.doi.org/10.1016/S2095-6339(15)30021-6")</f>
        <v>http://dx.doi.org/10.1016/S2095-6339(15)30021-6</v>
      </c>
      <c r="BG139" s="14" t="s">
        <v>99</v>
      </c>
      <c r="BH139" s="14" t="s">
        <v>99</v>
      </c>
      <c r="BI139" s="14">
        <v>12.0</v>
      </c>
      <c r="BJ139" s="14" t="s">
        <v>3109</v>
      </c>
      <c r="BK139" s="14" t="s">
        <v>147</v>
      </c>
      <c r="BL139" s="14" t="s">
        <v>3110</v>
      </c>
      <c r="BM139" s="14" t="s">
        <v>3111</v>
      </c>
      <c r="BN139" s="14" t="s">
        <v>99</v>
      </c>
      <c r="BO139" s="14" t="s">
        <v>576</v>
      </c>
      <c r="BP139" s="14" t="s">
        <v>99</v>
      </c>
      <c r="BQ139" s="14" t="s">
        <v>99</v>
      </c>
      <c r="BR139" s="14" t="s">
        <v>124</v>
      </c>
      <c r="BS139" s="14" t="s">
        <v>3112</v>
      </c>
      <c r="BT139" s="14" t="str">
        <f>HYPERLINK("https%3A%2F%2Fwww.webofscience.com%2Fwos%2Fwoscc%2Ffull-record%2FWOS:000435740500003","View Full Record in Web of Science")</f>
        <v>View Full Record in Web of Science</v>
      </c>
    </row>
    <row r="140" ht="12.75" customHeight="1">
      <c r="A140" s="14" t="s">
        <v>97</v>
      </c>
      <c r="B140" s="14" t="s">
        <v>3113</v>
      </c>
      <c r="C140" s="14" t="s">
        <v>99</v>
      </c>
      <c r="D140" s="14" t="s">
        <v>99</v>
      </c>
      <c r="E140" s="14" t="s">
        <v>99</v>
      </c>
      <c r="F140" s="14" t="s">
        <v>3114</v>
      </c>
      <c r="G140" s="14" t="s">
        <v>99</v>
      </c>
      <c r="H140" s="14" t="s">
        <v>99</v>
      </c>
      <c r="I140" s="14" t="s">
        <v>3115</v>
      </c>
      <c r="J140" s="14" t="s">
        <v>1256</v>
      </c>
      <c r="K140" s="14" t="s">
        <v>99</v>
      </c>
      <c r="L140" s="14" t="s">
        <v>99</v>
      </c>
      <c r="M140" s="14" t="s">
        <v>103</v>
      </c>
      <c r="N140" s="14" t="s">
        <v>104</v>
      </c>
      <c r="O140" s="14" t="s">
        <v>99</v>
      </c>
      <c r="P140" s="14" t="s">
        <v>99</v>
      </c>
      <c r="Q140" s="14" t="s">
        <v>99</v>
      </c>
      <c r="R140" s="14" t="s">
        <v>99</v>
      </c>
      <c r="S140" s="14" t="s">
        <v>99</v>
      </c>
      <c r="T140" s="14" t="s">
        <v>3116</v>
      </c>
      <c r="U140" s="14" t="s">
        <v>3117</v>
      </c>
      <c r="V140" s="14" t="s">
        <v>3118</v>
      </c>
      <c r="W140" s="14" t="s">
        <v>3119</v>
      </c>
      <c r="X140" s="14" t="s">
        <v>3120</v>
      </c>
      <c r="Y140" s="14" t="s">
        <v>3121</v>
      </c>
      <c r="Z140" s="14" t="s">
        <v>3122</v>
      </c>
      <c r="AA140" s="14" t="s">
        <v>3123</v>
      </c>
      <c r="AB140" s="14" t="s">
        <v>3124</v>
      </c>
      <c r="AC140" s="14" t="s">
        <v>3125</v>
      </c>
      <c r="AD140" s="14" t="s">
        <v>3126</v>
      </c>
      <c r="AE140" s="14" t="s">
        <v>3127</v>
      </c>
      <c r="AF140" s="14" t="s">
        <v>99</v>
      </c>
      <c r="AG140" s="14">
        <v>65.0</v>
      </c>
      <c r="AH140" s="14">
        <v>41.0</v>
      </c>
      <c r="AI140" s="14">
        <v>46.0</v>
      </c>
      <c r="AJ140" s="14">
        <v>4.0</v>
      </c>
      <c r="AK140" s="14">
        <v>128.0</v>
      </c>
      <c r="AL140" s="14" t="s">
        <v>341</v>
      </c>
      <c r="AM140" s="14" t="s">
        <v>342</v>
      </c>
      <c r="AN140" s="14" t="s">
        <v>343</v>
      </c>
      <c r="AO140" s="14" t="s">
        <v>1269</v>
      </c>
      <c r="AP140" s="14" t="s">
        <v>1270</v>
      </c>
      <c r="AQ140" s="14" t="s">
        <v>99</v>
      </c>
      <c r="AR140" s="14" t="s">
        <v>1271</v>
      </c>
      <c r="AS140" s="14" t="s">
        <v>1272</v>
      </c>
      <c r="AT140" s="14" t="s">
        <v>474</v>
      </c>
      <c r="AU140" s="14">
        <v>2014.0</v>
      </c>
      <c r="AV140" s="14">
        <v>59.0</v>
      </c>
      <c r="AW140" s="14">
        <v>8.0</v>
      </c>
      <c r="AX140" s="14" t="s">
        <v>99</v>
      </c>
      <c r="AY140" s="14" t="s">
        <v>99</v>
      </c>
      <c r="AZ140" s="14" t="s">
        <v>99</v>
      </c>
      <c r="BA140" s="14" t="s">
        <v>99</v>
      </c>
      <c r="BB140" s="14">
        <v>1755.0</v>
      </c>
      <c r="BC140" s="14">
        <v>1767.0</v>
      </c>
      <c r="BD140" s="14" t="s">
        <v>99</v>
      </c>
      <c r="BE140" s="14" t="s">
        <v>3128</v>
      </c>
      <c r="BF140" s="15" t="str">
        <f>HYPERLINK("http://dx.doi.org/10.1111/fwb.12380","http://dx.doi.org/10.1111/fwb.12380")</f>
        <v>http://dx.doi.org/10.1111/fwb.12380</v>
      </c>
      <c r="BG140" s="14" t="s">
        <v>99</v>
      </c>
      <c r="BH140" s="14" t="s">
        <v>99</v>
      </c>
      <c r="BI140" s="14">
        <v>13.0</v>
      </c>
      <c r="BJ140" s="14" t="s">
        <v>1274</v>
      </c>
      <c r="BK140" s="14" t="s">
        <v>122</v>
      </c>
      <c r="BL140" s="14" t="s">
        <v>397</v>
      </c>
      <c r="BM140" s="14" t="s">
        <v>3129</v>
      </c>
      <c r="BN140" s="14" t="s">
        <v>99</v>
      </c>
      <c r="BO140" s="14" t="s">
        <v>99</v>
      </c>
      <c r="BP140" s="14" t="s">
        <v>99</v>
      </c>
      <c r="BQ140" s="14" t="s">
        <v>99</v>
      </c>
      <c r="BR140" s="14" t="s">
        <v>124</v>
      </c>
      <c r="BS140" s="14" t="s">
        <v>3130</v>
      </c>
      <c r="BT140" s="14" t="str">
        <f>HYPERLINK("https%3A%2F%2Fwww.webofscience.com%2Fwos%2Fwoscc%2Ffull-record%2FWOS:000339385100016","View Full Record in Web of Science")</f>
        <v>View Full Record in Web of Science</v>
      </c>
    </row>
    <row r="141" ht="12.75" customHeight="1">
      <c r="A141" s="14" t="s">
        <v>97</v>
      </c>
      <c r="B141" s="14" t="s">
        <v>3131</v>
      </c>
      <c r="C141" s="14" t="s">
        <v>99</v>
      </c>
      <c r="D141" s="14" t="s">
        <v>99</v>
      </c>
      <c r="E141" s="14" t="s">
        <v>99</v>
      </c>
      <c r="F141" s="14" t="s">
        <v>3132</v>
      </c>
      <c r="G141" s="14" t="s">
        <v>99</v>
      </c>
      <c r="H141" s="14" t="s">
        <v>99</v>
      </c>
      <c r="I141" s="14" t="s">
        <v>3133</v>
      </c>
      <c r="J141" s="14" t="s">
        <v>328</v>
      </c>
      <c r="K141" s="14" t="s">
        <v>99</v>
      </c>
      <c r="L141" s="14" t="s">
        <v>99</v>
      </c>
      <c r="M141" s="14" t="s">
        <v>103</v>
      </c>
      <c r="N141" s="14" t="s">
        <v>104</v>
      </c>
      <c r="O141" s="14" t="s">
        <v>99</v>
      </c>
      <c r="P141" s="14" t="s">
        <v>99</v>
      </c>
      <c r="Q141" s="14" t="s">
        <v>99</v>
      </c>
      <c r="R141" s="14" t="s">
        <v>99</v>
      </c>
      <c r="S141" s="14" t="s">
        <v>99</v>
      </c>
      <c r="T141" s="14" t="s">
        <v>3134</v>
      </c>
      <c r="U141" s="14" t="s">
        <v>3135</v>
      </c>
      <c r="V141" s="14" t="s">
        <v>3136</v>
      </c>
      <c r="W141" s="14" t="s">
        <v>3137</v>
      </c>
      <c r="X141" s="14" t="s">
        <v>1814</v>
      </c>
      <c r="Y141" s="14" t="s">
        <v>3138</v>
      </c>
      <c r="Z141" s="14" t="s">
        <v>1954</v>
      </c>
      <c r="AA141" s="14" t="s">
        <v>3139</v>
      </c>
      <c r="AB141" s="14" t="s">
        <v>3140</v>
      </c>
      <c r="AC141" s="14" t="s">
        <v>3141</v>
      </c>
      <c r="AD141" s="14" t="s">
        <v>3142</v>
      </c>
      <c r="AE141" s="14" t="s">
        <v>3143</v>
      </c>
      <c r="AF141" s="14" t="s">
        <v>99</v>
      </c>
      <c r="AG141" s="14">
        <v>61.0</v>
      </c>
      <c r="AH141" s="14">
        <v>177.0</v>
      </c>
      <c r="AI141" s="14">
        <v>198.0</v>
      </c>
      <c r="AJ141" s="14">
        <v>1.0</v>
      </c>
      <c r="AK141" s="14">
        <v>168.0</v>
      </c>
      <c r="AL141" s="14" t="s">
        <v>341</v>
      </c>
      <c r="AM141" s="14" t="s">
        <v>342</v>
      </c>
      <c r="AN141" s="14" t="s">
        <v>343</v>
      </c>
      <c r="AO141" s="14" t="s">
        <v>344</v>
      </c>
      <c r="AP141" s="14" t="s">
        <v>345</v>
      </c>
      <c r="AQ141" s="14" t="s">
        <v>99</v>
      </c>
      <c r="AR141" s="14" t="s">
        <v>346</v>
      </c>
      <c r="AS141" s="14" t="s">
        <v>347</v>
      </c>
      <c r="AT141" s="14" t="s">
        <v>474</v>
      </c>
      <c r="AU141" s="14">
        <v>2014.0</v>
      </c>
      <c r="AV141" s="14">
        <v>20.0</v>
      </c>
      <c r="AW141" s="14">
        <v>8.0</v>
      </c>
      <c r="AX141" s="14" t="s">
        <v>99</v>
      </c>
      <c r="AY141" s="14" t="s">
        <v>99</v>
      </c>
      <c r="AZ141" s="14" t="s">
        <v>99</v>
      </c>
      <c r="BA141" s="14" t="s">
        <v>99</v>
      </c>
      <c r="BB141" s="14">
        <v>2473.0</v>
      </c>
      <c r="BC141" s="14">
        <v>2483.0</v>
      </c>
      <c r="BD141" s="14" t="s">
        <v>99</v>
      </c>
      <c r="BE141" s="14" t="s">
        <v>3144</v>
      </c>
      <c r="BF141" s="15" t="str">
        <f>HYPERLINK("http://dx.doi.org/10.1111/gcb.12513","http://dx.doi.org/10.1111/gcb.12513")</f>
        <v>http://dx.doi.org/10.1111/gcb.12513</v>
      </c>
      <c r="BG141" s="14" t="s">
        <v>99</v>
      </c>
      <c r="BH141" s="14" t="s">
        <v>99</v>
      </c>
      <c r="BI141" s="14">
        <v>11.0</v>
      </c>
      <c r="BJ141" s="14" t="s">
        <v>351</v>
      </c>
      <c r="BK141" s="14" t="s">
        <v>122</v>
      </c>
      <c r="BL141" s="14" t="s">
        <v>352</v>
      </c>
      <c r="BM141" s="14" t="s">
        <v>3145</v>
      </c>
      <c r="BN141" s="14">
        <v>2.437586E7</v>
      </c>
      <c r="BO141" s="14" t="s">
        <v>1118</v>
      </c>
      <c r="BP141" s="14" t="s">
        <v>99</v>
      </c>
      <c r="BQ141" s="14" t="s">
        <v>99</v>
      </c>
      <c r="BR141" s="14" t="s">
        <v>124</v>
      </c>
      <c r="BS141" s="14" t="s">
        <v>3146</v>
      </c>
      <c r="BT141" s="14" t="str">
        <f>HYPERLINK("https%3A%2F%2Fwww.webofscience.com%2Fwos%2Fwoscc%2Ffull-record%2FWOS:000339100200011","View Full Record in Web of Science")</f>
        <v>View Full Record in Web of Science</v>
      </c>
    </row>
    <row r="142" ht="12.75" customHeight="1">
      <c r="A142" s="14" t="s">
        <v>97</v>
      </c>
      <c r="B142" s="14" t="s">
        <v>3147</v>
      </c>
      <c r="C142" s="14" t="s">
        <v>99</v>
      </c>
      <c r="D142" s="14" t="s">
        <v>99</v>
      </c>
      <c r="E142" s="14" t="s">
        <v>99</v>
      </c>
      <c r="F142" s="14" t="s">
        <v>3148</v>
      </c>
      <c r="G142" s="14" t="s">
        <v>99</v>
      </c>
      <c r="H142" s="14" t="s">
        <v>99</v>
      </c>
      <c r="I142" s="14" t="s">
        <v>3149</v>
      </c>
      <c r="J142" s="14" t="s">
        <v>328</v>
      </c>
      <c r="K142" s="14" t="s">
        <v>99</v>
      </c>
      <c r="L142" s="14" t="s">
        <v>99</v>
      </c>
      <c r="M142" s="14" t="s">
        <v>103</v>
      </c>
      <c r="N142" s="14" t="s">
        <v>104</v>
      </c>
      <c r="O142" s="14" t="s">
        <v>99</v>
      </c>
      <c r="P142" s="14" t="s">
        <v>99</v>
      </c>
      <c r="Q142" s="14" t="s">
        <v>99</v>
      </c>
      <c r="R142" s="14" t="s">
        <v>99</v>
      </c>
      <c r="S142" s="14" t="s">
        <v>99</v>
      </c>
      <c r="T142" s="14" t="s">
        <v>3150</v>
      </c>
      <c r="U142" s="14" t="s">
        <v>3151</v>
      </c>
      <c r="V142" s="14" t="s">
        <v>3152</v>
      </c>
      <c r="W142" s="14" t="s">
        <v>3153</v>
      </c>
      <c r="X142" s="14" t="s">
        <v>3154</v>
      </c>
      <c r="Y142" s="14" t="s">
        <v>3155</v>
      </c>
      <c r="Z142" s="14" t="s">
        <v>3156</v>
      </c>
      <c r="AA142" s="14" t="s">
        <v>3157</v>
      </c>
      <c r="AB142" s="14" t="s">
        <v>99</v>
      </c>
      <c r="AC142" s="14" t="s">
        <v>3158</v>
      </c>
      <c r="AD142" s="14" t="s">
        <v>99</v>
      </c>
      <c r="AE142" s="14" t="s">
        <v>3159</v>
      </c>
      <c r="AF142" s="14" t="s">
        <v>99</v>
      </c>
      <c r="AG142" s="14">
        <v>88.0</v>
      </c>
      <c r="AH142" s="14">
        <v>85.0</v>
      </c>
      <c r="AI142" s="14">
        <v>94.0</v>
      </c>
      <c r="AJ142" s="14">
        <v>5.0</v>
      </c>
      <c r="AK142" s="14">
        <v>204.0</v>
      </c>
      <c r="AL142" s="14" t="s">
        <v>341</v>
      </c>
      <c r="AM142" s="14" t="s">
        <v>342</v>
      </c>
      <c r="AN142" s="14" t="s">
        <v>343</v>
      </c>
      <c r="AO142" s="14" t="s">
        <v>344</v>
      </c>
      <c r="AP142" s="14" t="s">
        <v>345</v>
      </c>
      <c r="AQ142" s="14" t="s">
        <v>99</v>
      </c>
      <c r="AR142" s="14" t="s">
        <v>346</v>
      </c>
      <c r="AS142" s="14" t="s">
        <v>347</v>
      </c>
      <c r="AT142" s="14" t="s">
        <v>474</v>
      </c>
      <c r="AU142" s="14">
        <v>2014.0</v>
      </c>
      <c r="AV142" s="14">
        <v>20.0</v>
      </c>
      <c r="AW142" s="14">
        <v>8.0</v>
      </c>
      <c r="AX142" s="14" t="s">
        <v>99</v>
      </c>
      <c r="AY142" s="14" t="s">
        <v>99</v>
      </c>
      <c r="AZ142" s="14" t="s">
        <v>99</v>
      </c>
      <c r="BA142" s="14" t="s">
        <v>99</v>
      </c>
      <c r="BB142" s="14">
        <v>2596.0</v>
      </c>
      <c r="BC142" s="14">
        <v>2606.0</v>
      </c>
      <c r="BD142" s="14" t="s">
        <v>99</v>
      </c>
      <c r="BE142" s="14" t="s">
        <v>3160</v>
      </c>
      <c r="BF142" s="15" t="str">
        <f>HYPERLINK("http://dx.doi.org/10.1111/gcb.12588","http://dx.doi.org/10.1111/gcb.12588")</f>
        <v>http://dx.doi.org/10.1111/gcb.12588</v>
      </c>
      <c r="BG142" s="14" t="s">
        <v>99</v>
      </c>
      <c r="BH142" s="14" t="s">
        <v>99</v>
      </c>
      <c r="BI142" s="14">
        <v>11.0</v>
      </c>
      <c r="BJ142" s="14" t="s">
        <v>351</v>
      </c>
      <c r="BK142" s="14" t="s">
        <v>122</v>
      </c>
      <c r="BL142" s="14" t="s">
        <v>352</v>
      </c>
      <c r="BM142" s="14" t="s">
        <v>3145</v>
      </c>
      <c r="BN142" s="14">
        <v>2.4687944E7</v>
      </c>
      <c r="BO142" s="14" t="s">
        <v>99</v>
      </c>
      <c r="BP142" s="14" t="s">
        <v>99</v>
      </c>
      <c r="BQ142" s="14" t="s">
        <v>99</v>
      </c>
      <c r="BR142" s="14" t="s">
        <v>124</v>
      </c>
      <c r="BS142" s="14" t="s">
        <v>3161</v>
      </c>
      <c r="BT142" s="14" t="str">
        <f>HYPERLINK("https%3A%2F%2Fwww.webofscience.com%2Fwos%2Fwoscc%2Ffull-record%2FWOS:000339100200021","View Full Record in Web of Science")</f>
        <v>View Full Record in Web of Science</v>
      </c>
    </row>
    <row r="143" ht="12.75" customHeight="1">
      <c r="A143" s="14" t="s">
        <v>97</v>
      </c>
      <c r="B143" s="14" t="s">
        <v>3162</v>
      </c>
      <c r="C143" s="14" t="s">
        <v>99</v>
      </c>
      <c r="D143" s="14" t="s">
        <v>99</v>
      </c>
      <c r="E143" s="14" t="s">
        <v>99</v>
      </c>
      <c r="F143" s="14" t="s">
        <v>3163</v>
      </c>
      <c r="G143" s="14" t="s">
        <v>99</v>
      </c>
      <c r="H143" s="14" t="s">
        <v>99</v>
      </c>
      <c r="I143" s="14" t="s">
        <v>3164</v>
      </c>
      <c r="J143" s="14" t="s">
        <v>1256</v>
      </c>
      <c r="K143" s="14" t="s">
        <v>99</v>
      </c>
      <c r="L143" s="14" t="s">
        <v>99</v>
      </c>
      <c r="M143" s="14" t="s">
        <v>103</v>
      </c>
      <c r="N143" s="14" t="s">
        <v>104</v>
      </c>
      <c r="O143" s="14" t="s">
        <v>99</v>
      </c>
      <c r="P143" s="14" t="s">
        <v>99</v>
      </c>
      <c r="Q143" s="14" t="s">
        <v>99</v>
      </c>
      <c r="R143" s="14" t="s">
        <v>99</v>
      </c>
      <c r="S143" s="14" t="s">
        <v>99</v>
      </c>
      <c r="T143" s="14" t="s">
        <v>3165</v>
      </c>
      <c r="U143" s="14" t="s">
        <v>3166</v>
      </c>
      <c r="V143" s="14" t="s">
        <v>3167</v>
      </c>
      <c r="W143" s="14" t="s">
        <v>3168</v>
      </c>
      <c r="X143" s="14" t="s">
        <v>3169</v>
      </c>
      <c r="Y143" s="14" t="s">
        <v>3170</v>
      </c>
      <c r="Z143" s="14" t="s">
        <v>3171</v>
      </c>
      <c r="AA143" s="14" t="s">
        <v>3172</v>
      </c>
      <c r="AB143" s="14" t="s">
        <v>3173</v>
      </c>
      <c r="AC143" s="14" t="s">
        <v>99</v>
      </c>
      <c r="AD143" s="14" t="s">
        <v>99</v>
      </c>
      <c r="AE143" s="14" t="s">
        <v>99</v>
      </c>
      <c r="AF143" s="14" t="s">
        <v>99</v>
      </c>
      <c r="AG143" s="14">
        <v>54.0</v>
      </c>
      <c r="AH143" s="14">
        <v>19.0</v>
      </c>
      <c r="AI143" s="14">
        <v>24.0</v>
      </c>
      <c r="AJ143" s="14">
        <v>2.0</v>
      </c>
      <c r="AK143" s="14">
        <v>109.0</v>
      </c>
      <c r="AL143" s="14" t="s">
        <v>341</v>
      </c>
      <c r="AM143" s="14" t="s">
        <v>342</v>
      </c>
      <c r="AN143" s="14" t="s">
        <v>343</v>
      </c>
      <c r="AO143" s="14" t="s">
        <v>1269</v>
      </c>
      <c r="AP143" s="14" t="s">
        <v>1270</v>
      </c>
      <c r="AQ143" s="14" t="s">
        <v>99</v>
      </c>
      <c r="AR143" s="14" t="s">
        <v>1271</v>
      </c>
      <c r="AS143" s="14" t="s">
        <v>1272</v>
      </c>
      <c r="AT143" s="14" t="s">
        <v>525</v>
      </c>
      <c r="AU143" s="14">
        <v>2014.0</v>
      </c>
      <c r="AV143" s="14">
        <v>59.0</v>
      </c>
      <c r="AW143" s="14">
        <v>7.0</v>
      </c>
      <c r="AX143" s="14" t="s">
        <v>99</v>
      </c>
      <c r="AY143" s="14" t="s">
        <v>99</v>
      </c>
      <c r="AZ143" s="14" t="s">
        <v>99</v>
      </c>
      <c r="BA143" s="14" t="s">
        <v>99</v>
      </c>
      <c r="BB143" s="14">
        <v>1389.0</v>
      </c>
      <c r="BC143" s="14">
        <v>1405.0</v>
      </c>
      <c r="BD143" s="14" t="s">
        <v>99</v>
      </c>
      <c r="BE143" s="14" t="s">
        <v>3174</v>
      </c>
      <c r="BF143" s="15" t="str">
        <f>HYPERLINK("http://dx.doi.org/10.1111/fwb.12353","http://dx.doi.org/10.1111/fwb.12353")</f>
        <v>http://dx.doi.org/10.1111/fwb.12353</v>
      </c>
      <c r="BG143" s="14" t="s">
        <v>99</v>
      </c>
      <c r="BH143" s="14" t="s">
        <v>99</v>
      </c>
      <c r="BI143" s="14">
        <v>17.0</v>
      </c>
      <c r="BJ143" s="14" t="s">
        <v>1274</v>
      </c>
      <c r="BK143" s="14" t="s">
        <v>122</v>
      </c>
      <c r="BL143" s="14" t="s">
        <v>397</v>
      </c>
      <c r="BM143" s="14" t="s">
        <v>3175</v>
      </c>
      <c r="BN143" s="14" t="s">
        <v>99</v>
      </c>
      <c r="BO143" s="14" t="s">
        <v>238</v>
      </c>
      <c r="BP143" s="14" t="s">
        <v>99</v>
      </c>
      <c r="BQ143" s="14" t="s">
        <v>99</v>
      </c>
      <c r="BR143" s="14" t="s">
        <v>124</v>
      </c>
      <c r="BS143" s="14" t="s">
        <v>3176</v>
      </c>
      <c r="BT143" s="14" t="str">
        <f>HYPERLINK("https%3A%2F%2Fwww.webofscience.com%2Fwos%2Fwoscc%2Ffull-record%2FWOS:000337528600004","View Full Record in Web of Science")</f>
        <v>View Full Record in Web of Science</v>
      </c>
    </row>
    <row r="144" ht="12.75" customHeight="1">
      <c r="A144" s="14" t="s">
        <v>97</v>
      </c>
      <c r="B144" s="14" t="s">
        <v>3177</v>
      </c>
      <c r="C144" s="14" t="s">
        <v>99</v>
      </c>
      <c r="D144" s="14" t="s">
        <v>99</v>
      </c>
      <c r="E144" s="14" t="s">
        <v>99</v>
      </c>
      <c r="F144" s="14" t="s">
        <v>3178</v>
      </c>
      <c r="G144" s="14" t="s">
        <v>99</v>
      </c>
      <c r="H144" s="14" t="s">
        <v>99</v>
      </c>
      <c r="I144" s="14" t="s">
        <v>3179</v>
      </c>
      <c r="J144" s="14" t="s">
        <v>776</v>
      </c>
      <c r="K144" s="14" t="s">
        <v>99</v>
      </c>
      <c r="L144" s="14" t="s">
        <v>99</v>
      </c>
      <c r="M144" s="14" t="s">
        <v>103</v>
      </c>
      <c r="N144" s="14" t="s">
        <v>104</v>
      </c>
      <c r="O144" s="14" t="s">
        <v>99</v>
      </c>
      <c r="P144" s="14" t="s">
        <v>99</v>
      </c>
      <c r="Q144" s="14" t="s">
        <v>99</v>
      </c>
      <c r="R144" s="14" t="s">
        <v>99</v>
      </c>
      <c r="S144" s="14" t="s">
        <v>99</v>
      </c>
      <c r="T144" s="14" t="s">
        <v>3180</v>
      </c>
      <c r="U144" s="14" t="s">
        <v>3181</v>
      </c>
      <c r="V144" s="14" t="s">
        <v>3182</v>
      </c>
      <c r="W144" s="14" t="s">
        <v>3183</v>
      </c>
      <c r="X144" s="14" t="s">
        <v>3184</v>
      </c>
      <c r="Y144" s="14" t="s">
        <v>3185</v>
      </c>
      <c r="Z144" s="14" t="s">
        <v>3186</v>
      </c>
      <c r="AA144" s="14" t="s">
        <v>3187</v>
      </c>
      <c r="AB144" s="14" t="s">
        <v>3188</v>
      </c>
      <c r="AC144" s="14" t="s">
        <v>3189</v>
      </c>
      <c r="AD144" s="14" t="s">
        <v>3190</v>
      </c>
      <c r="AE144" s="14" t="s">
        <v>3191</v>
      </c>
      <c r="AF144" s="14" t="s">
        <v>99</v>
      </c>
      <c r="AG144" s="14">
        <v>42.0</v>
      </c>
      <c r="AH144" s="14">
        <v>617.0</v>
      </c>
      <c r="AI144" s="14">
        <v>676.0</v>
      </c>
      <c r="AJ144" s="14">
        <v>13.0</v>
      </c>
      <c r="AK144" s="14">
        <v>527.0</v>
      </c>
      <c r="AL144" s="14" t="s">
        <v>788</v>
      </c>
      <c r="AM144" s="14" t="s">
        <v>789</v>
      </c>
      <c r="AN144" s="14" t="s">
        <v>790</v>
      </c>
      <c r="AO144" s="14" t="s">
        <v>791</v>
      </c>
      <c r="AP144" s="14" t="s">
        <v>792</v>
      </c>
      <c r="AQ144" s="14" t="s">
        <v>99</v>
      </c>
      <c r="AR144" s="14" t="s">
        <v>793</v>
      </c>
      <c r="AS144" s="14" t="s">
        <v>794</v>
      </c>
      <c r="AT144" s="14" t="s">
        <v>1309</v>
      </c>
      <c r="AU144" s="14">
        <v>2014.0</v>
      </c>
      <c r="AV144" s="14">
        <v>111.0</v>
      </c>
      <c r="AW144" s="14">
        <v>26.0</v>
      </c>
      <c r="AX144" s="14" t="s">
        <v>99</v>
      </c>
      <c r="AY144" s="14" t="s">
        <v>99</v>
      </c>
      <c r="AZ144" s="14" t="s">
        <v>99</v>
      </c>
      <c r="BA144" s="14" t="s">
        <v>99</v>
      </c>
      <c r="BB144" s="14">
        <v>9549.0</v>
      </c>
      <c r="BC144" s="14">
        <v>9554.0</v>
      </c>
      <c r="BD144" s="14" t="s">
        <v>99</v>
      </c>
      <c r="BE144" s="14" t="s">
        <v>3192</v>
      </c>
      <c r="BF144" s="15" t="str">
        <f>HYPERLINK("http://dx.doi.org/10.1073/pnas.1321082111","http://dx.doi.org/10.1073/pnas.1321082111")</f>
        <v>http://dx.doi.org/10.1073/pnas.1321082111</v>
      </c>
      <c r="BG144" s="14" t="s">
        <v>99</v>
      </c>
      <c r="BH144" s="14" t="s">
        <v>99</v>
      </c>
      <c r="BI144" s="14">
        <v>6.0</v>
      </c>
      <c r="BJ144" s="14" t="s">
        <v>799</v>
      </c>
      <c r="BK144" s="14" t="s">
        <v>122</v>
      </c>
      <c r="BL144" s="14" t="s">
        <v>801</v>
      </c>
      <c r="BM144" s="14" t="s">
        <v>3193</v>
      </c>
      <c r="BN144" s="14">
        <v>2.4979762E7</v>
      </c>
      <c r="BO144" s="14" t="s">
        <v>425</v>
      </c>
      <c r="BP144" s="14" t="s">
        <v>99</v>
      </c>
      <c r="BQ144" s="14" t="s">
        <v>99</v>
      </c>
      <c r="BR144" s="14" t="s">
        <v>124</v>
      </c>
      <c r="BS144" s="14" t="s">
        <v>3194</v>
      </c>
      <c r="BT144" s="14" t="str">
        <f>HYPERLINK("https%3A%2F%2Fwww.webofscience.com%2Fwos%2Fwoscc%2Ffull-record%2FWOS:000338118900055","View Full Record in Web of Science")</f>
        <v>View Full Record in Web of Science</v>
      </c>
    </row>
    <row r="145" ht="12.75" customHeight="1">
      <c r="A145" s="14" t="s">
        <v>97</v>
      </c>
      <c r="B145" s="14" t="s">
        <v>3195</v>
      </c>
      <c r="C145" s="14" t="s">
        <v>99</v>
      </c>
      <c r="D145" s="14" t="s">
        <v>99</v>
      </c>
      <c r="E145" s="14" t="s">
        <v>99</v>
      </c>
      <c r="F145" s="14" t="s">
        <v>3196</v>
      </c>
      <c r="G145" s="14" t="s">
        <v>99</v>
      </c>
      <c r="H145" s="14" t="s">
        <v>99</v>
      </c>
      <c r="I145" s="14" t="s">
        <v>3197</v>
      </c>
      <c r="J145" s="14" t="s">
        <v>1605</v>
      </c>
      <c r="K145" s="14" t="s">
        <v>99</v>
      </c>
      <c r="L145" s="14" t="s">
        <v>99</v>
      </c>
      <c r="M145" s="14" t="s">
        <v>103</v>
      </c>
      <c r="N145" s="14" t="s">
        <v>104</v>
      </c>
      <c r="O145" s="14" t="s">
        <v>99</v>
      </c>
      <c r="P145" s="14" t="s">
        <v>99</v>
      </c>
      <c r="Q145" s="14" t="s">
        <v>99</v>
      </c>
      <c r="R145" s="14" t="s">
        <v>99</v>
      </c>
      <c r="S145" s="14" t="s">
        <v>99</v>
      </c>
      <c r="T145" s="14" t="s">
        <v>3198</v>
      </c>
      <c r="U145" s="14" t="s">
        <v>3199</v>
      </c>
      <c r="V145" s="14" t="s">
        <v>3200</v>
      </c>
      <c r="W145" s="14" t="s">
        <v>3201</v>
      </c>
      <c r="X145" s="14" t="s">
        <v>3202</v>
      </c>
      <c r="Y145" s="14" t="s">
        <v>3203</v>
      </c>
      <c r="Z145" s="14" t="s">
        <v>3204</v>
      </c>
      <c r="AA145" s="14" t="s">
        <v>3205</v>
      </c>
      <c r="AB145" s="14" t="s">
        <v>3206</v>
      </c>
      <c r="AC145" s="14" t="s">
        <v>3207</v>
      </c>
      <c r="AD145" s="14" t="s">
        <v>3208</v>
      </c>
      <c r="AE145" s="14" t="s">
        <v>3209</v>
      </c>
      <c r="AF145" s="14" t="s">
        <v>99</v>
      </c>
      <c r="AG145" s="14">
        <v>87.0</v>
      </c>
      <c r="AH145" s="14">
        <v>37.0</v>
      </c>
      <c r="AI145" s="14">
        <v>40.0</v>
      </c>
      <c r="AJ145" s="14">
        <v>2.0</v>
      </c>
      <c r="AK145" s="14">
        <v>83.0</v>
      </c>
      <c r="AL145" s="14" t="s">
        <v>341</v>
      </c>
      <c r="AM145" s="14" t="s">
        <v>342</v>
      </c>
      <c r="AN145" s="14" t="s">
        <v>343</v>
      </c>
      <c r="AO145" s="14" t="s">
        <v>1618</v>
      </c>
      <c r="AP145" s="14" t="s">
        <v>1619</v>
      </c>
      <c r="AQ145" s="14" t="s">
        <v>99</v>
      </c>
      <c r="AR145" s="14" t="s">
        <v>1620</v>
      </c>
      <c r="AS145" s="14" t="s">
        <v>1621</v>
      </c>
      <c r="AT145" s="14" t="s">
        <v>525</v>
      </c>
      <c r="AU145" s="14">
        <v>2014.0</v>
      </c>
      <c r="AV145" s="14">
        <v>41.0</v>
      </c>
      <c r="AW145" s="14">
        <v>7.0</v>
      </c>
      <c r="AX145" s="14" t="s">
        <v>99</v>
      </c>
      <c r="AY145" s="14" t="s">
        <v>99</v>
      </c>
      <c r="AZ145" s="14" t="s">
        <v>99</v>
      </c>
      <c r="BA145" s="14" t="s">
        <v>99</v>
      </c>
      <c r="BB145" s="14">
        <v>1352.0</v>
      </c>
      <c r="BC145" s="14">
        <v>1366.0</v>
      </c>
      <c r="BD145" s="14" t="s">
        <v>99</v>
      </c>
      <c r="BE145" s="14" t="s">
        <v>3210</v>
      </c>
      <c r="BF145" s="15" t="str">
        <f>HYPERLINK("http://dx.doi.org/10.1111/jbi.12289","http://dx.doi.org/10.1111/jbi.12289")</f>
        <v>http://dx.doi.org/10.1111/jbi.12289</v>
      </c>
      <c r="BG145" s="14" t="s">
        <v>99</v>
      </c>
      <c r="BH145" s="14" t="s">
        <v>99</v>
      </c>
      <c r="BI145" s="14">
        <v>15.0</v>
      </c>
      <c r="BJ145" s="14" t="s">
        <v>869</v>
      </c>
      <c r="BK145" s="14" t="s">
        <v>122</v>
      </c>
      <c r="BL145" s="14" t="s">
        <v>870</v>
      </c>
      <c r="BM145" s="14" t="s">
        <v>3211</v>
      </c>
      <c r="BN145" s="14" t="s">
        <v>99</v>
      </c>
      <c r="BO145" s="14" t="s">
        <v>99</v>
      </c>
      <c r="BP145" s="14" t="s">
        <v>99</v>
      </c>
      <c r="BQ145" s="14" t="s">
        <v>99</v>
      </c>
      <c r="BR145" s="14" t="s">
        <v>124</v>
      </c>
      <c r="BS145" s="14" t="s">
        <v>3212</v>
      </c>
      <c r="BT145" s="14" t="str">
        <f>HYPERLINK("https%3A%2F%2Fwww.webofscience.com%2Fwos%2Fwoscc%2Ffull-record%2FWOS:000337615500011","View Full Record in Web of Science")</f>
        <v>View Full Record in Web of Science</v>
      </c>
    </row>
    <row r="146" ht="12.75" customHeight="1">
      <c r="A146" s="14" t="s">
        <v>97</v>
      </c>
      <c r="B146" s="14" t="s">
        <v>3213</v>
      </c>
      <c r="C146" s="14" t="s">
        <v>99</v>
      </c>
      <c r="D146" s="14" t="s">
        <v>99</v>
      </c>
      <c r="E146" s="14" t="s">
        <v>99</v>
      </c>
      <c r="F146" s="14" t="s">
        <v>3214</v>
      </c>
      <c r="G146" s="14" t="s">
        <v>99</v>
      </c>
      <c r="H146" s="14" t="s">
        <v>99</v>
      </c>
      <c r="I146" s="14" t="s">
        <v>3215</v>
      </c>
      <c r="J146" s="14" t="s">
        <v>3216</v>
      </c>
      <c r="K146" s="14" t="s">
        <v>99</v>
      </c>
      <c r="L146" s="14" t="s">
        <v>99</v>
      </c>
      <c r="M146" s="14" t="s">
        <v>103</v>
      </c>
      <c r="N146" s="14" t="s">
        <v>104</v>
      </c>
      <c r="O146" s="14" t="s">
        <v>99</v>
      </c>
      <c r="P146" s="14" t="s">
        <v>99</v>
      </c>
      <c r="Q146" s="14" t="s">
        <v>99</v>
      </c>
      <c r="R146" s="14" t="s">
        <v>99</v>
      </c>
      <c r="S146" s="14" t="s">
        <v>99</v>
      </c>
      <c r="T146" s="14" t="s">
        <v>3217</v>
      </c>
      <c r="U146" s="14" t="s">
        <v>3218</v>
      </c>
      <c r="V146" s="14" t="s">
        <v>3219</v>
      </c>
      <c r="W146" s="14" t="s">
        <v>3220</v>
      </c>
      <c r="X146" s="14" t="s">
        <v>3221</v>
      </c>
      <c r="Y146" s="14" t="s">
        <v>3222</v>
      </c>
      <c r="Z146" s="14" t="s">
        <v>3223</v>
      </c>
      <c r="AA146" s="14" t="s">
        <v>3224</v>
      </c>
      <c r="AB146" s="14" t="s">
        <v>3225</v>
      </c>
      <c r="AC146" s="14" t="s">
        <v>3226</v>
      </c>
      <c r="AD146" s="14" t="s">
        <v>3227</v>
      </c>
      <c r="AE146" s="14" t="s">
        <v>3228</v>
      </c>
      <c r="AF146" s="14" t="s">
        <v>99</v>
      </c>
      <c r="AG146" s="14">
        <v>64.0</v>
      </c>
      <c r="AH146" s="14">
        <v>566.0</v>
      </c>
      <c r="AI146" s="14">
        <v>712.0</v>
      </c>
      <c r="AJ146" s="14">
        <v>27.0</v>
      </c>
      <c r="AK146" s="14">
        <v>1279.0</v>
      </c>
      <c r="AL146" s="14" t="s">
        <v>1033</v>
      </c>
      <c r="AM146" s="14" t="s">
        <v>442</v>
      </c>
      <c r="AN146" s="14" t="s">
        <v>1034</v>
      </c>
      <c r="AO146" s="14" t="s">
        <v>3229</v>
      </c>
      <c r="AP146" s="14" t="s">
        <v>3230</v>
      </c>
      <c r="AQ146" s="14" t="s">
        <v>99</v>
      </c>
      <c r="AR146" s="14" t="s">
        <v>3231</v>
      </c>
      <c r="AS146" s="14" t="s">
        <v>3232</v>
      </c>
      <c r="AT146" s="14" t="s">
        <v>3233</v>
      </c>
      <c r="AU146" s="14">
        <v>2014.0</v>
      </c>
      <c r="AV146" s="14">
        <v>189.0</v>
      </c>
      <c r="AW146" s="14" t="s">
        <v>99</v>
      </c>
      <c r="AX146" s="14" t="s">
        <v>99</v>
      </c>
      <c r="AY146" s="14" t="s">
        <v>99</v>
      </c>
      <c r="AZ146" s="14" t="s">
        <v>99</v>
      </c>
      <c r="BA146" s="14" t="s">
        <v>99</v>
      </c>
      <c r="BB146" s="14">
        <v>11.0</v>
      </c>
      <c r="BC146" s="14">
        <v>18.0</v>
      </c>
      <c r="BD146" s="14" t="s">
        <v>99</v>
      </c>
      <c r="BE146" s="14" t="s">
        <v>3234</v>
      </c>
      <c r="BF146" s="15" t="str">
        <f>HYPERLINK("http://dx.doi.org/10.1016/j.agrformet.2014.01.002","http://dx.doi.org/10.1016/j.agrformet.2014.01.002")</f>
        <v>http://dx.doi.org/10.1016/j.agrformet.2014.01.002</v>
      </c>
      <c r="BG146" s="14" t="s">
        <v>99</v>
      </c>
      <c r="BH146" s="14" t="s">
        <v>99</v>
      </c>
      <c r="BI146" s="14">
        <v>8.0</v>
      </c>
      <c r="BJ146" s="14" t="s">
        <v>3235</v>
      </c>
      <c r="BK146" s="14" t="s">
        <v>122</v>
      </c>
      <c r="BL146" s="14" t="s">
        <v>3236</v>
      </c>
      <c r="BM146" s="14" t="s">
        <v>3237</v>
      </c>
      <c r="BN146" s="14" t="s">
        <v>99</v>
      </c>
      <c r="BO146" s="14" t="s">
        <v>99</v>
      </c>
      <c r="BP146" s="14" t="s">
        <v>99</v>
      </c>
      <c r="BQ146" s="14" t="s">
        <v>99</v>
      </c>
      <c r="BR146" s="14" t="s">
        <v>124</v>
      </c>
      <c r="BS146" s="14" t="s">
        <v>3238</v>
      </c>
      <c r="BT146" s="14" t="str">
        <f>HYPERLINK("https%3A%2F%2Fwww.webofscience.com%2Fwos%2Fwoscc%2Ffull-record%2FWOS:000333852900003","View Full Record in Web of Science")</f>
        <v>View Full Record in Web of Science</v>
      </c>
    </row>
    <row r="147" ht="12.75" customHeight="1">
      <c r="A147" s="14" t="s">
        <v>97</v>
      </c>
      <c r="B147" s="14" t="s">
        <v>3239</v>
      </c>
      <c r="C147" s="14" t="s">
        <v>99</v>
      </c>
      <c r="D147" s="14" t="s">
        <v>99</v>
      </c>
      <c r="E147" s="14" t="s">
        <v>99</v>
      </c>
      <c r="F147" s="14" t="s">
        <v>3240</v>
      </c>
      <c r="G147" s="14" t="s">
        <v>99</v>
      </c>
      <c r="H147" s="14" t="s">
        <v>99</v>
      </c>
      <c r="I147" s="14" t="s">
        <v>3241</v>
      </c>
      <c r="J147" s="14" t="s">
        <v>3242</v>
      </c>
      <c r="K147" s="14" t="s">
        <v>99</v>
      </c>
      <c r="L147" s="14" t="s">
        <v>99</v>
      </c>
      <c r="M147" s="14" t="s">
        <v>103</v>
      </c>
      <c r="N147" s="14" t="s">
        <v>104</v>
      </c>
      <c r="O147" s="14" t="s">
        <v>99</v>
      </c>
      <c r="P147" s="14" t="s">
        <v>99</v>
      </c>
      <c r="Q147" s="14" t="s">
        <v>99</v>
      </c>
      <c r="R147" s="14" t="s">
        <v>99</v>
      </c>
      <c r="S147" s="14" t="s">
        <v>99</v>
      </c>
      <c r="T147" s="14" t="s">
        <v>3243</v>
      </c>
      <c r="U147" s="14" t="s">
        <v>3244</v>
      </c>
      <c r="V147" s="14" t="s">
        <v>3245</v>
      </c>
      <c r="W147" s="14" t="s">
        <v>3246</v>
      </c>
      <c r="X147" s="14" t="s">
        <v>3247</v>
      </c>
      <c r="Y147" s="14" t="s">
        <v>3248</v>
      </c>
      <c r="Z147" s="14" t="s">
        <v>3249</v>
      </c>
      <c r="AA147" s="14" t="s">
        <v>99</v>
      </c>
      <c r="AB147" s="14" t="s">
        <v>3250</v>
      </c>
      <c r="AC147" s="14" t="s">
        <v>99</v>
      </c>
      <c r="AD147" s="14" t="s">
        <v>99</v>
      </c>
      <c r="AE147" s="14" t="s">
        <v>99</v>
      </c>
      <c r="AF147" s="14" t="s">
        <v>99</v>
      </c>
      <c r="AG147" s="14">
        <v>46.0</v>
      </c>
      <c r="AH147" s="14">
        <v>46.0</v>
      </c>
      <c r="AI147" s="14">
        <v>56.0</v>
      </c>
      <c r="AJ147" s="14">
        <v>5.0</v>
      </c>
      <c r="AK147" s="14">
        <v>135.0</v>
      </c>
      <c r="AL147" s="14" t="s">
        <v>2301</v>
      </c>
      <c r="AM147" s="14" t="s">
        <v>2302</v>
      </c>
      <c r="AN147" s="14" t="s">
        <v>2303</v>
      </c>
      <c r="AO147" s="14" t="s">
        <v>3251</v>
      </c>
      <c r="AP147" s="14" t="s">
        <v>3252</v>
      </c>
      <c r="AQ147" s="14" t="s">
        <v>99</v>
      </c>
      <c r="AR147" s="14" t="s">
        <v>3253</v>
      </c>
      <c r="AS147" s="14" t="s">
        <v>3254</v>
      </c>
      <c r="AT147" s="14" t="s">
        <v>616</v>
      </c>
      <c r="AU147" s="14">
        <v>2014.0</v>
      </c>
      <c r="AV147" s="14">
        <v>6.0</v>
      </c>
      <c r="AW147" s="14">
        <v>3.0</v>
      </c>
      <c r="AX147" s="14" t="s">
        <v>99</v>
      </c>
      <c r="AY147" s="14" t="s">
        <v>99</v>
      </c>
      <c r="AZ147" s="14" t="s">
        <v>99</v>
      </c>
      <c r="BA147" s="14" t="s">
        <v>99</v>
      </c>
      <c r="BB147" s="14">
        <v>324.0</v>
      </c>
      <c r="BC147" s="14">
        <v>333.0</v>
      </c>
      <c r="BD147" s="14" t="s">
        <v>99</v>
      </c>
      <c r="BE147" s="14" t="s">
        <v>3255</v>
      </c>
      <c r="BF147" s="15" t="str">
        <f>HYPERLINK("http://dx.doi.org/10.1007/s40333-013-0202-y","http://dx.doi.org/10.1007/s40333-013-0202-y")</f>
        <v>http://dx.doi.org/10.1007/s40333-013-0202-y</v>
      </c>
      <c r="BG147" s="14" t="s">
        <v>99</v>
      </c>
      <c r="BH147" s="14" t="s">
        <v>99</v>
      </c>
      <c r="BI147" s="14">
        <v>10.0</v>
      </c>
      <c r="BJ147" s="14" t="s">
        <v>1041</v>
      </c>
      <c r="BK147" s="14" t="s">
        <v>122</v>
      </c>
      <c r="BL147" s="14" t="s">
        <v>260</v>
      </c>
      <c r="BM147" s="14" t="s">
        <v>3256</v>
      </c>
      <c r="BN147" s="14" t="s">
        <v>99</v>
      </c>
      <c r="BO147" s="14" t="s">
        <v>99</v>
      </c>
      <c r="BP147" s="14" t="s">
        <v>99</v>
      </c>
      <c r="BQ147" s="14" t="s">
        <v>99</v>
      </c>
      <c r="BR147" s="14" t="s">
        <v>124</v>
      </c>
      <c r="BS147" s="14" t="s">
        <v>3257</v>
      </c>
      <c r="BT147" s="14" t="str">
        <f>HYPERLINK("https%3A%2F%2Fwww.webofscience.com%2Fwos%2Fwoscc%2Ffull-record%2FWOS:000330235300008","View Full Record in Web of Science")</f>
        <v>View Full Record in Web of Science</v>
      </c>
    </row>
    <row r="148" ht="12.75" customHeight="1">
      <c r="A148" s="14" t="s">
        <v>97</v>
      </c>
      <c r="B148" s="14" t="s">
        <v>3258</v>
      </c>
      <c r="C148" s="14" t="s">
        <v>99</v>
      </c>
      <c r="D148" s="14" t="s">
        <v>99</v>
      </c>
      <c r="E148" s="14" t="s">
        <v>99</v>
      </c>
      <c r="F148" s="14" t="s">
        <v>3259</v>
      </c>
      <c r="G148" s="14" t="s">
        <v>99</v>
      </c>
      <c r="H148" s="14" t="s">
        <v>99</v>
      </c>
      <c r="I148" s="14" t="s">
        <v>3260</v>
      </c>
      <c r="J148" s="14" t="s">
        <v>3261</v>
      </c>
      <c r="K148" s="14" t="s">
        <v>99</v>
      </c>
      <c r="L148" s="14" t="s">
        <v>99</v>
      </c>
      <c r="M148" s="14" t="s">
        <v>103</v>
      </c>
      <c r="N148" s="14" t="s">
        <v>104</v>
      </c>
      <c r="O148" s="14" t="s">
        <v>99</v>
      </c>
      <c r="P148" s="14" t="s">
        <v>99</v>
      </c>
      <c r="Q148" s="14" t="s">
        <v>99</v>
      </c>
      <c r="R148" s="14" t="s">
        <v>99</v>
      </c>
      <c r="S148" s="14" t="s">
        <v>99</v>
      </c>
      <c r="T148" s="14" t="s">
        <v>3262</v>
      </c>
      <c r="U148" s="14" t="s">
        <v>3263</v>
      </c>
      <c r="V148" s="14" t="s">
        <v>3264</v>
      </c>
      <c r="W148" s="14" t="s">
        <v>3265</v>
      </c>
      <c r="X148" s="14" t="s">
        <v>3266</v>
      </c>
      <c r="Y148" s="14" t="s">
        <v>3267</v>
      </c>
      <c r="Z148" s="14" t="s">
        <v>3268</v>
      </c>
      <c r="AA148" s="14" t="s">
        <v>3269</v>
      </c>
      <c r="AB148" s="14" t="s">
        <v>3270</v>
      </c>
      <c r="AC148" s="14" t="s">
        <v>3271</v>
      </c>
      <c r="AD148" s="14" t="s">
        <v>3272</v>
      </c>
      <c r="AE148" s="14" t="s">
        <v>3273</v>
      </c>
      <c r="AF148" s="14" t="s">
        <v>99</v>
      </c>
      <c r="AG148" s="14">
        <v>67.0</v>
      </c>
      <c r="AH148" s="14">
        <v>27.0</v>
      </c>
      <c r="AI148" s="14">
        <v>30.0</v>
      </c>
      <c r="AJ148" s="14">
        <v>0.0</v>
      </c>
      <c r="AK148" s="14">
        <v>97.0</v>
      </c>
      <c r="AL148" s="14" t="s">
        <v>341</v>
      </c>
      <c r="AM148" s="14" t="s">
        <v>342</v>
      </c>
      <c r="AN148" s="14" t="s">
        <v>343</v>
      </c>
      <c r="AO148" s="14" t="s">
        <v>3274</v>
      </c>
      <c r="AP148" s="14" t="s">
        <v>3275</v>
      </c>
      <c r="AQ148" s="14" t="s">
        <v>99</v>
      </c>
      <c r="AR148" s="14" t="s">
        <v>3276</v>
      </c>
      <c r="AS148" s="14" t="s">
        <v>3277</v>
      </c>
      <c r="AT148" s="14" t="s">
        <v>616</v>
      </c>
      <c r="AU148" s="14">
        <v>2014.0</v>
      </c>
      <c r="AV148" s="14">
        <v>76.0</v>
      </c>
      <c r="AW148" s="14">
        <v>6.0</v>
      </c>
      <c r="AX148" s="14" t="s">
        <v>99</v>
      </c>
      <c r="AY148" s="14" t="s">
        <v>99</v>
      </c>
      <c r="AZ148" s="14" t="s">
        <v>99</v>
      </c>
      <c r="BA148" s="14" t="s">
        <v>99</v>
      </c>
      <c r="BB148" s="14">
        <v>515.0</v>
      </c>
      <c r="BC148" s="14">
        <v>528.0</v>
      </c>
      <c r="BD148" s="14" t="s">
        <v>99</v>
      </c>
      <c r="BE148" s="14" t="s">
        <v>3278</v>
      </c>
      <c r="BF148" s="15" t="str">
        <f>HYPERLINK("http://dx.doi.org/10.1002/ajp.22243","http://dx.doi.org/10.1002/ajp.22243")</f>
        <v>http://dx.doi.org/10.1002/ajp.22243</v>
      </c>
      <c r="BG148" s="14" t="s">
        <v>99</v>
      </c>
      <c r="BH148" s="14" t="s">
        <v>99</v>
      </c>
      <c r="BI148" s="14">
        <v>14.0</v>
      </c>
      <c r="BJ148" s="14" t="s">
        <v>121</v>
      </c>
      <c r="BK148" s="14" t="s">
        <v>122</v>
      </c>
      <c r="BL148" s="14" t="s">
        <v>121</v>
      </c>
      <c r="BM148" s="14" t="s">
        <v>3279</v>
      </c>
      <c r="BN148" s="14">
        <v>2.444325E7</v>
      </c>
      <c r="BO148" s="14" t="s">
        <v>425</v>
      </c>
      <c r="BP148" s="14" t="s">
        <v>99</v>
      </c>
      <c r="BQ148" s="14" t="s">
        <v>99</v>
      </c>
      <c r="BR148" s="14" t="s">
        <v>124</v>
      </c>
      <c r="BS148" s="14" t="s">
        <v>3280</v>
      </c>
      <c r="BT148" s="14" t="str">
        <f>HYPERLINK("https%3A%2F%2Fwww.webofscience.com%2Fwos%2Fwoscc%2Ffull-record%2FWOS:000335490200001","View Full Record in Web of Science")</f>
        <v>View Full Record in Web of Science</v>
      </c>
    </row>
    <row r="149" ht="12.75" customHeight="1">
      <c r="A149" s="14" t="s">
        <v>97</v>
      </c>
      <c r="B149" s="14" t="s">
        <v>3281</v>
      </c>
      <c r="C149" s="14" t="s">
        <v>99</v>
      </c>
      <c r="D149" s="14" t="s">
        <v>99</v>
      </c>
      <c r="E149" s="14" t="s">
        <v>99</v>
      </c>
      <c r="F149" s="14" t="s">
        <v>3282</v>
      </c>
      <c r="G149" s="14" t="s">
        <v>99</v>
      </c>
      <c r="H149" s="14" t="s">
        <v>99</v>
      </c>
      <c r="I149" s="14" t="s">
        <v>3283</v>
      </c>
      <c r="J149" s="14" t="s">
        <v>1422</v>
      </c>
      <c r="K149" s="14" t="s">
        <v>99</v>
      </c>
      <c r="L149" s="14" t="s">
        <v>99</v>
      </c>
      <c r="M149" s="14" t="s">
        <v>103</v>
      </c>
      <c r="N149" s="14" t="s">
        <v>104</v>
      </c>
      <c r="O149" s="14" t="s">
        <v>99</v>
      </c>
      <c r="P149" s="14" t="s">
        <v>99</v>
      </c>
      <c r="Q149" s="14" t="s">
        <v>99</v>
      </c>
      <c r="R149" s="14" t="s">
        <v>99</v>
      </c>
      <c r="S149" s="14" t="s">
        <v>99</v>
      </c>
      <c r="T149" s="14" t="s">
        <v>99</v>
      </c>
      <c r="U149" s="14" t="s">
        <v>3284</v>
      </c>
      <c r="V149" s="14" t="s">
        <v>3285</v>
      </c>
      <c r="W149" s="14" t="s">
        <v>3286</v>
      </c>
      <c r="X149" s="14" t="s">
        <v>3287</v>
      </c>
      <c r="Y149" s="14" t="s">
        <v>3288</v>
      </c>
      <c r="Z149" s="14" t="s">
        <v>3289</v>
      </c>
      <c r="AA149" s="14" t="s">
        <v>3290</v>
      </c>
      <c r="AB149" s="14" t="s">
        <v>3291</v>
      </c>
      <c r="AC149" s="14" t="s">
        <v>3292</v>
      </c>
      <c r="AD149" s="14" t="s">
        <v>3292</v>
      </c>
      <c r="AE149" s="14" t="s">
        <v>3293</v>
      </c>
      <c r="AF149" s="14" t="s">
        <v>99</v>
      </c>
      <c r="AG149" s="14">
        <v>52.0</v>
      </c>
      <c r="AH149" s="14">
        <v>306.0</v>
      </c>
      <c r="AI149" s="14">
        <v>327.0</v>
      </c>
      <c r="AJ149" s="14">
        <v>3.0</v>
      </c>
      <c r="AK149" s="14">
        <v>320.0</v>
      </c>
      <c r="AL149" s="14" t="s">
        <v>1431</v>
      </c>
      <c r="AM149" s="14" t="s">
        <v>789</v>
      </c>
      <c r="AN149" s="14" t="s">
        <v>1432</v>
      </c>
      <c r="AO149" s="14" t="s">
        <v>1433</v>
      </c>
      <c r="AP149" s="14" t="s">
        <v>1434</v>
      </c>
      <c r="AQ149" s="14" t="s">
        <v>99</v>
      </c>
      <c r="AR149" s="14" t="s">
        <v>1435</v>
      </c>
      <c r="AS149" s="14" t="s">
        <v>1436</v>
      </c>
      <c r="AT149" s="14" t="s">
        <v>3294</v>
      </c>
      <c r="AU149" s="14">
        <v>2014.0</v>
      </c>
      <c r="AV149" s="14">
        <v>48.0</v>
      </c>
      <c r="AW149" s="14">
        <v>10.0</v>
      </c>
      <c r="AX149" s="14" t="s">
        <v>99</v>
      </c>
      <c r="AY149" s="14" t="s">
        <v>99</v>
      </c>
      <c r="AZ149" s="14" t="s">
        <v>99</v>
      </c>
      <c r="BA149" s="14" t="s">
        <v>99</v>
      </c>
      <c r="BB149" s="14">
        <v>5423.0</v>
      </c>
      <c r="BC149" s="14">
        <v>5432.0</v>
      </c>
      <c r="BD149" s="14" t="s">
        <v>99</v>
      </c>
      <c r="BE149" s="14" t="s">
        <v>3295</v>
      </c>
      <c r="BF149" s="15" t="str">
        <f>HYPERLINK("http://dx.doi.org/10.1021/es500371t","http://dx.doi.org/10.1021/es500371t")</f>
        <v>http://dx.doi.org/10.1021/es500371t</v>
      </c>
      <c r="BG149" s="14" t="s">
        <v>99</v>
      </c>
      <c r="BH149" s="14" t="s">
        <v>99</v>
      </c>
      <c r="BI149" s="14">
        <v>10.0</v>
      </c>
      <c r="BJ149" s="14" t="s">
        <v>1439</v>
      </c>
      <c r="BK149" s="14" t="s">
        <v>122</v>
      </c>
      <c r="BL149" s="14" t="s">
        <v>1440</v>
      </c>
      <c r="BM149" s="14" t="s">
        <v>3296</v>
      </c>
      <c r="BN149" s="14">
        <v>2.4821647E7</v>
      </c>
      <c r="BO149" s="14" t="s">
        <v>425</v>
      </c>
      <c r="BP149" s="14" t="s">
        <v>99</v>
      </c>
      <c r="BQ149" s="14" t="s">
        <v>99</v>
      </c>
      <c r="BR149" s="14" t="s">
        <v>124</v>
      </c>
      <c r="BS149" s="14" t="s">
        <v>3297</v>
      </c>
      <c r="BT149" s="14" t="str">
        <f>HYPERLINK("https%3A%2F%2Fwww.webofscience.com%2Fwos%2Fwoscc%2Ffull-record%2FWOS:000336415200011","View Full Record in Web of Science")</f>
        <v>View Full Record in Web of Science</v>
      </c>
    </row>
    <row r="150" ht="12.75" customHeight="1">
      <c r="A150" s="14" t="s">
        <v>97</v>
      </c>
      <c r="B150" s="14" t="s">
        <v>3298</v>
      </c>
      <c r="C150" s="14" t="s">
        <v>99</v>
      </c>
      <c r="D150" s="14" t="s">
        <v>99</v>
      </c>
      <c r="E150" s="14" t="s">
        <v>99</v>
      </c>
      <c r="F150" s="14" t="s">
        <v>3299</v>
      </c>
      <c r="G150" s="14" t="s">
        <v>99</v>
      </c>
      <c r="H150" s="14" t="s">
        <v>99</v>
      </c>
      <c r="I150" s="14" t="s">
        <v>3300</v>
      </c>
      <c r="J150" s="14" t="s">
        <v>900</v>
      </c>
      <c r="K150" s="14" t="s">
        <v>99</v>
      </c>
      <c r="L150" s="14" t="s">
        <v>99</v>
      </c>
      <c r="M150" s="14" t="s">
        <v>103</v>
      </c>
      <c r="N150" s="14" t="s">
        <v>104</v>
      </c>
      <c r="O150" s="14" t="s">
        <v>99</v>
      </c>
      <c r="P150" s="14" t="s">
        <v>99</v>
      </c>
      <c r="Q150" s="14" t="s">
        <v>99</v>
      </c>
      <c r="R150" s="14" t="s">
        <v>99</v>
      </c>
      <c r="S150" s="14" t="s">
        <v>99</v>
      </c>
      <c r="T150" s="14" t="s">
        <v>99</v>
      </c>
      <c r="U150" s="14" t="s">
        <v>3301</v>
      </c>
      <c r="V150" s="14" t="s">
        <v>3302</v>
      </c>
      <c r="W150" s="14" t="s">
        <v>3303</v>
      </c>
      <c r="X150" s="14" t="s">
        <v>3304</v>
      </c>
      <c r="Y150" s="14" t="s">
        <v>3305</v>
      </c>
      <c r="Z150" s="14" t="s">
        <v>3306</v>
      </c>
      <c r="AA150" s="14" t="s">
        <v>3307</v>
      </c>
      <c r="AB150" s="14" t="s">
        <v>3308</v>
      </c>
      <c r="AC150" s="14" t="s">
        <v>3309</v>
      </c>
      <c r="AD150" s="14" t="s">
        <v>3310</v>
      </c>
      <c r="AE150" s="14" t="s">
        <v>3311</v>
      </c>
      <c r="AF150" s="14" t="s">
        <v>99</v>
      </c>
      <c r="AG150" s="14">
        <v>42.0</v>
      </c>
      <c r="AH150" s="14">
        <v>465.0</v>
      </c>
      <c r="AI150" s="14">
        <v>518.0</v>
      </c>
      <c r="AJ150" s="14">
        <v>35.0</v>
      </c>
      <c r="AK150" s="14">
        <v>1089.0</v>
      </c>
      <c r="AL150" s="14" t="s">
        <v>1326</v>
      </c>
      <c r="AM150" s="14" t="s">
        <v>274</v>
      </c>
      <c r="AN150" s="14" t="s">
        <v>1327</v>
      </c>
      <c r="AO150" s="14" t="s">
        <v>912</v>
      </c>
      <c r="AP150" s="14" t="s">
        <v>913</v>
      </c>
      <c r="AQ150" s="14" t="s">
        <v>99</v>
      </c>
      <c r="AR150" s="14" t="s">
        <v>900</v>
      </c>
      <c r="AS150" s="14" t="s">
        <v>914</v>
      </c>
      <c r="AT150" s="14" t="s">
        <v>3312</v>
      </c>
      <c r="AU150" s="14">
        <v>2014.0</v>
      </c>
      <c r="AV150" s="14">
        <v>508.0</v>
      </c>
      <c r="AW150" s="14">
        <v>7497.0</v>
      </c>
      <c r="AX150" s="14" t="s">
        <v>99</v>
      </c>
      <c r="AY150" s="14" t="s">
        <v>99</v>
      </c>
      <c r="AZ150" s="14" t="s">
        <v>99</v>
      </c>
      <c r="BA150" s="14" t="s">
        <v>99</v>
      </c>
      <c r="BB150" s="14">
        <v>521.0</v>
      </c>
      <c r="BC150" s="14" t="s">
        <v>916</v>
      </c>
      <c r="BD150" s="14" t="s">
        <v>99</v>
      </c>
      <c r="BE150" s="14" t="s">
        <v>3313</v>
      </c>
      <c r="BF150" s="15" t="str">
        <f>HYPERLINK("http://dx.doi.org/10.1038/nature13014","http://dx.doi.org/10.1038/nature13014")</f>
        <v>http://dx.doi.org/10.1038/nature13014</v>
      </c>
      <c r="BG150" s="14" t="s">
        <v>99</v>
      </c>
      <c r="BH150" s="14" t="s">
        <v>99</v>
      </c>
      <c r="BI150" s="14">
        <v>10.0</v>
      </c>
      <c r="BJ150" s="14" t="s">
        <v>799</v>
      </c>
      <c r="BK150" s="14" t="s">
        <v>122</v>
      </c>
      <c r="BL150" s="14" t="s">
        <v>801</v>
      </c>
      <c r="BM150" s="14" t="s">
        <v>3314</v>
      </c>
      <c r="BN150" s="14">
        <v>2.4531763E7</v>
      </c>
      <c r="BO150" s="14" t="s">
        <v>576</v>
      </c>
      <c r="BP150" s="14" t="s">
        <v>99</v>
      </c>
      <c r="BQ150" s="14" t="s">
        <v>99</v>
      </c>
      <c r="BR150" s="14" t="s">
        <v>124</v>
      </c>
      <c r="BS150" s="14" t="s">
        <v>3315</v>
      </c>
      <c r="BT150" s="14" t="str">
        <f>HYPERLINK("https%3A%2F%2Fwww.webofscience.com%2Fwos%2Fwoscc%2Ffull-record%2FWOS:000334741600036","View Full Record in Web of Science")</f>
        <v>View Full Record in Web of Science</v>
      </c>
    </row>
    <row r="151" ht="12.75" customHeight="1">
      <c r="A151" s="14" t="s">
        <v>97</v>
      </c>
      <c r="B151" s="14" t="s">
        <v>3316</v>
      </c>
      <c r="C151" s="14" t="s">
        <v>99</v>
      </c>
      <c r="D151" s="14" t="s">
        <v>99</v>
      </c>
      <c r="E151" s="14" t="s">
        <v>99</v>
      </c>
      <c r="F151" s="14" t="s">
        <v>3317</v>
      </c>
      <c r="G151" s="14" t="s">
        <v>99</v>
      </c>
      <c r="H151" s="14" t="s">
        <v>99</v>
      </c>
      <c r="I151" s="14" t="s">
        <v>3318</v>
      </c>
      <c r="J151" s="14" t="s">
        <v>481</v>
      </c>
      <c r="K151" s="14" t="s">
        <v>99</v>
      </c>
      <c r="L151" s="14" t="s">
        <v>99</v>
      </c>
      <c r="M151" s="14" t="s">
        <v>103</v>
      </c>
      <c r="N151" s="14" t="s">
        <v>104</v>
      </c>
      <c r="O151" s="14" t="s">
        <v>99</v>
      </c>
      <c r="P151" s="14" t="s">
        <v>99</v>
      </c>
      <c r="Q151" s="14" t="s">
        <v>99</v>
      </c>
      <c r="R151" s="14" t="s">
        <v>99</v>
      </c>
      <c r="S151" s="14" t="s">
        <v>99</v>
      </c>
      <c r="T151" s="14" t="s">
        <v>3319</v>
      </c>
      <c r="U151" s="14" t="s">
        <v>3320</v>
      </c>
      <c r="V151" s="14" t="s">
        <v>3321</v>
      </c>
      <c r="W151" s="14" t="s">
        <v>3322</v>
      </c>
      <c r="X151" s="14" t="s">
        <v>3323</v>
      </c>
      <c r="Y151" s="14" t="s">
        <v>3324</v>
      </c>
      <c r="Z151" s="14" t="s">
        <v>3325</v>
      </c>
      <c r="AA151" s="14" t="s">
        <v>3326</v>
      </c>
      <c r="AB151" s="14" t="s">
        <v>99</v>
      </c>
      <c r="AC151" s="14" t="s">
        <v>3327</v>
      </c>
      <c r="AD151" s="14" t="s">
        <v>3328</v>
      </c>
      <c r="AE151" s="14" t="s">
        <v>3329</v>
      </c>
      <c r="AF151" s="14" t="s">
        <v>99</v>
      </c>
      <c r="AG151" s="14">
        <v>77.0</v>
      </c>
      <c r="AH151" s="14">
        <v>98.0</v>
      </c>
      <c r="AI151" s="14">
        <v>106.0</v>
      </c>
      <c r="AJ151" s="14">
        <v>2.0</v>
      </c>
      <c r="AK151" s="14">
        <v>135.0</v>
      </c>
      <c r="AL151" s="14" t="s">
        <v>493</v>
      </c>
      <c r="AM151" s="14" t="s">
        <v>468</v>
      </c>
      <c r="AN151" s="14" t="s">
        <v>635</v>
      </c>
      <c r="AO151" s="14" t="s">
        <v>496</v>
      </c>
      <c r="AP151" s="14" t="s">
        <v>497</v>
      </c>
      <c r="AQ151" s="14" t="s">
        <v>99</v>
      </c>
      <c r="AR151" s="14" t="s">
        <v>498</v>
      </c>
      <c r="AS151" s="14" t="s">
        <v>499</v>
      </c>
      <c r="AT151" s="14" t="s">
        <v>718</v>
      </c>
      <c r="AU151" s="14">
        <v>2014.0</v>
      </c>
      <c r="AV151" s="14">
        <v>95.0</v>
      </c>
      <c r="AW151" s="14" t="s">
        <v>99</v>
      </c>
      <c r="AX151" s="14" t="s">
        <v>99</v>
      </c>
      <c r="AY151" s="14" t="s">
        <v>99</v>
      </c>
      <c r="AZ151" s="14" t="s">
        <v>99</v>
      </c>
      <c r="BA151" s="14" t="s">
        <v>99</v>
      </c>
      <c r="BB151" s="14">
        <v>1.0</v>
      </c>
      <c r="BC151" s="14">
        <v>12.0</v>
      </c>
      <c r="BD151" s="14" t="s">
        <v>99</v>
      </c>
      <c r="BE151" s="14" t="s">
        <v>3330</v>
      </c>
      <c r="BF151" s="15" t="str">
        <f>HYPERLINK("http://dx.doi.org/10.1016/j.marenvres.2013.12.008","http://dx.doi.org/10.1016/j.marenvres.2013.12.008")</f>
        <v>http://dx.doi.org/10.1016/j.marenvres.2013.12.008</v>
      </c>
      <c r="BG151" s="14" t="s">
        <v>99</v>
      </c>
      <c r="BH151" s="14" t="s">
        <v>99</v>
      </c>
      <c r="BI151" s="14">
        <v>12.0</v>
      </c>
      <c r="BJ151" s="14" t="s">
        <v>501</v>
      </c>
      <c r="BK151" s="14" t="s">
        <v>122</v>
      </c>
      <c r="BL151" s="14" t="s">
        <v>502</v>
      </c>
      <c r="BM151" s="14" t="s">
        <v>3331</v>
      </c>
      <c r="BN151" s="14">
        <v>2.4373388E7</v>
      </c>
      <c r="BO151" s="14" t="s">
        <v>99</v>
      </c>
      <c r="BP151" s="14" t="s">
        <v>99</v>
      </c>
      <c r="BQ151" s="14" t="s">
        <v>99</v>
      </c>
      <c r="BR151" s="14" t="s">
        <v>124</v>
      </c>
      <c r="BS151" s="14" t="s">
        <v>3332</v>
      </c>
      <c r="BT151" s="14" t="str">
        <f>HYPERLINK("https%3A%2F%2Fwww.webofscience.com%2Fwos%2Fwoscc%2Ffull-record%2FWOS:000332056700001","View Full Record in Web of Science")</f>
        <v>View Full Record in Web of Science</v>
      </c>
    </row>
    <row r="152" ht="12.75" customHeight="1">
      <c r="A152" s="14" t="s">
        <v>97</v>
      </c>
      <c r="B152" s="14" t="s">
        <v>3333</v>
      </c>
      <c r="C152" s="14" t="s">
        <v>99</v>
      </c>
      <c r="D152" s="14" t="s">
        <v>99</v>
      </c>
      <c r="E152" s="14" t="s">
        <v>99</v>
      </c>
      <c r="F152" s="14" t="s">
        <v>3334</v>
      </c>
      <c r="G152" s="14" t="s">
        <v>99</v>
      </c>
      <c r="H152" s="14" t="s">
        <v>99</v>
      </c>
      <c r="I152" s="14" t="s">
        <v>3335</v>
      </c>
      <c r="J152" s="14" t="s">
        <v>2994</v>
      </c>
      <c r="K152" s="14" t="s">
        <v>99</v>
      </c>
      <c r="L152" s="14" t="s">
        <v>99</v>
      </c>
      <c r="M152" s="14" t="s">
        <v>103</v>
      </c>
      <c r="N152" s="14" t="s">
        <v>104</v>
      </c>
      <c r="O152" s="14" t="s">
        <v>99</v>
      </c>
      <c r="P152" s="14" t="s">
        <v>99</v>
      </c>
      <c r="Q152" s="14" t="s">
        <v>99</v>
      </c>
      <c r="R152" s="14" t="s">
        <v>99</v>
      </c>
      <c r="S152" s="14" t="s">
        <v>99</v>
      </c>
      <c r="T152" s="14" t="s">
        <v>3336</v>
      </c>
      <c r="U152" s="14" t="s">
        <v>3337</v>
      </c>
      <c r="V152" s="14" t="s">
        <v>3338</v>
      </c>
      <c r="W152" s="14" t="s">
        <v>3339</v>
      </c>
      <c r="X152" s="14" t="s">
        <v>3340</v>
      </c>
      <c r="Y152" s="14" t="s">
        <v>3341</v>
      </c>
      <c r="Z152" s="14" t="s">
        <v>3342</v>
      </c>
      <c r="AA152" s="14" t="s">
        <v>3343</v>
      </c>
      <c r="AB152" s="14" t="s">
        <v>3344</v>
      </c>
      <c r="AC152" s="14" t="s">
        <v>3345</v>
      </c>
      <c r="AD152" s="14" t="s">
        <v>3346</v>
      </c>
      <c r="AE152" s="14" t="s">
        <v>3347</v>
      </c>
      <c r="AF152" s="14" t="s">
        <v>99</v>
      </c>
      <c r="AG152" s="14">
        <v>63.0</v>
      </c>
      <c r="AH152" s="14">
        <v>32.0</v>
      </c>
      <c r="AI152" s="14">
        <v>43.0</v>
      </c>
      <c r="AJ152" s="14">
        <v>3.0</v>
      </c>
      <c r="AK152" s="14">
        <v>82.0</v>
      </c>
      <c r="AL152" s="14" t="s">
        <v>3348</v>
      </c>
      <c r="AM152" s="14" t="s">
        <v>3004</v>
      </c>
      <c r="AN152" s="14" t="s">
        <v>3005</v>
      </c>
      <c r="AO152" s="14" t="s">
        <v>3006</v>
      </c>
      <c r="AP152" s="14" t="s">
        <v>3007</v>
      </c>
      <c r="AQ152" s="14" t="s">
        <v>99</v>
      </c>
      <c r="AR152" s="14" t="s">
        <v>3008</v>
      </c>
      <c r="AS152" s="14" t="s">
        <v>3009</v>
      </c>
      <c r="AT152" s="14" t="s">
        <v>718</v>
      </c>
      <c r="AU152" s="14">
        <v>2014.0</v>
      </c>
      <c r="AV152" s="14">
        <v>225.0</v>
      </c>
      <c r="AW152" s="14">
        <v>4.0</v>
      </c>
      <c r="AX152" s="14" t="s">
        <v>99</v>
      </c>
      <c r="AY152" s="14" t="s">
        <v>99</v>
      </c>
      <c r="AZ152" s="14" t="s">
        <v>99</v>
      </c>
      <c r="BA152" s="14" t="s">
        <v>99</v>
      </c>
      <c r="BB152" s="14" t="s">
        <v>99</v>
      </c>
      <c r="BC152" s="14" t="s">
        <v>99</v>
      </c>
      <c r="BD152" s="14">
        <v>1925.0</v>
      </c>
      <c r="BE152" s="14" t="s">
        <v>3349</v>
      </c>
      <c r="BF152" s="15" t="str">
        <f>HYPERLINK("http://dx.doi.org/10.1007/s11270-014-1925-x","http://dx.doi.org/10.1007/s11270-014-1925-x")</f>
        <v>http://dx.doi.org/10.1007/s11270-014-1925-x</v>
      </c>
      <c r="BG152" s="14" t="s">
        <v>99</v>
      </c>
      <c r="BH152" s="14" t="s">
        <v>99</v>
      </c>
      <c r="BI152" s="14">
        <v>15.0</v>
      </c>
      <c r="BJ152" s="14" t="s">
        <v>3011</v>
      </c>
      <c r="BK152" s="14" t="s">
        <v>122</v>
      </c>
      <c r="BL152" s="14" t="s">
        <v>3012</v>
      </c>
      <c r="BM152" s="14" t="s">
        <v>3350</v>
      </c>
      <c r="BN152" s="14" t="s">
        <v>99</v>
      </c>
      <c r="BO152" s="14" t="s">
        <v>99</v>
      </c>
      <c r="BP152" s="14" t="s">
        <v>99</v>
      </c>
      <c r="BQ152" s="14" t="s">
        <v>99</v>
      </c>
      <c r="BR152" s="14" t="s">
        <v>124</v>
      </c>
      <c r="BS152" s="14" t="s">
        <v>3351</v>
      </c>
      <c r="BT152" s="14" t="str">
        <f>HYPERLINK("https%3A%2F%2Fwww.webofscience.com%2Fwos%2Fwoscc%2Ffull-record%2FWOS:000334578300016","View Full Record in Web of Science")</f>
        <v>View Full Record in Web of Science</v>
      </c>
    </row>
    <row r="153" ht="12.75" customHeight="1">
      <c r="A153" s="14" t="s">
        <v>97</v>
      </c>
      <c r="B153" s="14" t="s">
        <v>3352</v>
      </c>
      <c r="C153" s="14" t="s">
        <v>99</v>
      </c>
      <c r="D153" s="14" t="s">
        <v>99</v>
      </c>
      <c r="E153" s="14" t="s">
        <v>99</v>
      </c>
      <c r="F153" s="14" t="s">
        <v>3353</v>
      </c>
      <c r="G153" s="14" t="s">
        <v>99</v>
      </c>
      <c r="H153" s="14" t="s">
        <v>99</v>
      </c>
      <c r="I153" s="14" t="s">
        <v>3354</v>
      </c>
      <c r="J153" s="14" t="s">
        <v>3355</v>
      </c>
      <c r="K153" s="14" t="s">
        <v>99</v>
      </c>
      <c r="L153" s="14" t="s">
        <v>99</v>
      </c>
      <c r="M153" s="14" t="s">
        <v>103</v>
      </c>
      <c r="N153" s="14" t="s">
        <v>104</v>
      </c>
      <c r="O153" s="14" t="s">
        <v>99</v>
      </c>
      <c r="P153" s="14" t="s">
        <v>99</v>
      </c>
      <c r="Q153" s="14" t="s">
        <v>99</v>
      </c>
      <c r="R153" s="14" t="s">
        <v>99</v>
      </c>
      <c r="S153" s="14" t="s">
        <v>99</v>
      </c>
      <c r="T153" s="14" t="s">
        <v>99</v>
      </c>
      <c r="U153" s="14" t="s">
        <v>3356</v>
      </c>
      <c r="V153" s="14" t="s">
        <v>3357</v>
      </c>
      <c r="W153" s="14" t="s">
        <v>3358</v>
      </c>
      <c r="X153" s="14" t="s">
        <v>3359</v>
      </c>
      <c r="Y153" s="14" t="s">
        <v>3360</v>
      </c>
      <c r="Z153" s="14" t="s">
        <v>3361</v>
      </c>
      <c r="AA153" s="14" t="s">
        <v>3362</v>
      </c>
      <c r="AB153" s="14" t="s">
        <v>3363</v>
      </c>
      <c r="AC153" s="14" t="s">
        <v>3364</v>
      </c>
      <c r="AD153" s="14" t="s">
        <v>3365</v>
      </c>
      <c r="AE153" s="14" t="s">
        <v>3366</v>
      </c>
      <c r="AF153" s="14" t="s">
        <v>99</v>
      </c>
      <c r="AG153" s="14">
        <v>53.0</v>
      </c>
      <c r="AH153" s="14">
        <v>28.0</v>
      </c>
      <c r="AI153" s="14">
        <v>33.0</v>
      </c>
      <c r="AJ153" s="14">
        <v>0.0</v>
      </c>
      <c r="AK153" s="14">
        <v>116.0</v>
      </c>
      <c r="AL153" s="14" t="s">
        <v>341</v>
      </c>
      <c r="AM153" s="14" t="s">
        <v>342</v>
      </c>
      <c r="AN153" s="14" t="s">
        <v>343</v>
      </c>
      <c r="AO153" s="14" t="s">
        <v>3367</v>
      </c>
      <c r="AP153" s="14" t="s">
        <v>3368</v>
      </c>
      <c r="AQ153" s="14" t="s">
        <v>99</v>
      </c>
      <c r="AR153" s="14" t="s">
        <v>3355</v>
      </c>
      <c r="AS153" s="14" t="s">
        <v>3369</v>
      </c>
      <c r="AT153" s="14" t="s">
        <v>718</v>
      </c>
      <c r="AU153" s="14">
        <v>2014.0</v>
      </c>
      <c r="AV153" s="14">
        <v>37.0</v>
      </c>
      <c r="AW153" s="14">
        <v>4.0</v>
      </c>
      <c r="AX153" s="14" t="s">
        <v>99</v>
      </c>
      <c r="AY153" s="14" t="s">
        <v>99</v>
      </c>
      <c r="AZ153" s="14" t="s">
        <v>99</v>
      </c>
      <c r="BA153" s="14" t="s">
        <v>99</v>
      </c>
      <c r="BB153" s="14">
        <v>367.0</v>
      </c>
      <c r="BC153" s="14">
        <v>377.0</v>
      </c>
      <c r="BD153" s="14" t="s">
        <v>99</v>
      </c>
      <c r="BE153" s="14" t="s">
        <v>3370</v>
      </c>
      <c r="BF153" s="15" t="str">
        <f>HYPERLINK("http://dx.doi.org/10.1111/j.1600-0587.2013.00359.x","http://dx.doi.org/10.1111/j.1600-0587.2013.00359.x")</f>
        <v>http://dx.doi.org/10.1111/j.1600-0587.2013.00359.x</v>
      </c>
      <c r="BG153" s="14" t="s">
        <v>99</v>
      </c>
      <c r="BH153" s="14" t="s">
        <v>99</v>
      </c>
      <c r="BI153" s="14">
        <v>11.0</v>
      </c>
      <c r="BJ153" s="14" t="s">
        <v>550</v>
      </c>
      <c r="BK153" s="14" t="s">
        <v>122</v>
      </c>
      <c r="BL153" s="14" t="s">
        <v>352</v>
      </c>
      <c r="BM153" s="14" t="s">
        <v>3371</v>
      </c>
      <c r="BN153" s="14" t="s">
        <v>99</v>
      </c>
      <c r="BO153" s="14" t="s">
        <v>99</v>
      </c>
      <c r="BP153" s="14" t="s">
        <v>99</v>
      </c>
      <c r="BQ153" s="14" t="s">
        <v>99</v>
      </c>
      <c r="BR153" s="14" t="s">
        <v>124</v>
      </c>
      <c r="BS153" s="14" t="s">
        <v>3372</v>
      </c>
      <c r="BT153" s="14" t="str">
        <f>HYPERLINK("https%3A%2F%2Fwww.webofscience.com%2Fwos%2Fwoscc%2Ffull-record%2FWOS:000333608400007","View Full Record in Web of Science")</f>
        <v>View Full Record in Web of Science</v>
      </c>
    </row>
    <row r="154" ht="12.75" customHeight="1">
      <c r="A154" s="14" t="s">
        <v>97</v>
      </c>
      <c r="B154" s="14" t="s">
        <v>3373</v>
      </c>
      <c r="C154" s="14" t="s">
        <v>99</v>
      </c>
      <c r="D154" s="14" t="s">
        <v>99</v>
      </c>
      <c r="E154" s="14" t="s">
        <v>99</v>
      </c>
      <c r="F154" s="14" t="s">
        <v>3374</v>
      </c>
      <c r="G154" s="14" t="s">
        <v>99</v>
      </c>
      <c r="H154" s="14" t="s">
        <v>99</v>
      </c>
      <c r="I154" s="14" t="s">
        <v>3375</v>
      </c>
      <c r="J154" s="14" t="s">
        <v>776</v>
      </c>
      <c r="K154" s="14" t="s">
        <v>99</v>
      </c>
      <c r="L154" s="14" t="s">
        <v>99</v>
      </c>
      <c r="M154" s="14" t="s">
        <v>103</v>
      </c>
      <c r="N154" s="14" t="s">
        <v>104</v>
      </c>
      <c r="O154" s="14" t="s">
        <v>99</v>
      </c>
      <c r="P154" s="14" t="s">
        <v>99</v>
      </c>
      <c r="Q154" s="14" t="s">
        <v>99</v>
      </c>
      <c r="R154" s="14" t="s">
        <v>99</v>
      </c>
      <c r="S154" s="14" t="s">
        <v>99</v>
      </c>
      <c r="T154" s="14" t="s">
        <v>3376</v>
      </c>
      <c r="U154" s="14" t="s">
        <v>3377</v>
      </c>
      <c r="V154" s="14" t="s">
        <v>3378</v>
      </c>
      <c r="W154" s="14" t="s">
        <v>3379</v>
      </c>
      <c r="X154" s="14" t="s">
        <v>3380</v>
      </c>
      <c r="Y154" s="14" t="s">
        <v>3381</v>
      </c>
      <c r="Z154" s="14" t="s">
        <v>3382</v>
      </c>
      <c r="AA154" s="14" t="s">
        <v>3383</v>
      </c>
      <c r="AB154" s="14" t="s">
        <v>3384</v>
      </c>
      <c r="AC154" s="14" t="s">
        <v>3385</v>
      </c>
      <c r="AD154" s="14" t="s">
        <v>3386</v>
      </c>
      <c r="AE154" s="14" t="s">
        <v>3387</v>
      </c>
      <c r="AF154" s="14" t="s">
        <v>99</v>
      </c>
      <c r="AG154" s="14">
        <v>38.0</v>
      </c>
      <c r="AH154" s="14">
        <v>1042.0</v>
      </c>
      <c r="AI154" s="14">
        <v>1174.0</v>
      </c>
      <c r="AJ154" s="14">
        <v>24.0</v>
      </c>
      <c r="AK154" s="14">
        <v>798.0</v>
      </c>
      <c r="AL154" s="14" t="s">
        <v>788</v>
      </c>
      <c r="AM154" s="14" t="s">
        <v>789</v>
      </c>
      <c r="AN154" s="14" t="s">
        <v>790</v>
      </c>
      <c r="AO154" s="14" t="s">
        <v>791</v>
      </c>
      <c r="AP154" s="14" t="s">
        <v>792</v>
      </c>
      <c r="AQ154" s="14" t="s">
        <v>99</v>
      </c>
      <c r="AR154" s="14" t="s">
        <v>793</v>
      </c>
      <c r="AS154" s="14" t="s">
        <v>794</v>
      </c>
      <c r="AT154" s="14" t="s">
        <v>3388</v>
      </c>
      <c r="AU154" s="14">
        <v>2014.0</v>
      </c>
      <c r="AV154" s="14">
        <v>111.0</v>
      </c>
      <c r="AW154" s="14">
        <v>9.0</v>
      </c>
      <c r="AX154" s="14" t="s">
        <v>99</v>
      </c>
      <c r="AY154" s="14" t="s">
        <v>99</v>
      </c>
      <c r="AZ154" s="14" t="s">
        <v>99</v>
      </c>
      <c r="BA154" s="14" t="s">
        <v>99</v>
      </c>
      <c r="BB154" s="14">
        <v>3251.0</v>
      </c>
      <c r="BC154" s="14">
        <v>3256.0</v>
      </c>
      <c r="BD154" s="14" t="s">
        <v>99</v>
      </c>
      <c r="BE154" s="14" t="s">
        <v>3389</v>
      </c>
      <c r="BF154" s="15" t="str">
        <f>HYPERLINK("http://dx.doi.org/10.1073/pnas.1222475110","http://dx.doi.org/10.1073/pnas.1222475110")</f>
        <v>http://dx.doi.org/10.1073/pnas.1222475110</v>
      </c>
      <c r="BG154" s="14" t="s">
        <v>99</v>
      </c>
      <c r="BH154" s="14" t="s">
        <v>99</v>
      </c>
      <c r="BI154" s="14">
        <v>6.0</v>
      </c>
      <c r="BJ154" s="14" t="s">
        <v>799</v>
      </c>
      <c r="BK154" s="14" t="s">
        <v>122</v>
      </c>
      <c r="BL154" s="14" t="s">
        <v>801</v>
      </c>
      <c r="BM154" s="14" t="s">
        <v>3390</v>
      </c>
      <c r="BN154" s="14">
        <v>2.4344275E7</v>
      </c>
      <c r="BO154" s="14" t="s">
        <v>373</v>
      </c>
      <c r="BP154" s="14" t="s">
        <v>99</v>
      </c>
      <c r="BQ154" s="14" t="s">
        <v>99</v>
      </c>
      <c r="BR154" s="14" t="s">
        <v>124</v>
      </c>
      <c r="BS154" s="14" t="s">
        <v>3391</v>
      </c>
      <c r="BT154" s="14" t="str">
        <f>HYPERLINK("https%3A%2F%2Fwww.webofscience.com%2Fwos%2Fwoscc%2Ffull-record%2FWOS:000332560300026","View Full Record in Web of Science")</f>
        <v>View Full Record in Web of Science</v>
      </c>
    </row>
    <row r="155" ht="12.75" customHeight="1">
      <c r="A155" s="14" t="s">
        <v>97</v>
      </c>
      <c r="B155" s="14" t="s">
        <v>3392</v>
      </c>
      <c r="C155" s="14" t="s">
        <v>99</v>
      </c>
      <c r="D155" s="14" t="s">
        <v>99</v>
      </c>
      <c r="E155" s="14" t="s">
        <v>99</v>
      </c>
      <c r="F155" s="14" t="s">
        <v>3393</v>
      </c>
      <c r="G155" s="14" t="s">
        <v>99</v>
      </c>
      <c r="H155" s="14" t="s">
        <v>99</v>
      </c>
      <c r="I155" s="14" t="s">
        <v>3394</v>
      </c>
      <c r="J155" s="14" t="s">
        <v>1020</v>
      </c>
      <c r="K155" s="14" t="s">
        <v>99</v>
      </c>
      <c r="L155" s="14" t="s">
        <v>99</v>
      </c>
      <c r="M155" s="14" t="s">
        <v>103</v>
      </c>
      <c r="N155" s="14" t="s">
        <v>104</v>
      </c>
      <c r="O155" s="14" t="s">
        <v>99</v>
      </c>
      <c r="P155" s="14" t="s">
        <v>99</v>
      </c>
      <c r="Q155" s="14" t="s">
        <v>99</v>
      </c>
      <c r="R155" s="14" t="s">
        <v>99</v>
      </c>
      <c r="S155" s="14" t="s">
        <v>99</v>
      </c>
      <c r="T155" s="14" t="s">
        <v>3395</v>
      </c>
      <c r="U155" s="14" t="s">
        <v>3396</v>
      </c>
      <c r="V155" s="14" t="s">
        <v>3397</v>
      </c>
      <c r="W155" s="14" t="s">
        <v>3398</v>
      </c>
      <c r="X155" s="14" t="s">
        <v>3399</v>
      </c>
      <c r="Y155" s="14" t="s">
        <v>3400</v>
      </c>
      <c r="Z155" s="14" t="s">
        <v>3401</v>
      </c>
      <c r="AA155" s="14" t="s">
        <v>3402</v>
      </c>
      <c r="AB155" s="14" t="s">
        <v>3403</v>
      </c>
      <c r="AC155" s="14" t="s">
        <v>3404</v>
      </c>
      <c r="AD155" s="14" t="s">
        <v>3405</v>
      </c>
      <c r="AE155" s="14" t="s">
        <v>3406</v>
      </c>
      <c r="AF155" s="14" t="s">
        <v>99</v>
      </c>
      <c r="AG155" s="14">
        <v>42.0</v>
      </c>
      <c r="AH155" s="14">
        <v>145.0</v>
      </c>
      <c r="AI155" s="14">
        <v>171.0</v>
      </c>
      <c r="AJ155" s="14">
        <v>6.0</v>
      </c>
      <c r="AK155" s="14">
        <v>263.0</v>
      </c>
      <c r="AL155" s="14" t="s">
        <v>441</v>
      </c>
      <c r="AM155" s="14" t="s">
        <v>442</v>
      </c>
      <c r="AN155" s="14" t="s">
        <v>443</v>
      </c>
      <c r="AO155" s="14" t="s">
        <v>1035</v>
      </c>
      <c r="AP155" s="14" t="s">
        <v>1036</v>
      </c>
      <c r="AQ155" s="14" t="s">
        <v>99</v>
      </c>
      <c r="AR155" s="14" t="s">
        <v>1037</v>
      </c>
      <c r="AS155" s="14" t="s">
        <v>1038</v>
      </c>
      <c r="AT155" s="14" t="s">
        <v>1505</v>
      </c>
      <c r="AU155" s="14">
        <v>2014.0</v>
      </c>
      <c r="AV155" s="14">
        <v>472.0</v>
      </c>
      <c r="AW155" s="14" t="s">
        <v>99</v>
      </c>
      <c r="AX155" s="14" t="s">
        <v>99</v>
      </c>
      <c r="AY155" s="14" t="s">
        <v>99</v>
      </c>
      <c r="AZ155" s="14" t="s">
        <v>99</v>
      </c>
      <c r="BA155" s="14" t="s">
        <v>99</v>
      </c>
      <c r="BB155" s="14">
        <v>397.0</v>
      </c>
      <c r="BC155" s="14">
        <v>406.0</v>
      </c>
      <c r="BD155" s="14" t="s">
        <v>99</v>
      </c>
      <c r="BE155" s="14" t="s">
        <v>3407</v>
      </c>
      <c r="BF155" s="15" t="str">
        <f>HYPERLINK("http://dx.doi.org/10.1016/j.scitotenv.2013.10.128","http://dx.doi.org/10.1016/j.scitotenv.2013.10.128")</f>
        <v>http://dx.doi.org/10.1016/j.scitotenv.2013.10.128</v>
      </c>
      <c r="BG155" s="14" t="s">
        <v>99</v>
      </c>
      <c r="BH155" s="14" t="s">
        <v>99</v>
      </c>
      <c r="BI155" s="14">
        <v>10.0</v>
      </c>
      <c r="BJ155" s="14" t="s">
        <v>1041</v>
      </c>
      <c r="BK155" s="14" t="s">
        <v>122</v>
      </c>
      <c r="BL155" s="14" t="s">
        <v>260</v>
      </c>
      <c r="BM155" s="14" t="s">
        <v>3408</v>
      </c>
      <c r="BN155" s="14">
        <v>2.4295756E7</v>
      </c>
      <c r="BO155" s="14" t="s">
        <v>99</v>
      </c>
      <c r="BP155" s="14" t="s">
        <v>99</v>
      </c>
      <c r="BQ155" s="14" t="s">
        <v>99</v>
      </c>
      <c r="BR155" s="14" t="s">
        <v>124</v>
      </c>
      <c r="BS155" s="14" t="s">
        <v>3409</v>
      </c>
      <c r="BT155" s="14" t="str">
        <f>HYPERLINK("https%3A%2F%2Fwww.webofscience.com%2Fwos%2Fwoscc%2Ffull-record%2FWOS:000331916100047","View Full Record in Web of Science")</f>
        <v>View Full Record in Web of Science</v>
      </c>
    </row>
    <row r="156" ht="12.75" customHeight="1">
      <c r="A156" s="14" t="s">
        <v>97</v>
      </c>
      <c r="B156" s="14" t="s">
        <v>3410</v>
      </c>
      <c r="C156" s="14" t="s">
        <v>99</v>
      </c>
      <c r="D156" s="14" t="s">
        <v>99</v>
      </c>
      <c r="E156" s="14" t="s">
        <v>99</v>
      </c>
      <c r="F156" s="14" t="s">
        <v>3411</v>
      </c>
      <c r="G156" s="14" t="s">
        <v>99</v>
      </c>
      <c r="H156" s="14" t="s">
        <v>99</v>
      </c>
      <c r="I156" s="14" t="s">
        <v>3412</v>
      </c>
      <c r="J156" s="14" t="s">
        <v>3413</v>
      </c>
      <c r="K156" s="14" t="s">
        <v>99</v>
      </c>
      <c r="L156" s="14" t="s">
        <v>99</v>
      </c>
      <c r="M156" s="14" t="s">
        <v>103</v>
      </c>
      <c r="N156" s="14" t="s">
        <v>104</v>
      </c>
      <c r="O156" s="14" t="s">
        <v>99</v>
      </c>
      <c r="P156" s="14" t="s">
        <v>99</v>
      </c>
      <c r="Q156" s="14" t="s">
        <v>99</v>
      </c>
      <c r="R156" s="14" t="s">
        <v>99</v>
      </c>
      <c r="S156" s="14" t="s">
        <v>99</v>
      </c>
      <c r="T156" s="14" t="s">
        <v>3414</v>
      </c>
      <c r="U156" s="14" t="s">
        <v>3415</v>
      </c>
      <c r="V156" s="14" t="s">
        <v>3416</v>
      </c>
      <c r="W156" s="14" t="s">
        <v>3417</v>
      </c>
      <c r="X156" s="14" t="s">
        <v>3418</v>
      </c>
      <c r="Y156" s="14" t="s">
        <v>3419</v>
      </c>
      <c r="Z156" s="14" t="s">
        <v>3420</v>
      </c>
      <c r="AA156" s="14" t="s">
        <v>3421</v>
      </c>
      <c r="AB156" s="14" t="s">
        <v>3422</v>
      </c>
      <c r="AC156" s="14" t="s">
        <v>3423</v>
      </c>
      <c r="AD156" s="14" t="s">
        <v>3423</v>
      </c>
      <c r="AE156" s="14" t="s">
        <v>3424</v>
      </c>
      <c r="AF156" s="14" t="s">
        <v>99</v>
      </c>
      <c r="AG156" s="14">
        <v>69.0</v>
      </c>
      <c r="AH156" s="14">
        <v>28.0</v>
      </c>
      <c r="AI156" s="14">
        <v>29.0</v>
      </c>
      <c r="AJ156" s="14">
        <v>0.0</v>
      </c>
      <c r="AK156" s="14">
        <v>85.0</v>
      </c>
      <c r="AL156" s="14" t="s">
        <v>441</v>
      </c>
      <c r="AM156" s="14" t="s">
        <v>442</v>
      </c>
      <c r="AN156" s="14" t="s">
        <v>443</v>
      </c>
      <c r="AO156" s="14" t="s">
        <v>3425</v>
      </c>
      <c r="AP156" s="14" t="s">
        <v>3426</v>
      </c>
      <c r="AQ156" s="14" t="s">
        <v>99</v>
      </c>
      <c r="AR156" s="14" t="s">
        <v>3427</v>
      </c>
      <c r="AS156" s="14" t="s">
        <v>3428</v>
      </c>
      <c r="AT156" s="14" t="s">
        <v>3429</v>
      </c>
      <c r="AU156" s="14">
        <v>2014.0</v>
      </c>
      <c r="AV156" s="14">
        <v>273.0</v>
      </c>
      <c r="AW156" s="14" t="s">
        <v>99</v>
      </c>
      <c r="AX156" s="14" t="s">
        <v>99</v>
      </c>
      <c r="AY156" s="14" t="s">
        <v>99</v>
      </c>
      <c r="AZ156" s="14" t="s">
        <v>99</v>
      </c>
      <c r="BA156" s="14" t="s">
        <v>99</v>
      </c>
      <c r="BB156" s="14">
        <v>140.0</v>
      </c>
      <c r="BC156" s="14">
        <v>150.0</v>
      </c>
      <c r="BD156" s="14" t="s">
        <v>99</v>
      </c>
      <c r="BE156" s="14" t="s">
        <v>3430</v>
      </c>
      <c r="BF156" s="15" t="str">
        <f>HYPERLINK("http://dx.doi.org/10.1016/j.ecolmodel.2013.11.004","http://dx.doi.org/10.1016/j.ecolmodel.2013.11.004")</f>
        <v>http://dx.doi.org/10.1016/j.ecolmodel.2013.11.004</v>
      </c>
      <c r="BG156" s="14" t="s">
        <v>99</v>
      </c>
      <c r="BH156" s="14" t="s">
        <v>99</v>
      </c>
      <c r="BI156" s="14">
        <v>11.0</v>
      </c>
      <c r="BJ156" s="14" t="s">
        <v>259</v>
      </c>
      <c r="BK156" s="14" t="s">
        <v>122</v>
      </c>
      <c r="BL156" s="14" t="s">
        <v>260</v>
      </c>
      <c r="BM156" s="14" t="s">
        <v>3431</v>
      </c>
      <c r="BN156" s="14" t="s">
        <v>99</v>
      </c>
      <c r="BO156" s="14" t="s">
        <v>99</v>
      </c>
      <c r="BP156" s="14" t="s">
        <v>99</v>
      </c>
      <c r="BQ156" s="14" t="s">
        <v>99</v>
      </c>
      <c r="BR156" s="14" t="s">
        <v>124</v>
      </c>
      <c r="BS156" s="14" t="s">
        <v>3432</v>
      </c>
      <c r="BT156" s="14" t="str">
        <f>HYPERLINK("https%3A%2F%2Fwww.webofscience.com%2Fwos%2Fwoscc%2Ffull-record%2FWOS:000331673800014","View Full Record in Web of Science")</f>
        <v>View Full Record in Web of Science</v>
      </c>
    </row>
    <row r="157" ht="12.75" customHeight="1">
      <c r="A157" s="14" t="s">
        <v>97</v>
      </c>
      <c r="B157" s="14" t="s">
        <v>3433</v>
      </c>
      <c r="C157" s="14" t="s">
        <v>99</v>
      </c>
      <c r="D157" s="14" t="s">
        <v>99</v>
      </c>
      <c r="E157" s="14" t="s">
        <v>99</v>
      </c>
      <c r="F157" s="14" t="s">
        <v>3434</v>
      </c>
      <c r="G157" s="14" t="s">
        <v>99</v>
      </c>
      <c r="H157" s="14" t="s">
        <v>99</v>
      </c>
      <c r="I157" s="14" t="s">
        <v>3435</v>
      </c>
      <c r="J157" s="14" t="s">
        <v>3436</v>
      </c>
      <c r="K157" s="14" t="s">
        <v>99</v>
      </c>
      <c r="L157" s="14" t="s">
        <v>99</v>
      </c>
      <c r="M157" s="14" t="s">
        <v>103</v>
      </c>
      <c r="N157" s="14" t="s">
        <v>104</v>
      </c>
      <c r="O157" s="14" t="s">
        <v>99</v>
      </c>
      <c r="P157" s="14" t="s">
        <v>99</v>
      </c>
      <c r="Q157" s="14" t="s">
        <v>99</v>
      </c>
      <c r="R157" s="14" t="s">
        <v>99</v>
      </c>
      <c r="S157" s="14" t="s">
        <v>99</v>
      </c>
      <c r="T157" s="14" t="s">
        <v>3437</v>
      </c>
      <c r="U157" s="14" t="s">
        <v>3438</v>
      </c>
      <c r="V157" s="14" t="s">
        <v>3439</v>
      </c>
      <c r="W157" s="14" t="s">
        <v>3440</v>
      </c>
      <c r="X157" s="14" t="s">
        <v>3441</v>
      </c>
      <c r="Y157" s="14" t="s">
        <v>3442</v>
      </c>
      <c r="Z157" s="14" t="s">
        <v>3443</v>
      </c>
      <c r="AA157" s="14" t="s">
        <v>99</v>
      </c>
      <c r="AB157" s="14" t="s">
        <v>3444</v>
      </c>
      <c r="AC157" s="14" t="s">
        <v>3445</v>
      </c>
      <c r="AD157" s="14" t="s">
        <v>3446</v>
      </c>
      <c r="AE157" s="14" t="s">
        <v>3447</v>
      </c>
      <c r="AF157" s="14" t="s">
        <v>99</v>
      </c>
      <c r="AG157" s="14">
        <v>48.0</v>
      </c>
      <c r="AH157" s="14">
        <v>66.0</v>
      </c>
      <c r="AI157" s="14">
        <v>77.0</v>
      </c>
      <c r="AJ157" s="14">
        <v>5.0</v>
      </c>
      <c r="AK157" s="14">
        <v>167.0</v>
      </c>
      <c r="AL157" s="14" t="s">
        <v>1731</v>
      </c>
      <c r="AM157" s="14" t="s">
        <v>1594</v>
      </c>
      <c r="AN157" s="14" t="s">
        <v>3448</v>
      </c>
      <c r="AO157" s="14" t="s">
        <v>3449</v>
      </c>
      <c r="AP157" s="14" t="s">
        <v>3450</v>
      </c>
      <c r="AQ157" s="14" t="s">
        <v>99</v>
      </c>
      <c r="AR157" s="14" t="s">
        <v>3451</v>
      </c>
      <c r="AS157" s="14" t="s">
        <v>3452</v>
      </c>
      <c r="AT157" s="14" t="s">
        <v>280</v>
      </c>
      <c r="AU157" s="14">
        <v>2014.0</v>
      </c>
      <c r="AV157" s="14">
        <v>71.0</v>
      </c>
      <c r="AW157" s="14">
        <v>3.0</v>
      </c>
      <c r="AX157" s="14" t="s">
        <v>99</v>
      </c>
      <c r="AY157" s="14" t="s">
        <v>99</v>
      </c>
      <c r="AZ157" s="14" t="s">
        <v>99</v>
      </c>
      <c r="BA157" s="14" t="s">
        <v>99</v>
      </c>
      <c r="BB157" s="14">
        <v>1421.0</v>
      </c>
      <c r="BC157" s="14">
        <v>1431.0</v>
      </c>
      <c r="BD157" s="14" t="s">
        <v>99</v>
      </c>
      <c r="BE157" s="14" t="s">
        <v>3453</v>
      </c>
      <c r="BF157" s="15" t="str">
        <f>HYPERLINK("http://dx.doi.org/10.1007/s12665-013-2547-0","http://dx.doi.org/10.1007/s12665-013-2547-0")</f>
        <v>http://dx.doi.org/10.1007/s12665-013-2547-0</v>
      </c>
      <c r="BG157" s="14" t="s">
        <v>99</v>
      </c>
      <c r="BH157" s="14" t="s">
        <v>99</v>
      </c>
      <c r="BI157" s="14">
        <v>11.0</v>
      </c>
      <c r="BJ157" s="14" t="s">
        <v>3454</v>
      </c>
      <c r="BK157" s="14" t="s">
        <v>122</v>
      </c>
      <c r="BL157" s="14" t="s">
        <v>3455</v>
      </c>
      <c r="BM157" s="14" t="s">
        <v>3456</v>
      </c>
      <c r="BN157" s="14" t="s">
        <v>99</v>
      </c>
      <c r="BO157" s="14" t="s">
        <v>99</v>
      </c>
      <c r="BP157" s="14" t="s">
        <v>99</v>
      </c>
      <c r="BQ157" s="14" t="s">
        <v>99</v>
      </c>
      <c r="BR157" s="14" t="s">
        <v>124</v>
      </c>
      <c r="BS157" s="14" t="s">
        <v>3457</v>
      </c>
      <c r="BT157" s="14" t="str">
        <f>HYPERLINK("https%3A%2F%2Fwww.webofscience.com%2Fwos%2Fwoscc%2Ffull-record%2FWOS:000330124100038","View Full Record in Web of Science")</f>
        <v>View Full Record in Web of Science</v>
      </c>
    </row>
    <row r="158" ht="12.75" customHeight="1">
      <c r="A158" s="14" t="s">
        <v>97</v>
      </c>
      <c r="B158" s="14" t="s">
        <v>3458</v>
      </c>
      <c r="C158" s="14" t="s">
        <v>99</v>
      </c>
      <c r="D158" s="14" t="s">
        <v>99</v>
      </c>
      <c r="E158" s="14" t="s">
        <v>99</v>
      </c>
      <c r="F158" s="14" t="s">
        <v>3459</v>
      </c>
      <c r="G158" s="14" t="s">
        <v>99</v>
      </c>
      <c r="H158" s="14" t="s">
        <v>99</v>
      </c>
      <c r="I158" s="14" t="s">
        <v>3460</v>
      </c>
      <c r="J158" s="14" t="s">
        <v>430</v>
      </c>
      <c r="K158" s="14" t="s">
        <v>99</v>
      </c>
      <c r="L158" s="14" t="s">
        <v>99</v>
      </c>
      <c r="M158" s="14" t="s">
        <v>103</v>
      </c>
      <c r="N158" s="14" t="s">
        <v>104</v>
      </c>
      <c r="O158" s="14" t="s">
        <v>99</v>
      </c>
      <c r="P158" s="14" t="s">
        <v>99</v>
      </c>
      <c r="Q158" s="14" t="s">
        <v>99</v>
      </c>
      <c r="R158" s="14" t="s">
        <v>99</v>
      </c>
      <c r="S158" s="14" t="s">
        <v>99</v>
      </c>
      <c r="T158" s="14" t="s">
        <v>3461</v>
      </c>
      <c r="U158" s="14" t="s">
        <v>3462</v>
      </c>
      <c r="V158" s="14" t="s">
        <v>3463</v>
      </c>
      <c r="W158" s="14" t="s">
        <v>3464</v>
      </c>
      <c r="X158" s="14" t="s">
        <v>3465</v>
      </c>
      <c r="Y158" s="14" t="s">
        <v>3466</v>
      </c>
      <c r="Z158" s="14" t="s">
        <v>3467</v>
      </c>
      <c r="AA158" s="14" t="s">
        <v>3468</v>
      </c>
      <c r="AB158" s="14" t="s">
        <v>3469</v>
      </c>
      <c r="AC158" s="14" t="s">
        <v>3470</v>
      </c>
      <c r="AD158" s="14" t="s">
        <v>3471</v>
      </c>
      <c r="AE158" s="14" t="s">
        <v>3472</v>
      </c>
      <c r="AF158" s="14" t="s">
        <v>99</v>
      </c>
      <c r="AG158" s="14">
        <v>83.0</v>
      </c>
      <c r="AH158" s="14">
        <v>17.0</v>
      </c>
      <c r="AI158" s="14">
        <v>24.0</v>
      </c>
      <c r="AJ158" s="14">
        <v>2.0</v>
      </c>
      <c r="AK158" s="14">
        <v>79.0</v>
      </c>
      <c r="AL158" s="14" t="s">
        <v>441</v>
      </c>
      <c r="AM158" s="14" t="s">
        <v>442</v>
      </c>
      <c r="AN158" s="14" t="s">
        <v>443</v>
      </c>
      <c r="AO158" s="14" t="s">
        <v>444</v>
      </c>
      <c r="AP158" s="14" t="s">
        <v>445</v>
      </c>
      <c r="AQ158" s="14" t="s">
        <v>99</v>
      </c>
      <c r="AR158" s="14" t="s">
        <v>446</v>
      </c>
      <c r="AS158" s="14" t="s">
        <v>447</v>
      </c>
      <c r="AT158" s="14" t="s">
        <v>1550</v>
      </c>
      <c r="AU158" s="14">
        <v>2014.0</v>
      </c>
      <c r="AV158" s="14">
        <v>313.0</v>
      </c>
      <c r="AW158" s="14" t="s">
        <v>99</v>
      </c>
      <c r="AX158" s="14" t="s">
        <v>99</v>
      </c>
      <c r="AY158" s="14" t="s">
        <v>99</v>
      </c>
      <c r="AZ158" s="14" t="s">
        <v>99</v>
      </c>
      <c r="BA158" s="14" t="s">
        <v>99</v>
      </c>
      <c r="BB158" s="14">
        <v>199.0</v>
      </c>
      <c r="BC158" s="14">
        <v>211.0</v>
      </c>
      <c r="BD158" s="14" t="s">
        <v>99</v>
      </c>
      <c r="BE158" s="14" t="s">
        <v>3473</v>
      </c>
      <c r="BF158" s="15" t="str">
        <f>HYPERLINK("http://dx.doi.org/10.1016/j.foreco.2013.10.039","http://dx.doi.org/10.1016/j.foreco.2013.10.039")</f>
        <v>http://dx.doi.org/10.1016/j.foreco.2013.10.039</v>
      </c>
      <c r="BG158" s="14" t="s">
        <v>99</v>
      </c>
      <c r="BH158" s="14" t="s">
        <v>99</v>
      </c>
      <c r="BI158" s="14">
        <v>13.0</v>
      </c>
      <c r="BJ158" s="14" t="s">
        <v>281</v>
      </c>
      <c r="BK158" s="14" t="s">
        <v>122</v>
      </c>
      <c r="BL158" s="14" t="s">
        <v>281</v>
      </c>
      <c r="BM158" s="14" t="s">
        <v>3474</v>
      </c>
      <c r="BN158" s="14" t="s">
        <v>99</v>
      </c>
      <c r="BO158" s="14" t="s">
        <v>99</v>
      </c>
      <c r="BP158" s="14" t="s">
        <v>99</v>
      </c>
      <c r="BQ158" s="14" t="s">
        <v>99</v>
      </c>
      <c r="BR158" s="14" t="s">
        <v>124</v>
      </c>
      <c r="BS158" s="14" t="s">
        <v>3475</v>
      </c>
      <c r="BT158" s="14" t="str">
        <f>HYPERLINK("https%3A%2F%2Fwww.webofscience.com%2Fwos%2Fwoscc%2Ffull-record%2FWOS:000331665600023","View Full Record in Web of Science")</f>
        <v>View Full Record in Web of Science</v>
      </c>
    </row>
    <row r="159" ht="12.75" customHeight="1">
      <c r="A159" s="14" t="s">
        <v>97</v>
      </c>
      <c r="B159" s="14" t="s">
        <v>3476</v>
      </c>
      <c r="C159" s="14" t="s">
        <v>99</v>
      </c>
      <c r="D159" s="14" t="s">
        <v>99</v>
      </c>
      <c r="E159" s="14" t="s">
        <v>99</v>
      </c>
      <c r="F159" s="14" t="s">
        <v>3477</v>
      </c>
      <c r="G159" s="14" t="s">
        <v>99</v>
      </c>
      <c r="H159" s="14" t="s">
        <v>99</v>
      </c>
      <c r="I159" s="14" t="s">
        <v>3478</v>
      </c>
      <c r="J159" s="14" t="s">
        <v>3479</v>
      </c>
      <c r="K159" s="14" t="s">
        <v>99</v>
      </c>
      <c r="L159" s="14" t="s">
        <v>99</v>
      </c>
      <c r="M159" s="14" t="s">
        <v>103</v>
      </c>
      <c r="N159" s="14" t="s">
        <v>104</v>
      </c>
      <c r="O159" s="14" t="s">
        <v>99</v>
      </c>
      <c r="P159" s="14" t="s">
        <v>99</v>
      </c>
      <c r="Q159" s="14" t="s">
        <v>99</v>
      </c>
      <c r="R159" s="14" t="s">
        <v>99</v>
      </c>
      <c r="S159" s="14" t="s">
        <v>99</v>
      </c>
      <c r="T159" s="14" t="s">
        <v>3480</v>
      </c>
      <c r="U159" s="14" t="s">
        <v>3481</v>
      </c>
      <c r="V159" s="14" t="s">
        <v>3482</v>
      </c>
      <c r="W159" s="14" t="s">
        <v>3483</v>
      </c>
      <c r="X159" s="14" t="s">
        <v>3484</v>
      </c>
      <c r="Y159" s="14" t="s">
        <v>2956</v>
      </c>
      <c r="Z159" s="14" t="s">
        <v>2957</v>
      </c>
      <c r="AA159" s="14" t="s">
        <v>3485</v>
      </c>
      <c r="AB159" s="14" t="s">
        <v>3486</v>
      </c>
      <c r="AC159" s="14" t="s">
        <v>3487</v>
      </c>
      <c r="AD159" s="14" t="s">
        <v>3488</v>
      </c>
      <c r="AE159" s="14" t="s">
        <v>3489</v>
      </c>
      <c r="AF159" s="14" t="s">
        <v>99</v>
      </c>
      <c r="AG159" s="14">
        <v>58.0</v>
      </c>
      <c r="AH159" s="14">
        <v>118.0</v>
      </c>
      <c r="AI159" s="14">
        <v>159.0</v>
      </c>
      <c r="AJ159" s="14">
        <v>12.0</v>
      </c>
      <c r="AK159" s="14">
        <v>294.0</v>
      </c>
      <c r="AL159" s="14" t="s">
        <v>441</v>
      </c>
      <c r="AM159" s="14" t="s">
        <v>442</v>
      </c>
      <c r="AN159" s="14" t="s">
        <v>443</v>
      </c>
      <c r="AO159" s="14" t="s">
        <v>3490</v>
      </c>
      <c r="AP159" s="14" t="s">
        <v>3491</v>
      </c>
      <c r="AQ159" s="14" t="s">
        <v>99</v>
      </c>
      <c r="AR159" s="14" t="s">
        <v>3492</v>
      </c>
      <c r="AS159" s="14" t="s">
        <v>3493</v>
      </c>
      <c r="AT159" s="14" t="s">
        <v>280</v>
      </c>
      <c r="AU159" s="14">
        <v>2014.0</v>
      </c>
      <c r="AV159" s="14">
        <v>55.0</v>
      </c>
      <c r="AW159" s="14" t="s">
        <v>99</v>
      </c>
      <c r="AX159" s="14" t="s">
        <v>99</v>
      </c>
      <c r="AY159" s="14" t="s">
        <v>99</v>
      </c>
      <c r="AZ159" s="14" t="s">
        <v>99</v>
      </c>
      <c r="BA159" s="14" t="s">
        <v>99</v>
      </c>
      <c r="BB159" s="14">
        <v>86.0</v>
      </c>
      <c r="BC159" s="14">
        <v>96.0</v>
      </c>
      <c r="BD159" s="14" t="s">
        <v>99</v>
      </c>
      <c r="BE159" s="14" t="s">
        <v>3494</v>
      </c>
      <c r="BF159" s="15" t="str">
        <f>HYPERLINK("http://dx.doi.org/10.1016/j.actao.2013.12.006","http://dx.doi.org/10.1016/j.actao.2013.12.006")</f>
        <v>http://dx.doi.org/10.1016/j.actao.2013.12.006</v>
      </c>
      <c r="BG159" s="14" t="s">
        <v>99</v>
      </c>
      <c r="BH159" s="14" t="s">
        <v>99</v>
      </c>
      <c r="BI159" s="14">
        <v>11.0</v>
      </c>
      <c r="BJ159" s="14" t="s">
        <v>259</v>
      </c>
      <c r="BK159" s="14" t="s">
        <v>122</v>
      </c>
      <c r="BL159" s="14" t="s">
        <v>260</v>
      </c>
      <c r="BM159" s="14" t="s">
        <v>3495</v>
      </c>
      <c r="BN159" s="14" t="s">
        <v>99</v>
      </c>
      <c r="BO159" s="14" t="s">
        <v>99</v>
      </c>
      <c r="BP159" s="14" t="s">
        <v>99</v>
      </c>
      <c r="BQ159" s="14" t="s">
        <v>99</v>
      </c>
      <c r="BR159" s="14" t="s">
        <v>124</v>
      </c>
      <c r="BS159" s="14" t="s">
        <v>3496</v>
      </c>
      <c r="BT159" s="14" t="str">
        <f>HYPERLINK("https%3A%2F%2Fwww.webofscience.com%2Fwos%2Fwoscc%2Ffull-record%2FWOS:000331773100012","View Full Record in Web of Science")</f>
        <v>View Full Record in Web of Science</v>
      </c>
    </row>
    <row r="160" ht="12.75" customHeight="1">
      <c r="A160" s="14" t="s">
        <v>97</v>
      </c>
      <c r="B160" s="14" t="s">
        <v>3497</v>
      </c>
      <c r="C160" s="14" t="s">
        <v>99</v>
      </c>
      <c r="D160" s="14" t="s">
        <v>99</v>
      </c>
      <c r="E160" s="14" t="s">
        <v>99</v>
      </c>
      <c r="F160" s="14" t="s">
        <v>3498</v>
      </c>
      <c r="G160" s="14" t="s">
        <v>99</v>
      </c>
      <c r="H160" s="14" t="s">
        <v>99</v>
      </c>
      <c r="I160" s="14" t="s">
        <v>3499</v>
      </c>
      <c r="J160" s="14" t="s">
        <v>1020</v>
      </c>
      <c r="K160" s="14" t="s">
        <v>99</v>
      </c>
      <c r="L160" s="14" t="s">
        <v>99</v>
      </c>
      <c r="M160" s="14" t="s">
        <v>103</v>
      </c>
      <c r="N160" s="14" t="s">
        <v>104</v>
      </c>
      <c r="O160" s="14" t="s">
        <v>99</v>
      </c>
      <c r="P160" s="14" t="s">
        <v>99</v>
      </c>
      <c r="Q160" s="14" t="s">
        <v>99</v>
      </c>
      <c r="R160" s="14" t="s">
        <v>99</v>
      </c>
      <c r="S160" s="14" t="s">
        <v>99</v>
      </c>
      <c r="T160" s="14" t="s">
        <v>3500</v>
      </c>
      <c r="U160" s="14" t="s">
        <v>3501</v>
      </c>
      <c r="V160" s="14" t="s">
        <v>3502</v>
      </c>
      <c r="W160" s="14" t="s">
        <v>3503</v>
      </c>
      <c r="X160" s="14" t="s">
        <v>3504</v>
      </c>
      <c r="Y160" s="14" t="s">
        <v>3505</v>
      </c>
      <c r="Z160" s="14" t="s">
        <v>3506</v>
      </c>
      <c r="AA160" s="14" t="s">
        <v>3507</v>
      </c>
      <c r="AB160" s="14" t="s">
        <v>3508</v>
      </c>
      <c r="AC160" s="14" t="s">
        <v>99</v>
      </c>
      <c r="AD160" s="14" t="s">
        <v>99</v>
      </c>
      <c r="AE160" s="14" t="s">
        <v>99</v>
      </c>
      <c r="AF160" s="14" t="s">
        <v>99</v>
      </c>
      <c r="AG160" s="14">
        <v>170.0</v>
      </c>
      <c r="AH160" s="14">
        <v>179.0</v>
      </c>
      <c r="AI160" s="14">
        <v>206.0</v>
      </c>
      <c r="AJ160" s="14">
        <v>3.0</v>
      </c>
      <c r="AK160" s="14">
        <v>175.0</v>
      </c>
      <c r="AL160" s="14" t="s">
        <v>441</v>
      </c>
      <c r="AM160" s="14" t="s">
        <v>442</v>
      </c>
      <c r="AN160" s="14" t="s">
        <v>443</v>
      </c>
      <c r="AO160" s="14" t="s">
        <v>1035</v>
      </c>
      <c r="AP160" s="14" t="s">
        <v>1036</v>
      </c>
      <c r="AQ160" s="14" t="s">
        <v>99</v>
      </c>
      <c r="AR160" s="14" t="s">
        <v>1037</v>
      </c>
      <c r="AS160" s="14" t="s">
        <v>1038</v>
      </c>
      <c r="AT160" s="14" t="s">
        <v>2857</v>
      </c>
      <c r="AU160" s="14">
        <v>2014.0</v>
      </c>
      <c r="AV160" s="14">
        <v>468.0</v>
      </c>
      <c r="AW160" s="14" t="s">
        <v>99</v>
      </c>
      <c r="AX160" s="14" t="s">
        <v>99</v>
      </c>
      <c r="AY160" s="14" t="s">
        <v>99</v>
      </c>
      <c r="AZ160" s="14" t="s">
        <v>99</v>
      </c>
      <c r="BA160" s="14" t="s">
        <v>99</v>
      </c>
      <c r="BB160" s="14">
        <v>1187.0</v>
      </c>
      <c r="BC160" s="14">
        <v>1197.0</v>
      </c>
      <c r="BD160" s="14" t="s">
        <v>99</v>
      </c>
      <c r="BE160" s="14" t="s">
        <v>3509</v>
      </c>
      <c r="BF160" s="15" t="str">
        <f>HYPERLINK("http://dx.doi.org/10.1016/j.scitotenv.2013.05.057","http://dx.doi.org/10.1016/j.scitotenv.2013.05.057")</f>
        <v>http://dx.doi.org/10.1016/j.scitotenv.2013.05.057</v>
      </c>
      <c r="BG160" s="14" t="s">
        <v>99</v>
      </c>
      <c r="BH160" s="14" t="s">
        <v>99</v>
      </c>
      <c r="BI160" s="14">
        <v>11.0</v>
      </c>
      <c r="BJ160" s="14" t="s">
        <v>1041</v>
      </c>
      <c r="BK160" s="14" t="s">
        <v>800</v>
      </c>
      <c r="BL160" s="14" t="s">
        <v>260</v>
      </c>
      <c r="BM160" s="14" t="s">
        <v>3510</v>
      </c>
      <c r="BN160" s="14">
        <v>2.3815978E7</v>
      </c>
      <c r="BO160" s="14" t="s">
        <v>99</v>
      </c>
      <c r="BP160" s="14" t="s">
        <v>99</v>
      </c>
      <c r="BQ160" s="14" t="s">
        <v>99</v>
      </c>
      <c r="BR160" s="14" t="s">
        <v>124</v>
      </c>
      <c r="BS160" s="14" t="s">
        <v>3511</v>
      </c>
      <c r="BT160" s="14" t="str">
        <f>HYPERLINK("https%3A%2F%2Fwww.webofscience.com%2Fwos%2Fwoscc%2Ffull-record%2FWOS:000331776000125","View Full Record in Web of Science")</f>
        <v>View Full Record in Web of Science</v>
      </c>
    </row>
    <row r="161" ht="12.75" customHeight="1">
      <c r="A161" s="14" t="s">
        <v>97</v>
      </c>
      <c r="B161" s="14" t="s">
        <v>3512</v>
      </c>
      <c r="C161" s="14" t="s">
        <v>99</v>
      </c>
      <c r="D161" s="14" t="s">
        <v>99</v>
      </c>
      <c r="E161" s="14" t="s">
        <v>99</v>
      </c>
      <c r="F161" s="14" t="s">
        <v>3513</v>
      </c>
      <c r="G161" s="14" t="s">
        <v>99</v>
      </c>
      <c r="H161" s="14" t="s">
        <v>99</v>
      </c>
      <c r="I161" s="14" t="s">
        <v>3514</v>
      </c>
      <c r="J161" s="14" t="s">
        <v>378</v>
      </c>
      <c r="K161" s="14" t="s">
        <v>99</v>
      </c>
      <c r="L161" s="14" t="s">
        <v>99</v>
      </c>
      <c r="M161" s="14" t="s">
        <v>103</v>
      </c>
      <c r="N161" s="14" t="s">
        <v>104</v>
      </c>
      <c r="O161" s="14" t="s">
        <v>99</v>
      </c>
      <c r="P161" s="14" t="s">
        <v>99</v>
      </c>
      <c r="Q161" s="14" t="s">
        <v>99</v>
      </c>
      <c r="R161" s="14" t="s">
        <v>99</v>
      </c>
      <c r="S161" s="14" t="s">
        <v>99</v>
      </c>
      <c r="T161" s="14" t="s">
        <v>3515</v>
      </c>
      <c r="U161" s="14" t="s">
        <v>3516</v>
      </c>
      <c r="V161" s="14" t="s">
        <v>3517</v>
      </c>
      <c r="W161" s="14" t="s">
        <v>3518</v>
      </c>
      <c r="X161" s="14" t="s">
        <v>3519</v>
      </c>
      <c r="Y161" s="14" t="s">
        <v>3520</v>
      </c>
      <c r="Z161" s="14" t="s">
        <v>3521</v>
      </c>
      <c r="AA161" s="14" t="s">
        <v>3522</v>
      </c>
      <c r="AB161" s="14" t="s">
        <v>3523</v>
      </c>
      <c r="AC161" s="14" t="s">
        <v>3524</v>
      </c>
      <c r="AD161" s="14" t="s">
        <v>3525</v>
      </c>
      <c r="AE161" s="14" t="s">
        <v>3526</v>
      </c>
      <c r="AF161" s="14" t="s">
        <v>99</v>
      </c>
      <c r="AG161" s="14">
        <v>51.0</v>
      </c>
      <c r="AH161" s="14">
        <v>22.0</v>
      </c>
      <c r="AI161" s="14">
        <v>24.0</v>
      </c>
      <c r="AJ161" s="14">
        <v>1.0</v>
      </c>
      <c r="AK161" s="14">
        <v>15.0</v>
      </c>
      <c r="AL161" s="14" t="s">
        <v>388</v>
      </c>
      <c r="AM161" s="14" t="s">
        <v>389</v>
      </c>
      <c r="AN161" s="14" t="s">
        <v>390</v>
      </c>
      <c r="AO161" s="14" t="s">
        <v>99</v>
      </c>
      <c r="AP161" s="14" t="s">
        <v>391</v>
      </c>
      <c r="AQ161" s="14" t="s">
        <v>99</v>
      </c>
      <c r="AR161" s="14" t="s">
        <v>392</v>
      </c>
      <c r="AS161" s="14" t="s">
        <v>393</v>
      </c>
      <c r="AT161" s="14" t="s">
        <v>99</v>
      </c>
      <c r="AU161" s="14">
        <v>2014.0</v>
      </c>
      <c r="AV161" s="14">
        <v>1.0</v>
      </c>
      <c r="AW161" s="14" t="s">
        <v>99</v>
      </c>
      <c r="AX161" s="14" t="s">
        <v>99</v>
      </c>
      <c r="AY161" s="14" t="s">
        <v>99</v>
      </c>
      <c r="AZ161" s="14" t="s">
        <v>99</v>
      </c>
      <c r="BA161" s="14" t="s">
        <v>99</v>
      </c>
      <c r="BB161" s="14" t="s">
        <v>99</v>
      </c>
      <c r="BC161" s="14" t="s">
        <v>99</v>
      </c>
      <c r="BD161" s="14">
        <v>4.0</v>
      </c>
      <c r="BE161" s="14" t="s">
        <v>3527</v>
      </c>
      <c r="BF161" s="15" t="str">
        <f>HYPERLINK("http://dx.doi.org/10.3389/fmars.2014.00004","http://dx.doi.org/10.3389/fmars.2014.00004")</f>
        <v>http://dx.doi.org/10.3389/fmars.2014.00004</v>
      </c>
      <c r="BG161" s="14" t="s">
        <v>99</v>
      </c>
      <c r="BH161" s="14" t="s">
        <v>99</v>
      </c>
      <c r="BI161" s="14">
        <v>6.0</v>
      </c>
      <c r="BJ161" s="14" t="s">
        <v>396</v>
      </c>
      <c r="BK161" s="14" t="s">
        <v>122</v>
      </c>
      <c r="BL161" s="14" t="s">
        <v>397</v>
      </c>
      <c r="BM161" s="14" t="s">
        <v>3528</v>
      </c>
      <c r="BN161" s="14" t="s">
        <v>99</v>
      </c>
      <c r="BO161" s="14" t="s">
        <v>1251</v>
      </c>
      <c r="BP161" s="14" t="s">
        <v>99</v>
      </c>
      <c r="BQ161" s="14" t="s">
        <v>99</v>
      </c>
      <c r="BR161" s="14" t="s">
        <v>124</v>
      </c>
      <c r="BS161" s="14" t="s">
        <v>3529</v>
      </c>
      <c r="BT161" s="14" t="str">
        <f>HYPERLINK("https%3A%2F%2Fwww.webofscience.com%2Fwos%2Fwoscc%2Ffull-record%2FWOS:000485310600004","View Full Record in Web of Science")</f>
        <v>View Full Record in Web of Science</v>
      </c>
    </row>
    <row r="162" ht="12.75" customHeight="1">
      <c r="A162" s="14" t="s">
        <v>97</v>
      </c>
      <c r="B162" s="14" t="s">
        <v>3530</v>
      </c>
      <c r="C162" s="14" t="s">
        <v>99</v>
      </c>
      <c r="D162" s="14" t="s">
        <v>99</v>
      </c>
      <c r="E162" s="14" t="s">
        <v>99</v>
      </c>
      <c r="F162" s="14" t="s">
        <v>3531</v>
      </c>
      <c r="G162" s="14" t="s">
        <v>99</v>
      </c>
      <c r="H162" s="14" t="s">
        <v>99</v>
      </c>
      <c r="I162" s="14" t="s">
        <v>3532</v>
      </c>
      <c r="J162" s="14" t="s">
        <v>2332</v>
      </c>
      <c r="K162" s="14" t="s">
        <v>99</v>
      </c>
      <c r="L162" s="14" t="s">
        <v>99</v>
      </c>
      <c r="M162" s="14" t="s">
        <v>103</v>
      </c>
      <c r="N162" s="14" t="s">
        <v>104</v>
      </c>
      <c r="O162" s="14" t="s">
        <v>99</v>
      </c>
      <c r="P162" s="14" t="s">
        <v>99</v>
      </c>
      <c r="Q162" s="14" t="s">
        <v>99</v>
      </c>
      <c r="R162" s="14" t="s">
        <v>99</v>
      </c>
      <c r="S162" s="14" t="s">
        <v>99</v>
      </c>
      <c r="T162" s="14" t="s">
        <v>3533</v>
      </c>
      <c r="U162" s="14" t="s">
        <v>3534</v>
      </c>
      <c r="V162" s="14" t="s">
        <v>3535</v>
      </c>
      <c r="W162" s="14" t="s">
        <v>3536</v>
      </c>
      <c r="X162" s="14" t="s">
        <v>3537</v>
      </c>
      <c r="Y162" s="14" t="s">
        <v>3538</v>
      </c>
      <c r="Z162" s="14" t="s">
        <v>3539</v>
      </c>
      <c r="AA162" s="14" t="s">
        <v>3540</v>
      </c>
      <c r="AB162" s="14" t="s">
        <v>3541</v>
      </c>
      <c r="AC162" s="14" t="s">
        <v>3542</v>
      </c>
      <c r="AD162" s="14" t="s">
        <v>3543</v>
      </c>
      <c r="AE162" s="14" t="s">
        <v>3544</v>
      </c>
      <c r="AF162" s="14" t="s">
        <v>99</v>
      </c>
      <c r="AG162" s="14">
        <v>53.0</v>
      </c>
      <c r="AH162" s="14">
        <v>280.0</v>
      </c>
      <c r="AI162" s="14">
        <v>309.0</v>
      </c>
      <c r="AJ162" s="14">
        <v>3.0</v>
      </c>
      <c r="AK162" s="14">
        <v>227.0</v>
      </c>
      <c r="AL162" s="14" t="s">
        <v>493</v>
      </c>
      <c r="AM162" s="14" t="s">
        <v>494</v>
      </c>
      <c r="AN162" s="14" t="s">
        <v>495</v>
      </c>
      <c r="AO162" s="14" t="s">
        <v>2345</v>
      </c>
      <c r="AP162" s="14" t="s">
        <v>2346</v>
      </c>
      <c r="AQ162" s="14" t="s">
        <v>99</v>
      </c>
      <c r="AR162" s="14" t="s">
        <v>2347</v>
      </c>
      <c r="AS162" s="14" t="s">
        <v>2348</v>
      </c>
      <c r="AT162" s="14" t="s">
        <v>935</v>
      </c>
      <c r="AU162" s="14">
        <v>2014.0</v>
      </c>
      <c r="AV162" s="14">
        <v>24.0</v>
      </c>
      <c r="AW162" s="14" t="s">
        <v>99</v>
      </c>
      <c r="AX162" s="14" t="s">
        <v>99</v>
      </c>
      <c r="AY162" s="14" t="s">
        <v>99</v>
      </c>
      <c r="AZ162" s="14" t="s">
        <v>99</v>
      </c>
      <c r="BA162" s="14" t="s">
        <v>99</v>
      </c>
      <c r="BB162" s="14">
        <v>52.0</v>
      </c>
      <c r="BC162" s="14">
        <v>59.0</v>
      </c>
      <c r="BD162" s="14" t="s">
        <v>99</v>
      </c>
      <c r="BE162" s="14" t="s">
        <v>3545</v>
      </c>
      <c r="BF162" s="15" t="str">
        <f>HYPERLINK("http://dx.doi.org/10.1016/j.gloenvcha.2013.09.008","http://dx.doi.org/10.1016/j.gloenvcha.2013.09.008")</f>
        <v>http://dx.doi.org/10.1016/j.gloenvcha.2013.09.008</v>
      </c>
      <c r="BG162" s="14" t="s">
        <v>99</v>
      </c>
      <c r="BH162" s="14" t="s">
        <v>99</v>
      </c>
      <c r="BI162" s="14">
        <v>8.0</v>
      </c>
      <c r="BJ162" s="14" t="s">
        <v>2350</v>
      </c>
      <c r="BK162" s="14" t="s">
        <v>800</v>
      </c>
      <c r="BL162" s="14" t="s">
        <v>2351</v>
      </c>
      <c r="BM162" s="14" t="s">
        <v>3546</v>
      </c>
      <c r="BN162" s="14" t="s">
        <v>99</v>
      </c>
      <c r="BO162" s="14" t="s">
        <v>99</v>
      </c>
      <c r="BP162" s="14" t="s">
        <v>99</v>
      </c>
      <c r="BQ162" s="14" t="s">
        <v>99</v>
      </c>
      <c r="BR162" s="14" t="s">
        <v>124</v>
      </c>
      <c r="BS162" s="14" t="s">
        <v>3547</v>
      </c>
      <c r="BT162" s="14" t="str">
        <f>HYPERLINK("https%3A%2F%2Fwww.webofscience.com%2Fwos%2Fwoscc%2Ffull-record%2FWOS:000333506100007","View Full Record in Web of Science")</f>
        <v>View Full Record in Web of Science</v>
      </c>
    </row>
    <row r="163" ht="12.75" customHeight="1">
      <c r="A163" s="14" t="s">
        <v>97</v>
      </c>
      <c r="B163" s="14" t="s">
        <v>3548</v>
      </c>
      <c r="C163" s="14" t="s">
        <v>99</v>
      </c>
      <c r="D163" s="14" t="s">
        <v>99</v>
      </c>
      <c r="E163" s="14" t="s">
        <v>99</v>
      </c>
      <c r="F163" s="14" t="s">
        <v>3549</v>
      </c>
      <c r="G163" s="14" t="s">
        <v>99</v>
      </c>
      <c r="H163" s="14" t="s">
        <v>99</v>
      </c>
      <c r="I163" s="14" t="s">
        <v>3550</v>
      </c>
      <c r="J163" s="14" t="s">
        <v>3551</v>
      </c>
      <c r="K163" s="14" t="s">
        <v>99</v>
      </c>
      <c r="L163" s="14" t="s">
        <v>99</v>
      </c>
      <c r="M163" s="14" t="s">
        <v>103</v>
      </c>
      <c r="N163" s="14" t="s">
        <v>104</v>
      </c>
      <c r="O163" s="14" t="s">
        <v>99</v>
      </c>
      <c r="P163" s="14" t="s">
        <v>99</v>
      </c>
      <c r="Q163" s="14" t="s">
        <v>99</v>
      </c>
      <c r="R163" s="14" t="s">
        <v>99</v>
      </c>
      <c r="S163" s="14" t="s">
        <v>99</v>
      </c>
      <c r="T163" s="14" t="s">
        <v>3552</v>
      </c>
      <c r="U163" s="14" t="s">
        <v>3553</v>
      </c>
      <c r="V163" s="14" t="s">
        <v>3554</v>
      </c>
      <c r="W163" s="14" t="s">
        <v>3555</v>
      </c>
      <c r="X163" s="14" t="s">
        <v>3556</v>
      </c>
      <c r="Y163" s="14" t="s">
        <v>3557</v>
      </c>
      <c r="Z163" s="14" t="s">
        <v>3558</v>
      </c>
      <c r="AA163" s="14" t="s">
        <v>3559</v>
      </c>
      <c r="AB163" s="14" t="s">
        <v>3560</v>
      </c>
      <c r="AC163" s="14" t="s">
        <v>3561</v>
      </c>
      <c r="AD163" s="14" t="s">
        <v>3562</v>
      </c>
      <c r="AE163" s="14" t="s">
        <v>3563</v>
      </c>
      <c r="AF163" s="14" t="s">
        <v>99</v>
      </c>
      <c r="AG163" s="14">
        <v>69.0</v>
      </c>
      <c r="AH163" s="14">
        <v>28.0</v>
      </c>
      <c r="AI163" s="14">
        <v>31.0</v>
      </c>
      <c r="AJ163" s="14">
        <v>2.0</v>
      </c>
      <c r="AK163" s="14">
        <v>120.0</v>
      </c>
      <c r="AL163" s="14" t="s">
        <v>2301</v>
      </c>
      <c r="AM163" s="14" t="s">
        <v>2302</v>
      </c>
      <c r="AN163" s="14" t="s">
        <v>2303</v>
      </c>
      <c r="AO163" s="14" t="s">
        <v>3564</v>
      </c>
      <c r="AP163" s="14" t="s">
        <v>3565</v>
      </c>
      <c r="AQ163" s="14" t="s">
        <v>99</v>
      </c>
      <c r="AR163" s="14" t="s">
        <v>3566</v>
      </c>
      <c r="AS163" s="14" t="s">
        <v>3567</v>
      </c>
      <c r="AT163" s="14" t="s">
        <v>1058</v>
      </c>
      <c r="AU163" s="14">
        <v>2013.0</v>
      </c>
      <c r="AV163" s="14">
        <v>13.0</v>
      </c>
      <c r="AW163" s="14">
        <v>6.0</v>
      </c>
      <c r="AX163" s="14" t="s">
        <v>99</v>
      </c>
      <c r="AY163" s="14" t="s">
        <v>99</v>
      </c>
      <c r="AZ163" s="14" t="s">
        <v>99</v>
      </c>
      <c r="BA163" s="14" t="s">
        <v>99</v>
      </c>
      <c r="BB163" s="14">
        <v>1245.0</v>
      </c>
      <c r="BC163" s="14">
        <v>1257.0</v>
      </c>
      <c r="BD163" s="14" t="s">
        <v>99</v>
      </c>
      <c r="BE163" s="14" t="s">
        <v>3568</v>
      </c>
      <c r="BF163" s="15" t="str">
        <f>HYPERLINK("http://dx.doi.org/10.1007/s10113-013-0425-7","http://dx.doi.org/10.1007/s10113-013-0425-7")</f>
        <v>http://dx.doi.org/10.1007/s10113-013-0425-7</v>
      </c>
      <c r="BG163" s="14" t="s">
        <v>99</v>
      </c>
      <c r="BH163" s="14" t="s">
        <v>99</v>
      </c>
      <c r="BI163" s="14">
        <v>13.0</v>
      </c>
      <c r="BJ163" s="14" t="s">
        <v>3569</v>
      </c>
      <c r="BK163" s="14" t="s">
        <v>800</v>
      </c>
      <c r="BL163" s="14" t="s">
        <v>260</v>
      </c>
      <c r="BM163" s="14" t="s">
        <v>3570</v>
      </c>
      <c r="BN163" s="14" t="s">
        <v>99</v>
      </c>
      <c r="BO163" s="14" t="s">
        <v>99</v>
      </c>
      <c r="BP163" s="14" t="s">
        <v>99</v>
      </c>
      <c r="BQ163" s="14" t="s">
        <v>99</v>
      </c>
      <c r="BR163" s="14" t="s">
        <v>124</v>
      </c>
      <c r="BS163" s="14" t="s">
        <v>3571</v>
      </c>
      <c r="BT163" s="14" t="str">
        <f>HYPERLINK("https%3A%2F%2Fwww.webofscience.com%2Fwos%2Fwoscc%2Ffull-record%2FWOS:000327501900010","View Full Record in Web of Science")</f>
        <v>View Full Record in Web of Science</v>
      </c>
    </row>
    <row r="164" ht="12.75" customHeight="1">
      <c r="A164" s="14" t="s">
        <v>97</v>
      </c>
      <c r="B164" s="14" t="s">
        <v>3572</v>
      </c>
      <c r="C164" s="14" t="s">
        <v>99</v>
      </c>
      <c r="D164" s="14" t="s">
        <v>99</v>
      </c>
      <c r="E164" s="14" t="s">
        <v>99</v>
      </c>
      <c r="F164" s="14" t="s">
        <v>3573</v>
      </c>
      <c r="G164" s="14" t="s">
        <v>99</v>
      </c>
      <c r="H164" s="14" t="s">
        <v>99</v>
      </c>
      <c r="I164" s="14" t="s">
        <v>3574</v>
      </c>
      <c r="J164" s="14" t="s">
        <v>3575</v>
      </c>
      <c r="K164" s="14" t="s">
        <v>99</v>
      </c>
      <c r="L164" s="14" t="s">
        <v>99</v>
      </c>
      <c r="M164" s="14" t="s">
        <v>103</v>
      </c>
      <c r="N164" s="14" t="s">
        <v>104</v>
      </c>
      <c r="O164" s="14" t="s">
        <v>99</v>
      </c>
      <c r="P164" s="14" t="s">
        <v>99</v>
      </c>
      <c r="Q164" s="14" t="s">
        <v>99</v>
      </c>
      <c r="R164" s="14" t="s">
        <v>99</v>
      </c>
      <c r="S164" s="14" t="s">
        <v>99</v>
      </c>
      <c r="T164" s="14" t="s">
        <v>3576</v>
      </c>
      <c r="U164" s="14" t="s">
        <v>3577</v>
      </c>
      <c r="V164" s="14" t="s">
        <v>3578</v>
      </c>
      <c r="W164" s="14" t="s">
        <v>3579</v>
      </c>
      <c r="X164" s="14" t="s">
        <v>2089</v>
      </c>
      <c r="Y164" s="14" t="s">
        <v>3580</v>
      </c>
      <c r="Z164" s="14" t="s">
        <v>3581</v>
      </c>
      <c r="AA164" s="14" t="s">
        <v>99</v>
      </c>
      <c r="AB164" s="14" t="s">
        <v>99</v>
      </c>
      <c r="AC164" s="14" t="s">
        <v>3582</v>
      </c>
      <c r="AD164" s="14" t="s">
        <v>3583</v>
      </c>
      <c r="AE164" s="14" t="s">
        <v>3584</v>
      </c>
      <c r="AF164" s="14" t="s">
        <v>99</v>
      </c>
      <c r="AG164" s="14">
        <v>36.0</v>
      </c>
      <c r="AH164" s="14">
        <v>46.0</v>
      </c>
      <c r="AI164" s="14">
        <v>56.0</v>
      </c>
      <c r="AJ164" s="14">
        <v>5.0</v>
      </c>
      <c r="AK164" s="14">
        <v>134.0</v>
      </c>
      <c r="AL164" s="14" t="s">
        <v>1731</v>
      </c>
      <c r="AM164" s="14" t="s">
        <v>1594</v>
      </c>
      <c r="AN164" s="14" t="s">
        <v>3585</v>
      </c>
      <c r="AO164" s="14" t="s">
        <v>3586</v>
      </c>
      <c r="AP164" s="14" t="s">
        <v>3587</v>
      </c>
      <c r="AQ164" s="14" t="s">
        <v>99</v>
      </c>
      <c r="AR164" s="14" t="s">
        <v>3575</v>
      </c>
      <c r="AS164" s="14" t="s">
        <v>3588</v>
      </c>
      <c r="AT164" s="14" t="s">
        <v>1058</v>
      </c>
      <c r="AU164" s="14">
        <v>2013.0</v>
      </c>
      <c r="AV164" s="14">
        <v>173.0</v>
      </c>
      <c r="AW164" s="14">
        <v>4.0</v>
      </c>
      <c r="AX164" s="14" t="s">
        <v>99</v>
      </c>
      <c r="AY164" s="14" t="s">
        <v>99</v>
      </c>
      <c r="AZ164" s="14" t="s">
        <v>99</v>
      </c>
      <c r="BA164" s="14" t="s">
        <v>99</v>
      </c>
      <c r="BB164" s="14">
        <v>1513.0</v>
      </c>
      <c r="BC164" s="14">
        <v>1520.0</v>
      </c>
      <c r="BD164" s="14" t="s">
        <v>99</v>
      </c>
      <c r="BE164" s="14" t="s">
        <v>3589</v>
      </c>
      <c r="BF164" s="15" t="str">
        <f>HYPERLINK("http://dx.doi.org/10.1007/s00442-013-2722-8","http://dx.doi.org/10.1007/s00442-013-2722-8")</f>
        <v>http://dx.doi.org/10.1007/s00442-013-2722-8</v>
      </c>
      <c r="BG164" s="14" t="s">
        <v>99</v>
      </c>
      <c r="BH164" s="14" t="s">
        <v>99</v>
      </c>
      <c r="BI164" s="14">
        <v>8.0</v>
      </c>
      <c r="BJ164" s="14" t="s">
        <v>259</v>
      </c>
      <c r="BK164" s="14" t="s">
        <v>122</v>
      </c>
      <c r="BL164" s="14" t="s">
        <v>260</v>
      </c>
      <c r="BM164" s="14" t="s">
        <v>3590</v>
      </c>
      <c r="BN164" s="14">
        <v>2.3839265E7</v>
      </c>
      <c r="BO164" s="14" t="s">
        <v>99</v>
      </c>
      <c r="BP164" s="14" t="s">
        <v>99</v>
      </c>
      <c r="BQ164" s="14" t="s">
        <v>99</v>
      </c>
      <c r="BR164" s="14" t="s">
        <v>124</v>
      </c>
      <c r="BS164" s="14" t="s">
        <v>3591</v>
      </c>
      <c r="BT164" s="14" t="str">
        <f>HYPERLINK("https%3A%2F%2Fwww.webofscience.com%2Fwos%2Fwoscc%2Ffull-record%2FWOS:000328210000032","View Full Record in Web of Science")</f>
        <v>View Full Record in Web of Science</v>
      </c>
    </row>
    <row r="165" ht="12.75" customHeight="1">
      <c r="A165" s="14" t="s">
        <v>97</v>
      </c>
      <c r="B165" s="14" t="s">
        <v>3592</v>
      </c>
      <c r="C165" s="14" t="s">
        <v>99</v>
      </c>
      <c r="D165" s="14" t="s">
        <v>99</v>
      </c>
      <c r="E165" s="14" t="s">
        <v>99</v>
      </c>
      <c r="F165" s="14" t="s">
        <v>3593</v>
      </c>
      <c r="G165" s="14" t="s">
        <v>99</v>
      </c>
      <c r="H165" s="14" t="s">
        <v>99</v>
      </c>
      <c r="I165" s="14" t="s">
        <v>3594</v>
      </c>
      <c r="J165" s="14" t="s">
        <v>3595</v>
      </c>
      <c r="K165" s="14" t="s">
        <v>99</v>
      </c>
      <c r="L165" s="14" t="s">
        <v>99</v>
      </c>
      <c r="M165" s="14" t="s">
        <v>103</v>
      </c>
      <c r="N165" s="14" t="s">
        <v>104</v>
      </c>
      <c r="O165" s="14" t="s">
        <v>99</v>
      </c>
      <c r="P165" s="14" t="s">
        <v>99</v>
      </c>
      <c r="Q165" s="14" t="s">
        <v>99</v>
      </c>
      <c r="R165" s="14" t="s">
        <v>99</v>
      </c>
      <c r="S165" s="14" t="s">
        <v>99</v>
      </c>
      <c r="T165" s="14" t="s">
        <v>3596</v>
      </c>
      <c r="U165" s="14" t="s">
        <v>3597</v>
      </c>
      <c r="V165" s="14" t="s">
        <v>3598</v>
      </c>
      <c r="W165" s="14" t="s">
        <v>3599</v>
      </c>
      <c r="X165" s="14" t="s">
        <v>3600</v>
      </c>
      <c r="Y165" s="14" t="s">
        <v>3601</v>
      </c>
      <c r="Z165" s="14" t="s">
        <v>3602</v>
      </c>
      <c r="AA165" s="14" t="s">
        <v>3603</v>
      </c>
      <c r="AB165" s="14" t="s">
        <v>3604</v>
      </c>
      <c r="AC165" s="14" t="s">
        <v>3605</v>
      </c>
      <c r="AD165" s="14" t="s">
        <v>3405</v>
      </c>
      <c r="AE165" s="14" t="s">
        <v>3606</v>
      </c>
      <c r="AF165" s="14" t="s">
        <v>99</v>
      </c>
      <c r="AG165" s="14">
        <v>35.0</v>
      </c>
      <c r="AH165" s="14">
        <v>10.0</v>
      </c>
      <c r="AI165" s="14">
        <v>12.0</v>
      </c>
      <c r="AJ165" s="14">
        <v>3.0</v>
      </c>
      <c r="AK165" s="14">
        <v>93.0</v>
      </c>
      <c r="AL165" s="14" t="s">
        <v>3607</v>
      </c>
      <c r="AM165" s="14" t="s">
        <v>3608</v>
      </c>
      <c r="AN165" s="14" t="s">
        <v>3609</v>
      </c>
      <c r="AO165" s="14" t="s">
        <v>3610</v>
      </c>
      <c r="AP165" s="14" t="s">
        <v>3611</v>
      </c>
      <c r="AQ165" s="14" t="s">
        <v>99</v>
      </c>
      <c r="AR165" s="14" t="s">
        <v>3612</v>
      </c>
      <c r="AS165" s="14" t="s">
        <v>3613</v>
      </c>
      <c r="AT165" s="14" t="s">
        <v>1058</v>
      </c>
      <c r="AU165" s="14">
        <v>2013.0</v>
      </c>
      <c r="AV165" s="14">
        <v>70.0</v>
      </c>
      <c r="AW165" s="14">
        <v>8.0</v>
      </c>
      <c r="AX165" s="14" t="s">
        <v>99</v>
      </c>
      <c r="AY165" s="14" t="s">
        <v>99</v>
      </c>
      <c r="AZ165" s="14" t="s">
        <v>99</v>
      </c>
      <c r="BA165" s="14" t="s">
        <v>99</v>
      </c>
      <c r="BB165" s="14">
        <v>845.0</v>
      </c>
      <c r="BC165" s="14">
        <v>861.0</v>
      </c>
      <c r="BD165" s="14" t="s">
        <v>99</v>
      </c>
      <c r="BE165" s="14" t="s">
        <v>3614</v>
      </c>
      <c r="BF165" s="15" t="str">
        <f>HYPERLINK("http://dx.doi.org/10.1007/s13595-013-0323-7","http://dx.doi.org/10.1007/s13595-013-0323-7")</f>
        <v>http://dx.doi.org/10.1007/s13595-013-0323-7</v>
      </c>
      <c r="BG165" s="14" t="s">
        <v>99</v>
      </c>
      <c r="BH165" s="14" t="s">
        <v>99</v>
      </c>
      <c r="BI165" s="14">
        <v>17.0</v>
      </c>
      <c r="BJ165" s="14" t="s">
        <v>281</v>
      </c>
      <c r="BK165" s="14" t="s">
        <v>122</v>
      </c>
      <c r="BL165" s="14" t="s">
        <v>281</v>
      </c>
      <c r="BM165" s="14" t="s">
        <v>3615</v>
      </c>
      <c r="BN165" s="14" t="s">
        <v>99</v>
      </c>
      <c r="BO165" s="14" t="s">
        <v>425</v>
      </c>
      <c r="BP165" s="14" t="s">
        <v>99</v>
      </c>
      <c r="BQ165" s="14" t="s">
        <v>99</v>
      </c>
      <c r="BR165" s="14" t="s">
        <v>124</v>
      </c>
      <c r="BS165" s="14" t="s">
        <v>3616</v>
      </c>
      <c r="BT165" s="14" t="str">
        <f>HYPERLINK("https%3A%2F%2Fwww.webofscience.com%2Fwos%2Fwoscc%2Ffull-record%2FWOS:000326598000009","View Full Record in Web of Science")</f>
        <v>View Full Record in Web of Science</v>
      </c>
    </row>
    <row r="166" ht="12.75" customHeight="1">
      <c r="A166" s="14" t="s">
        <v>97</v>
      </c>
      <c r="B166" s="14" t="s">
        <v>3617</v>
      </c>
      <c r="C166" s="14" t="s">
        <v>99</v>
      </c>
      <c r="D166" s="14" t="s">
        <v>99</v>
      </c>
      <c r="E166" s="14" t="s">
        <v>99</v>
      </c>
      <c r="F166" s="14" t="s">
        <v>3618</v>
      </c>
      <c r="G166" s="14" t="s">
        <v>99</v>
      </c>
      <c r="H166" s="14" t="s">
        <v>99</v>
      </c>
      <c r="I166" s="14" t="s">
        <v>3619</v>
      </c>
      <c r="J166" s="14" t="s">
        <v>3242</v>
      </c>
      <c r="K166" s="14" t="s">
        <v>99</v>
      </c>
      <c r="L166" s="14" t="s">
        <v>99</v>
      </c>
      <c r="M166" s="14" t="s">
        <v>103</v>
      </c>
      <c r="N166" s="14" t="s">
        <v>104</v>
      </c>
      <c r="O166" s="14" t="s">
        <v>99</v>
      </c>
      <c r="P166" s="14" t="s">
        <v>99</v>
      </c>
      <c r="Q166" s="14" t="s">
        <v>99</v>
      </c>
      <c r="R166" s="14" t="s">
        <v>99</v>
      </c>
      <c r="S166" s="14" t="s">
        <v>99</v>
      </c>
      <c r="T166" s="14" t="s">
        <v>3620</v>
      </c>
      <c r="U166" s="14" t="s">
        <v>3621</v>
      </c>
      <c r="V166" s="14" t="s">
        <v>3622</v>
      </c>
      <c r="W166" s="14" t="s">
        <v>3623</v>
      </c>
      <c r="X166" s="14" t="s">
        <v>2955</v>
      </c>
      <c r="Y166" s="14" t="s">
        <v>3624</v>
      </c>
      <c r="Z166" s="14" t="s">
        <v>3625</v>
      </c>
      <c r="AA166" s="14" t="s">
        <v>3626</v>
      </c>
      <c r="AB166" s="14" t="s">
        <v>3627</v>
      </c>
      <c r="AC166" s="14" t="s">
        <v>3628</v>
      </c>
      <c r="AD166" s="14" t="s">
        <v>3629</v>
      </c>
      <c r="AE166" s="14" t="s">
        <v>3630</v>
      </c>
      <c r="AF166" s="14" t="s">
        <v>99</v>
      </c>
      <c r="AG166" s="14">
        <v>50.0</v>
      </c>
      <c r="AH166" s="14">
        <v>45.0</v>
      </c>
      <c r="AI166" s="14">
        <v>61.0</v>
      </c>
      <c r="AJ166" s="14">
        <v>3.0</v>
      </c>
      <c r="AK166" s="14">
        <v>387.0</v>
      </c>
      <c r="AL166" s="14" t="s">
        <v>2301</v>
      </c>
      <c r="AM166" s="14" t="s">
        <v>2302</v>
      </c>
      <c r="AN166" s="14" t="s">
        <v>2303</v>
      </c>
      <c r="AO166" s="14" t="s">
        <v>3251</v>
      </c>
      <c r="AP166" s="14" t="s">
        <v>3252</v>
      </c>
      <c r="AQ166" s="14" t="s">
        <v>99</v>
      </c>
      <c r="AR166" s="14" t="s">
        <v>3253</v>
      </c>
      <c r="AS166" s="14" t="s">
        <v>3254</v>
      </c>
      <c r="AT166" s="14" t="s">
        <v>1058</v>
      </c>
      <c r="AU166" s="14">
        <v>2013.0</v>
      </c>
      <c r="AV166" s="14">
        <v>5.0</v>
      </c>
      <c r="AW166" s="14">
        <v>4.0</v>
      </c>
      <c r="AX166" s="14" t="s">
        <v>99</v>
      </c>
      <c r="AY166" s="14" t="s">
        <v>99</v>
      </c>
      <c r="AZ166" s="14" t="s">
        <v>99</v>
      </c>
      <c r="BA166" s="14" t="s">
        <v>99</v>
      </c>
      <c r="BB166" s="14">
        <v>465.0</v>
      </c>
      <c r="BC166" s="14">
        <v>479.0</v>
      </c>
      <c r="BD166" s="14" t="s">
        <v>99</v>
      </c>
      <c r="BE166" s="14" t="s">
        <v>3631</v>
      </c>
      <c r="BF166" s="15" t="str">
        <f>HYPERLINK("http://dx.doi.org/10.1007/s40333-013-0181-z","http://dx.doi.org/10.1007/s40333-013-0181-z")</f>
        <v>http://dx.doi.org/10.1007/s40333-013-0181-z</v>
      </c>
      <c r="BG166" s="14" t="s">
        <v>99</v>
      </c>
      <c r="BH166" s="14" t="s">
        <v>99</v>
      </c>
      <c r="BI166" s="14">
        <v>15.0</v>
      </c>
      <c r="BJ166" s="14" t="s">
        <v>1041</v>
      </c>
      <c r="BK166" s="14" t="s">
        <v>122</v>
      </c>
      <c r="BL166" s="14" t="s">
        <v>260</v>
      </c>
      <c r="BM166" s="14" t="s">
        <v>3632</v>
      </c>
      <c r="BN166" s="14" t="s">
        <v>99</v>
      </c>
      <c r="BO166" s="14" t="s">
        <v>99</v>
      </c>
      <c r="BP166" s="14" t="s">
        <v>99</v>
      </c>
      <c r="BQ166" s="14" t="s">
        <v>99</v>
      </c>
      <c r="BR166" s="14" t="s">
        <v>124</v>
      </c>
      <c r="BS166" s="14" t="s">
        <v>3633</v>
      </c>
      <c r="BT166" s="14" t="str">
        <f>HYPERLINK("https%3A%2F%2Fwww.webofscience.com%2Fwos%2Fwoscc%2Ffull-record%2FWOS:000321558700006","View Full Record in Web of Science")</f>
        <v>View Full Record in Web of Science</v>
      </c>
    </row>
    <row r="167" ht="12.75" customHeight="1">
      <c r="A167" s="14" t="s">
        <v>97</v>
      </c>
      <c r="B167" s="14" t="s">
        <v>3634</v>
      </c>
      <c r="C167" s="14" t="s">
        <v>99</v>
      </c>
      <c r="D167" s="14" t="s">
        <v>99</v>
      </c>
      <c r="E167" s="14" t="s">
        <v>99</v>
      </c>
      <c r="F167" s="14" t="s">
        <v>3635</v>
      </c>
      <c r="G167" s="14" t="s">
        <v>99</v>
      </c>
      <c r="H167" s="14" t="s">
        <v>99</v>
      </c>
      <c r="I167" s="14" t="s">
        <v>3636</v>
      </c>
      <c r="J167" s="14" t="s">
        <v>2500</v>
      </c>
      <c r="K167" s="14" t="s">
        <v>99</v>
      </c>
      <c r="L167" s="14" t="s">
        <v>99</v>
      </c>
      <c r="M167" s="14" t="s">
        <v>103</v>
      </c>
      <c r="N167" s="14" t="s">
        <v>104</v>
      </c>
      <c r="O167" s="14" t="s">
        <v>99</v>
      </c>
      <c r="P167" s="14" t="s">
        <v>99</v>
      </c>
      <c r="Q167" s="14" t="s">
        <v>99</v>
      </c>
      <c r="R167" s="14" t="s">
        <v>99</v>
      </c>
      <c r="S167" s="14" t="s">
        <v>99</v>
      </c>
      <c r="T167" s="14" t="s">
        <v>99</v>
      </c>
      <c r="U167" s="14" t="s">
        <v>3637</v>
      </c>
      <c r="V167" s="14" t="s">
        <v>3638</v>
      </c>
      <c r="W167" s="14" t="s">
        <v>3639</v>
      </c>
      <c r="X167" s="14" t="s">
        <v>3640</v>
      </c>
      <c r="Y167" s="14" t="s">
        <v>3641</v>
      </c>
      <c r="Z167" s="14" t="s">
        <v>3642</v>
      </c>
      <c r="AA167" s="14" t="s">
        <v>3643</v>
      </c>
      <c r="AB167" s="14" t="s">
        <v>3644</v>
      </c>
      <c r="AC167" s="14" t="s">
        <v>3645</v>
      </c>
      <c r="AD167" s="14" t="s">
        <v>3646</v>
      </c>
      <c r="AE167" s="14" t="s">
        <v>3647</v>
      </c>
      <c r="AF167" s="14" t="s">
        <v>99</v>
      </c>
      <c r="AG167" s="14">
        <v>57.0</v>
      </c>
      <c r="AH167" s="14">
        <v>261.0</v>
      </c>
      <c r="AI167" s="14">
        <v>297.0</v>
      </c>
      <c r="AJ167" s="14">
        <v>8.0</v>
      </c>
      <c r="AK167" s="14">
        <v>183.0</v>
      </c>
      <c r="AL167" s="14" t="s">
        <v>2512</v>
      </c>
      <c r="AM167" s="14" t="s">
        <v>2513</v>
      </c>
      <c r="AN167" s="14" t="s">
        <v>2514</v>
      </c>
      <c r="AO167" s="14" t="s">
        <v>2515</v>
      </c>
      <c r="AP167" s="14" t="s">
        <v>99</v>
      </c>
      <c r="AQ167" s="14" t="s">
        <v>99</v>
      </c>
      <c r="AR167" s="14" t="s">
        <v>2500</v>
      </c>
      <c r="AS167" s="14" t="s">
        <v>2516</v>
      </c>
      <c r="AT167" s="14" t="s">
        <v>3648</v>
      </c>
      <c r="AU167" s="14">
        <v>2013.0</v>
      </c>
      <c r="AV167" s="14">
        <v>8.0</v>
      </c>
      <c r="AW167" s="14">
        <v>11.0</v>
      </c>
      <c r="AX167" s="14" t="s">
        <v>99</v>
      </c>
      <c r="AY167" s="14" t="s">
        <v>99</v>
      </c>
      <c r="AZ167" s="14" t="s">
        <v>99</v>
      </c>
      <c r="BA167" s="14" t="s">
        <v>99</v>
      </c>
      <c r="BB167" s="14" t="s">
        <v>99</v>
      </c>
      <c r="BC167" s="14" t="s">
        <v>99</v>
      </c>
      <c r="BD167" s="14" t="s">
        <v>3649</v>
      </c>
      <c r="BE167" s="14" t="s">
        <v>3650</v>
      </c>
      <c r="BF167" s="15" t="str">
        <f>HYPERLINK("http://dx.doi.org/10.1371/journal.pone.0081292","http://dx.doi.org/10.1371/journal.pone.0081292")</f>
        <v>http://dx.doi.org/10.1371/journal.pone.0081292</v>
      </c>
      <c r="BG167" s="14" t="s">
        <v>99</v>
      </c>
      <c r="BH167" s="14" t="s">
        <v>99</v>
      </c>
      <c r="BI167" s="14">
        <v>13.0</v>
      </c>
      <c r="BJ167" s="14" t="s">
        <v>799</v>
      </c>
      <c r="BK167" s="14" t="s">
        <v>122</v>
      </c>
      <c r="BL167" s="14" t="s">
        <v>801</v>
      </c>
      <c r="BM167" s="14" t="s">
        <v>3651</v>
      </c>
      <c r="BN167" s="14">
        <v>2.428258E7</v>
      </c>
      <c r="BO167" s="14" t="s">
        <v>3652</v>
      </c>
      <c r="BP167" s="14" t="s">
        <v>99</v>
      </c>
      <c r="BQ167" s="14" t="s">
        <v>99</v>
      </c>
      <c r="BR167" s="14" t="s">
        <v>124</v>
      </c>
      <c r="BS167" s="14" t="s">
        <v>3653</v>
      </c>
      <c r="BT167" s="14" t="str">
        <f>HYPERLINK("https%3A%2F%2Fwww.webofscience.com%2Fwos%2Fwoscc%2Ffull-record%2FWOS:000327543500082","View Full Record in Web of Science")</f>
        <v>View Full Record in Web of Science</v>
      </c>
    </row>
    <row r="168" ht="12.75" customHeight="1">
      <c r="A168" s="14" t="s">
        <v>97</v>
      </c>
      <c r="B168" s="14" t="s">
        <v>3654</v>
      </c>
      <c r="C168" s="14" t="s">
        <v>99</v>
      </c>
      <c r="D168" s="14" t="s">
        <v>99</v>
      </c>
      <c r="E168" s="14" t="s">
        <v>99</v>
      </c>
      <c r="F168" s="14" t="s">
        <v>3655</v>
      </c>
      <c r="G168" s="14" t="s">
        <v>99</v>
      </c>
      <c r="H168" s="14" t="s">
        <v>99</v>
      </c>
      <c r="I168" s="14" t="s">
        <v>3656</v>
      </c>
      <c r="J168" s="14" t="s">
        <v>2500</v>
      </c>
      <c r="K168" s="14" t="s">
        <v>99</v>
      </c>
      <c r="L168" s="14" t="s">
        <v>99</v>
      </c>
      <c r="M168" s="14" t="s">
        <v>103</v>
      </c>
      <c r="N168" s="14" t="s">
        <v>104</v>
      </c>
      <c r="O168" s="14" t="s">
        <v>99</v>
      </c>
      <c r="P168" s="14" t="s">
        <v>99</v>
      </c>
      <c r="Q168" s="14" t="s">
        <v>99</v>
      </c>
      <c r="R168" s="14" t="s">
        <v>99</v>
      </c>
      <c r="S168" s="14" t="s">
        <v>99</v>
      </c>
      <c r="T168" s="14" t="s">
        <v>99</v>
      </c>
      <c r="U168" s="14" t="s">
        <v>3657</v>
      </c>
      <c r="V168" s="14" t="s">
        <v>3658</v>
      </c>
      <c r="W168" s="14" t="s">
        <v>3659</v>
      </c>
      <c r="X168" s="14" t="s">
        <v>3660</v>
      </c>
      <c r="Y168" s="14" t="s">
        <v>3661</v>
      </c>
      <c r="Z168" s="14" t="s">
        <v>3662</v>
      </c>
      <c r="AA168" s="14" t="s">
        <v>3663</v>
      </c>
      <c r="AB168" s="14" t="s">
        <v>3664</v>
      </c>
      <c r="AC168" s="14" t="s">
        <v>3665</v>
      </c>
      <c r="AD168" s="14" t="s">
        <v>3666</v>
      </c>
      <c r="AE168" s="14" t="s">
        <v>3667</v>
      </c>
      <c r="AF168" s="14" t="s">
        <v>99</v>
      </c>
      <c r="AG168" s="14">
        <v>84.0</v>
      </c>
      <c r="AH168" s="14">
        <v>37.0</v>
      </c>
      <c r="AI168" s="14">
        <v>42.0</v>
      </c>
      <c r="AJ168" s="14">
        <v>0.0</v>
      </c>
      <c r="AK168" s="14">
        <v>42.0</v>
      </c>
      <c r="AL168" s="14" t="s">
        <v>2512</v>
      </c>
      <c r="AM168" s="14" t="s">
        <v>2513</v>
      </c>
      <c r="AN168" s="14" t="s">
        <v>2514</v>
      </c>
      <c r="AO168" s="14" t="s">
        <v>2515</v>
      </c>
      <c r="AP168" s="14" t="s">
        <v>99</v>
      </c>
      <c r="AQ168" s="14" t="s">
        <v>99</v>
      </c>
      <c r="AR168" s="14" t="s">
        <v>2500</v>
      </c>
      <c r="AS168" s="14" t="s">
        <v>2516</v>
      </c>
      <c r="AT168" s="14" t="s">
        <v>3668</v>
      </c>
      <c r="AU168" s="14">
        <v>2013.0</v>
      </c>
      <c r="AV168" s="14">
        <v>8.0</v>
      </c>
      <c r="AW168" s="14">
        <v>11.0</v>
      </c>
      <c r="AX168" s="14" t="s">
        <v>99</v>
      </c>
      <c r="AY168" s="14" t="s">
        <v>99</v>
      </c>
      <c r="AZ168" s="14" t="s">
        <v>99</v>
      </c>
      <c r="BA168" s="14" t="s">
        <v>99</v>
      </c>
      <c r="BB168" s="14" t="s">
        <v>99</v>
      </c>
      <c r="BC168" s="14" t="s">
        <v>99</v>
      </c>
      <c r="BD168" s="14" t="s">
        <v>3669</v>
      </c>
      <c r="BE168" s="14" t="s">
        <v>3670</v>
      </c>
      <c r="BF168" s="15" t="str">
        <f>HYPERLINK("http://dx.doi.org/10.1371/journal.pone.0080531","http://dx.doi.org/10.1371/journal.pone.0080531")</f>
        <v>http://dx.doi.org/10.1371/journal.pone.0080531</v>
      </c>
      <c r="BG168" s="14" t="s">
        <v>99</v>
      </c>
      <c r="BH168" s="14" t="s">
        <v>99</v>
      </c>
      <c r="BI168" s="14">
        <v>10.0</v>
      </c>
      <c r="BJ168" s="14" t="s">
        <v>799</v>
      </c>
      <c r="BK168" s="14" t="s">
        <v>122</v>
      </c>
      <c r="BL168" s="14" t="s">
        <v>801</v>
      </c>
      <c r="BM168" s="14" t="s">
        <v>3671</v>
      </c>
      <c r="BN168" s="14">
        <v>2.4260411E7</v>
      </c>
      <c r="BO168" s="14" t="s">
        <v>1251</v>
      </c>
      <c r="BP168" s="14" t="s">
        <v>99</v>
      </c>
      <c r="BQ168" s="14" t="s">
        <v>99</v>
      </c>
      <c r="BR168" s="14" t="s">
        <v>124</v>
      </c>
      <c r="BS168" s="14" t="s">
        <v>3672</v>
      </c>
      <c r="BT168" s="14" t="str">
        <f>HYPERLINK("https%3A%2F%2Fwww.webofscience.com%2Fwos%2Fwoscc%2Ffull-record%2FWOS:000327258600069","View Full Record in Web of Science")</f>
        <v>View Full Record in Web of Science</v>
      </c>
    </row>
    <row r="169" ht="12.75" customHeight="1">
      <c r="A169" s="14" t="s">
        <v>97</v>
      </c>
      <c r="B169" s="14" t="s">
        <v>3673</v>
      </c>
      <c r="C169" s="14" t="s">
        <v>99</v>
      </c>
      <c r="D169" s="14" t="s">
        <v>99</v>
      </c>
      <c r="E169" s="14" t="s">
        <v>99</v>
      </c>
      <c r="F169" s="14" t="s">
        <v>3674</v>
      </c>
      <c r="G169" s="14" t="s">
        <v>99</v>
      </c>
      <c r="H169" s="14" t="s">
        <v>99</v>
      </c>
      <c r="I169" s="14" t="s">
        <v>3675</v>
      </c>
      <c r="J169" s="14" t="s">
        <v>1102</v>
      </c>
      <c r="K169" s="14" t="s">
        <v>99</v>
      </c>
      <c r="L169" s="14" t="s">
        <v>99</v>
      </c>
      <c r="M169" s="14" t="s">
        <v>103</v>
      </c>
      <c r="N169" s="14" t="s">
        <v>104</v>
      </c>
      <c r="O169" s="14" t="s">
        <v>99</v>
      </c>
      <c r="P169" s="14" t="s">
        <v>99</v>
      </c>
      <c r="Q169" s="14" t="s">
        <v>99</v>
      </c>
      <c r="R169" s="14" t="s">
        <v>99</v>
      </c>
      <c r="S169" s="14" t="s">
        <v>99</v>
      </c>
      <c r="T169" s="14" t="s">
        <v>3676</v>
      </c>
      <c r="U169" s="14" t="s">
        <v>3677</v>
      </c>
      <c r="V169" s="14" t="s">
        <v>3678</v>
      </c>
      <c r="W169" s="14" t="s">
        <v>3679</v>
      </c>
      <c r="X169" s="14" t="s">
        <v>3680</v>
      </c>
      <c r="Y169" s="14" t="s">
        <v>3681</v>
      </c>
      <c r="Z169" s="14" t="s">
        <v>3682</v>
      </c>
      <c r="AA169" s="14" t="s">
        <v>3683</v>
      </c>
      <c r="AB169" s="14" t="s">
        <v>3684</v>
      </c>
      <c r="AC169" s="14" t="s">
        <v>3685</v>
      </c>
      <c r="AD169" s="14" t="s">
        <v>3686</v>
      </c>
      <c r="AE169" s="14" t="s">
        <v>3687</v>
      </c>
      <c r="AF169" s="14" t="s">
        <v>99</v>
      </c>
      <c r="AG169" s="14">
        <v>82.0</v>
      </c>
      <c r="AH169" s="14">
        <v>39.0</v>
      </c>
      <c r="AI169" s="14">
        <v>45.0</v>
      </c>
      <c r="AJ169" s="14">
        <v>1.0</v>
      </c>
      <c r="AK169" s="14">
        <v>39.0</v>
      </c>
      <c r="AL169" s="14" t="s">
        <v>493</v>
      </c>
      <c r="AM169" s="14" t="s">
        <v>468</v>
      </c>
      <c r="AN169" s="14" t="s">
        <v>635</v>
      </c>
      <c r="AO169" s="14" t="s">
        <v>1112</v>
      </c>
      <c r="AP169" s="14" t="s">
        <v>1113</v>
      </c>
      <c r="AQ169" s="14" t="s">
        <v>99</v>
      </c>
      <c r="AR169" s="14" t="s">
        <v>1114</v>
      </c>
      <c r="AS169" s="14" t="s">
        <v>1115</v>
      </c>
      <c r="AT169" s="14" t="s">
        <v>348</v>
      </c>
      <c r="AU169" s="14">
        <v>2013.0</v>
      </c>
      <c r="AV169" s="14">
        <v>167.0</v>
      </c>
      <c r="AW169" s="14" t="s">
        <v>99</v>
      </c>
      <c r="AX169" s="14" t="s">
        <v>99</v>
      </c>
      <c r="AY169" s="14" t="s">
        <v>99</v>
      </c>
      <c r="AZ169" s="14" t="s">
        <v>99</v>
      </c>
      <c r="BA169" s="14" t="s">
        <v>99</v>
      </c>
      <c r="BB169" s="14">
        <v>1.0</v>
      </c>
      <c r="BC169" s="14">
        <v>8.0</v>
      </c>
      <c r="BD169" s="14" t="s">
        <v>99</v>
      </c>
      <c r="BE169" s="14" t="s">
        <v>3688</v>
      </c>
      <c r="BF169" s="15" t="str">
        <f>HYPERLINK("http://dx.doi.org/10.1016/j.biocon.2013.07.012","http://dx.doi.org/10.1016/j.biocon.2013.07.012")</f>
        <v>http://dx.doi.org/10.1016/j.biocon.2013.07.012</v>
      </c>
      <c r="BG169" s="14" t="s">
        <v>99</v>
      </c>
      <c r="BH169" s="14" t="s">
        <v>99</v>
      </c>
      <c r="BI169" s="14">
        <v>8.0</v>
      </c>
      <c r="BJ169" s="14" t="s">
        <v>351</v>
      </c>
      <c r="BK169" s="14" t="s">
        <v>800</v>
      </c>
      <c r="BL169" s="14" t="s">
        <v>352</v>
      </c>
      <c r="BM169" s="14" t="s">
        <v>3689</v>
      </c>
      <c r="BN169" s="14" t="s">
        <v>99</v>
      </c>
      <c r="BO169" s="14" t="s">
        <v>99</v>
      </c>
      <c r="BP169" s="14" t="s">
        <v>99</v>
      </c>
      <c r="BQ169" s="14" t="s">
        <v>99</v>
      </c>
      <c r="BR169" s="14" t="s">
        <v>124</v>
      </c>
      <c r="BS169" s="14" t="s">
        <v>3690</v>
      </c>
      <c r="BT169" s="14" t="str">
        <f>HYPERLINK("https%3A%2F%2Fwww.webofscience.com%2Fwos%2Fwoscc%2Ffull-record%2FWOS:000328804300001","View Full Record in Web of Science")</f>
        <v>View Full Record in Web of Science</v>
      </c>
    </row>
    <row r="170" ht="12.75" customHeight="1">
      <c r="A170" s="14" t="s">
        <v>97</v>
      </c>
      <c r="B170" s="14" t="s">
        <v>3691</v>
      </c>
      <c r="C170" s="14" t="s">
        <v>99</v>
      </c>
      <c r="D170" s="14" t="s">
        <v>99</v>
      </c>
      <c r="E170" s="14" t="s">
        <v>99</v>
      </c>
      <c r="F170" s="14" t="s">
        <v>3692</v>
      </c>
      <c r="G170" s="14" t="s">
        <v>99</v>
      </c>
      <c r="H170" s="14" t="s">
        <v>99</v>
      </c>
      <c r="I170" s="14" t="s">
        <v>3693</v>
      </c>
      <c r="J170" s="14" t="s">
        <v>2793</v>
      </c>
      <c r="K170" s="14" t="s">
        <v>99</v>
      </c>
      <c r="L170" s="14" t="s">
        <v>99</v>
      </c>
      <c r="M170" s="14" t="s">
        <v>103</v>
      </c>
      <c r="N170" s="14" t="s">
        <v>104</v>
      </c>
      <c r="O170" s="14" t="s">
        <v>99</v>
      </c>
      <c r="P170" s="14" t="s">
        <v>99</v>
      </c>
      <c r="Q170" s="14" t="s">
        <v>99</v>
      </c>
      <c r="R170" s="14" t="s">
        <v>99</v>
      </c>
      <c r="S170" s="14" t="s">
        <v>99</v>
      </c>
      <c r="T170" s="14" t="s">
        <v>99</v>
      </c>
      <c r="U170" s="14" t="s">
        <v>3694</v>
      </c>
      <c r="V170" s="14" t="s">
        <v>3695</v>
      </c>
      <c r="W170" s="14" t="s">
        <v>3696</v>
      </c>
      <c r="X170" s="14" t="s">
        <v>3697</v>
      </c>
      <c r="Y170" s="14" t="s">
        <v>3698</v>
      </c>
      <c r="Z170" s="14" t="s">
        <v>3699</v>
      </c>
      <c r="AA170" s="14" t="s">
        <v>3700</v>
      </c>
      <c r="AB170" s="14" t="s">
        <v>3701</v>
      </c>
      <c r="AC170" s="14" t="s">
        <v>3702</v>
      </c>
      <c r="AD170" s="14" t="s">
        <v>3703</v>
      </c>
      <c r="AE170" s="14" t="s">
        <v>3704</v>
      </c>
      <c r="AF170" s="14" t="s">
        <v>99</v>
      </c>
      <c r="AG170" s="14">
        <v>29.0</v>
      </c>
      <c r="AH170" s="14">
        <v>95.0</v>
      </c>
      <c r="AI170" s="14">
        <v>108.0</v>
      </c>
      <c r="AJ170" s="14">
        <v>2.0</v>
      </c>
      <c r="AK170" s="14">
        <v>124.0</v>
      </c>
      <c r="AL170" s="14" t="s">
        <v>1326</v>
      </c>
      <c r="AM170" s="14" t="s">
        <v>274</v>
      </c>
      <c r="AN170" s="14" t="s">
        <v>1327</v>
      </c>
      <c r="AO170" s="14" t="s">
        <v>2805</v>
      </c>
      <c r="AP170" s="14" t="s">
        <v>2806</v>
      </c>
      <c r="AQ170" s="14" t="s">
        <v>99</v>
      </c>
      <c r="AR170" s="14" t="s">
        <v>2807</v>
      </c>
      <c r="AS170" s="14" t="s">
        <v>2808</v>
      </c>
      <c r="AT170" s="14" t="s">
        <v>348</v>
      </c>
      <c r="AU170" s="14">
        <v>2013.0</v>
      </c>
      <c r="AV170" s="14">
        <v>3.0</v>
      </c>
      <c r="AW170" s="14">
        <v>11.0</v>
      </c>
      <c r="AX170" s="14" t="s">
        <v>99</v>
      </c>
      <c r="AY170" s="14" t="s">
        <v>99</v>
      </c>
      <c r="AZ170" s="14" t="s">
        <v>99</v>
      </c>
      <c r="BA170" s="14" t="s">
        <v>99</v>
      </c>
      <c r="BB170" s="14">
        <v>975.0</v>
      </c>
      <c r="BC170" s="14">
        <v>978.0</v>
      </c>
      <c r="BD170" s="14" t="s">
        <v>99</v>
      </c>
      <c r="BE170" s="14" t="s">
        <v>3705</v>
      </c>
      <c r="BF170" s="15" t="str">
        <f>HYPERLINK("http://dx.doi.org/10.1038/NCLIMATE1981","http://dx.doi.org/10.1038/NCLIMATE1981")</f>
        <v>http://dx.doi.org/10.1038/NCLIMATE1981</v>
      </c>
      <c r="BG170" s="14" t="s">
        <v>99</v>
      </c>
      <c r="BH170" s="14" t="s">
        <v>99</v>
      </c>
      <c r="BI170" s="14">
        <v>4.0</v>
      </c>
      <c r="BJ170" s="14" t="s">
        <v>2810</v>
      </c>
      <c r="BK170" s="14" t="s">
        <v>800</v>
      </c>
      <c r="BL170" s="14" t="s">
        <v>574</v>
      </c>
      <c r="BM170" s="14" t="s">
        <v>3706</v>
      </c>
      <c r="BN170" s="14" t="s">
        <v>99</v>
      </c>
      <c r="BO170" s="14" t="s">
        <v>425</v>
      </c>
      <c r="BP170" s="14" t="s">
        <v>99</v>
      </c>
      <c r="BQ170" s="14" t="s">
        <v>99</v>
      </c>
      <c r="BR170" s="14" t="s">
        <v>124</v>
      </c>
      <c r="BS170" s="14" t="s">
        <v>3707</v>
      </c>
      <c r="BT170" s="14" t="str">
        <f>HYPERLINK("https%3A%2F%2Fwww.webofscience.com%2Fwos%2Fwoscc%2Ffull-record%2FWOS:000330125100016","View Full Record in Web of Science")</f>
        <v>View Full Record in Web of Science</v>
      </c>
    </row>
    <row r="171" ht="12.75" customHeight="1">
      <c r="A171" s="14" t="s">
        <v>97</v>
      </c>
      <c r="B171" s="14" t="s">
        <v>3708</v>
      </c>
      <c r="C171" s="14" t="s">
        <v>99</v>
      </c>
      <c r="D171" s="14" t="s">
        <v>99</v>
      </c>
      <c r="E171" s="14" t="s">
        <v>99</v>
      </c>
      <c r="F171" s="14" t="s">
        <v>3709</v>
      </c>
      <c r="G171" s="14" t="s">
        <v>99</v>
      </c>
      <c r="H171" s="14" t="s">
        <v>99</v>
      </c>
      <c r="I171" s="14" t="s">
        <v>3710</v>
      </c>
      <c r="J171" s="14" t="s">
        <v>328</v>
      </c>
      <c r="K171" s="14" t="s">
        <v>99</v>
      </c>
      <c r="L171" s="14" t="s">
        <v>99</v>
      </c>
      <c r="M171" s="14" t="s">
        <v>103</v>
      </c>
      <c r="N171" s="14" t="s">
        <v>104</v>
      </c>
      <c r="O171" s="14" t="s">
        <v>99</v>
      </c>
      <c r="P171" s="14" t="s">
        <v>99</v>
      </c>
      <c r="Q171" s="14" t="s">
        <v>99</v>
      </c>
      <c r="R171" s="14" t="s">
        <v>99</v>
      </c>
      <c r="S171" s="14" t="s">
        <v>99</v>
      </c>
      <c r="T171" s="14" t="s">
        <v>3711</v>
      </c>
      <c r="U171" s="14" t="s">
        <v>3712</v>
      </c>
      <c r="V171" s="14" t="s">
        <v>3713</v>
      </c>
      <c r="W171" s="14" t="s">
        <v>3714</v>
      </c>
      <c r="X171" s="14" t="s">
        <v>3715</v>
      </c>
      <c r="Y171" s="14" t="s">
        <v>3716</v>
      </c>
      <c r="Z171" s="14" t="s">
        <v>3717</v>
      </c>
      <c r="AA171" s="14" t="s">
        <v>3718</v>
      </c>
      <c r="AB171" s="14" t="s">
        <v>3719</v>
      </c>
      <c r="AC171" s="14" t="s">
        <v>3720</v>
      </c>
      <c r="AD171" s="14" t="s">
        <v>3721</v>
      </c>
      <c r="AE171" s="14" t="s">
        <v>3722</v>
      </c>
      <c r="AF171" s="14" t="s">
        <v>99</v>
      </c>
      <c r="AG171" s="14">
        <v>76.0</v>
      </c>
      <c r="AH171" s="14">
        <v>75.0</v>
      </c>
      <c r="AI171" s="14">
        <v>86.0</v>
      </c>
      <c r="AJ171" s="14">
        <v>0.0</v>
      </c>
      <c r="AK171" s="14">
        <v>259.0</v>
      </c>
      <c r="AL171" s="14" t="s">
        <v>341</v>
      </c>
      <c r="AM171" s="14" t="s">
        <v>342</v>
      </c>
      <c r="AN171" s="14" t="s">
        <v>343</v>
      </c>
      <c r="AO171" s="14" t="s">
        <v>344</v>
      </c>
      <c r="AP171" s="14" t="s">
        <v>345</v>
      </c>
      <c r="AQ171" s="14" t="s">
        <v>99</v>
      </c>
      <c r="AR171" s="14" t="s">
        <v>346</v>
      </c>
      <c r="AS171" s="14" t="s">
        <v>347</v>
      </c>
      <c r="AT171" s="14" t="s">
        <v>2372</v>
      </c>
      <c r="AU171" s="14">
        <v>2013.0</v>
      </c>
      <c r="AV171" s="14">
        <v>19.0</v>
      </c>
      <c r="AW171" s="14">
        <v>10.0</v>
      </c>
      <c r="AX171" s="14" t="s">
        <v>99</v>
      </c>
      <c r="AY171" s="14" t="s">
        <v>99</v>
      </c>
      <c r="AZ171" s="14" t="s">
        <v>99</v>
      </c>
      <c r="BA171" s="14" t="s">
        <v>99</v>
      </c>
      <c r="BB171" s="14">
        <v>3224.0</v>
      </c>
      <c r="BC171" s="14">
        <v>3237.0</v>
      </c>
      <c r="BD171" s="14" t="s">
        <v>99</v>
      </c>
      <c r="BE171" s="14" t="s">
        <v>3723</v>
      </c>
      <c r="BF171" s="15" t="str">
        <f>HYPERLINK("http://dx.doi.org/10.1111/gcb.12289","http://dx.doi.org/10.1111/gcb.12289")</f>
        <v>http://dx.doi.org/10.1111/gcb.12289</v>
      </c>
      <c r="BG171" s="14" t="s">
        <v>99</v>
      </c>
      <c r="BH171" s="14" t="s">
        <v>99</v>
      </c>
      <c r="BI171" s="14">
        <v>14.0</v>
      </c>
      <c r="BJ171" s="14" t="s">
        <v>351</v>
      </c>
      <c r="BK171" s="14" t="s">
        <v>122</v>
      </c>
      <c r="BL171" s="14" t="s">
        <v>352</v>
      </c>
      <c r="BM171" s="14" t="s">
        <v>3724</v>
      </c>
      <c r="BN171" s="14">
        <v>2.3907833E7</v>
      </c>
      <c r="BO171" s="14" t="s">
        <v>238</v>
      </c>
      <c r="BP171" s="14" t="s">
        <v>99</v>
      </c>
      <c r="BQ171" s="14" t="s">
        <v>99</v>
      </c>
      <c r="BR171" s="14" t="s">
        <v>124</v>
      </c>
      <c r="BS171" s="14" t="s">
        <v>3725</v>
      </c>
      <c r="BT171" s="14" t="str">
        <f>HYPERLINK("https%3A%2F%2Fwww.webofscience.com%2Fwos%2Fwoscc%2Ffull-record%2FWOS:000323844200027","View Full Record in Web of Science")</f>
        <v>View Full Record in Web of Science</v>
      </c>
    </row>
    <row r="172" ht="12.75" customHeight="1">
      <c r="A172" s="14" t="s">
        <v>97</v>
      </c>
      <c r="B172" s="14" t="s">
        <v>3726</v>
      </c>
      <c r="C172" s="14" t="s">
        <v>99</v>
      </c>
      <c r="D172" s="14" t="s">
        <v>99</v>
      </c>
      <c r="E172" s="14" t="s">
        <v>99</v>
      </c>
      <c r="F172" s="14" t="s">
        <v>3727</v>
      </c>
      <c r="G172" s="14" t="s">
        <v>99</v>
      </c>
      <c r="H172" s="14" t="s">
        <v>99</v>
      </c>
      <c r="I172" s="14" t="s">
        <v>3728</v>
      </c>
      <c r="J172" s="14" t="s">
        <v>3729</v>
      </c>
      <c r="K172" s="14" t="s">
        <v>99</v>
      </c>
      <c r="L172" s="14" t="s">
        <v>99</v>
      </c>
      <c r="M172" s="14" t="s">
        <v>103</v>
      </c>
      <c r="N172" s="14" t="s">
        <v>104</v>
      </c>
      <c r="O172" s="14" t="s">
        <v>99</v>
      </c>
      <c r="P172" s="14" t="s">
        <v>99</v>
      </c>
      <c r="Q172" s="14" t="s">
        <v>99</v>
      </c>
      <c r="R172" s="14" t="s">
        <v>99</v>
      </c>
      <c r="S172" s="14" t="s">
        <v>99</v>
      </c>
      <c r="T172" s="14" t="s">
        <v>3730</v>
      </c>
      <c r="U172" s="14" t="s">
        <v>3731</v>
      </c>
      <c r="V172" s="14" t="s">
        <v>3732</v>
      </c>
      <c r="W172" s="14" t="s">
        <v>3733</v>
      </c>
      <c r="X172" s="14" t="s">
        <v>3734</v>
      </c>
      <c r="Y172" s="14" t="s">
        <v>3735</v>
      </c>
      <c r="Z172" s="14" t="s">
        <v>3736</v>
      </c>
      <c r="AA172" s="14" t="s">
        <v>3737</v>
      </c>
      <c r="AB172" s="14" t="s">
        <v>3738</v>
      </c>
      <c r="AC172" s="14" t="s">
        <v>99</v>
      </c>
      <c r="AD172" s="14" t="s">
        <v>99</v>
      </c>
      <c r="AE172" s="14" t="s">
        <v>99</v>
      </c>
      <c r="AF172" s="14" t="s">
        <v>99</v>
      </c>
      <c r="AG172" s="14">
        <v>50.0</v>
      </c>
      <c r="AH172" s="14">
        <v>122.0</v>
      </c>
      <c r="AI172" s="14">
        <v>144.0</v>
      </c>
      <c r="AJ172" s="14">
        <v>0.0</v>
      </c>
      <c r="AK172" s="14">
        <v>41.0</v>
      </c>
      <c r="AL172" s="14" t="s">
        <v>1544</v>
      </c>
      <c r="AM172" s="14" t="s">
        <v>274</v>
      </c>
      <c r="AN172" s="14" t="s">
        <v>1545</v>
      </c>
      <c r="AO172" s="14" t="s">
        <v>3739</v>
      </c>
      <c r="AP172" s="14" t="s">
        <v>3740</v>
      </c>
      <c r="AQ172" s="14" t="s">
        <v>99</v>
      </c>
      <c r="AR172" s="14" t="s">
        <v>3741</v>
      </c>
      <c r="AS172" s="14" t="s">
        <v>3742</v>
      </c>
      <c r="AT172" s="14" t="s">
        <v>3743</v>
      </c>
      <c r="AU172" s="14">
        <v>2013.0</v>
      </c>
      <c r="AV172" s="14">
        <v>368.0</v>
      </c>
      <c r="AW172" s="14">
        <v>1625.0</v>
      </c>
      <c r="AX172" s="14" t="s">
        <v>99</v>
      </c>
      <c r="AY172" s="14" t="s">
        <v>99</v>
      </c>
      <c r="AZ172" s="14" t="s">
        <v>99</v>
      </c>
      <c r="BA172" s="14" t="s">
        <v>99</v>
      </c>
      <c r="BB172" s="14" t="s">
        <v>99</v>
      </c>
      <c r="BC172" s="14" t="s">
        <v>99</v>
      </c>
      <c r="BD172" s="14">
        <v>2.0120302E7</v>
      </c>
      <c r="BE172" s="14" t="s">
        <v>3744</v>
      </c>
      <c r="BF172" s="15" t="str">
        <f>HYPERLINK("http://dx.doi.org/10.1098/rstb.2012.0302","http://dx.doi.org/10.1098/rstb.2012.0302")</f>
        <v>http://dx.doi.org/10.1098/rstb.2012.0302</v>
      </c>
      <c r="BG172" s="14" t="s">
        <v>99</v>
      </c>
      <c r="BH172" s="14" t="s">
        <v>99</v>
      </c>
      <c r="BI172" s="14">
        <v>10.0</v>
      </c>
      <c r="BJ172" s="14" t="s">
        <v>1803</v>
      </c>
      <c r="BK172" s="14" t="s">
        <v>122</v>
      </c>
      <c r="BL172" s="14" t="s">
        <v>1804</v>
      </c>
      <c r="BM172" s="14" t="s">
        <v>3745</v>
      </c>
      <c r="BN172" s="14">
        <v>2.3878332E7</v>
      </c>
      <c r="BO172" s="14" t="s">
        <v>425</v>
      </c>
      <c r="BP172" s="14" t="s">
        <v>99</v>
      </c>
      <c r="BQ172" s="14" t="s">
        <v>99</v>
      </c>
      <c r="BR172" s="14" t="s">
        <v>124</v>
      </c>
      <c r="BS172" s="14" t="s">
        <v>3746</v>
      </c>
      <c r="BT172" s="14" t="str">
        <f>HYPERLINK("https%3A%2F%2Fwww.webofscience.com%2Fwos%2Fwoscc%2Ffull-record%2FWOS:000331220500007","View Full Record in Web of Science")</f>
        <v>View Full Record in Web of Science</v>
      </c>
    </row>
    <row r="173" ht="12.75" customHeight="1">
      <c r="A173" s="14" t="s">
        <v>97</v>
      </c>
      <c r="B173" s="14" t="s">
        <v>3747</v>
      </c>
      <c r="C173" s="14" t="s">
        <v>99</v>
      </c>
      <c r="D173" s="14" t="s">
        <v>99</v>
      </c>
      <c r="E173" s="14" t="s">
        <v>99</v>
      </c>
      <c r="F173" s="14" t="s">
        <v>3748</v>
      </c>
      <c r="G173" s="14" t="s">
        <v>99</v>
      </c>
      <c r="H173" s="14" t="s">
        <v>99</v>
      </c>
      <c r="I173" s="14" t="s">
        <v>3749</v>
      </c>
      <c r="J173" s="14" t="s">
        <v>3750</v>
      </c>
      <c r="K173" s="14" t="s">
        <v>99</v>
      </c>
      <c r="L173" s="14" t="s">
        <v>99</v>
      </c>
      <c r="M173" s="14" t="s">
        <v>103</v>
      </c>
      <c r="N173" s="14" t="s">
        <v>104</v>
      </c>
      <c r="O173" s="14" t="s">
        <v>99</v>
      </c>
      <c r="P173" s="14" t="s">
        <v>99</v>
      </c>
      <c r="Q173" s="14" t="s">
        <v>99</v>
      </c>
      <c r="R173" s="14" t="s">
        <v>99</v>
      </c>
      <c r="S173" s="14" t="s">
        <v>99</v>
      </c>
      <c r="T173" s="14" t="s">
        <v>3751</v>
      </c>
      <c r="U173" s="14" t="s">
        <v>3752</v>
      </c>
      <c r="V173" s="14" t="s">
        <v>3753</v>
      </c>
      <c r="W173" s="14" t="s">
        <v>3754</v>
      </c>
      <c r="X173" s="14" t="s">
        <v>3755</v>
      </c>
      <c r="Y173" s="14" t="s">
        <v>3756</v>
      </c>
      <c r="Z173" s="14" t="s">
        <v>3757</v>
      </c>
      <c r="AA173" s="14" t="s">
        <v>3758</v>
      </c>
      <c r="AB173" s="14" t="s">
        <v>3759</v>
      </c>
      <c r="AC173" s="14" t="s">
        <v>3760</v>
      </c>
      <c r="AD173" s="14" t="s">
        <v>1542</v>
      </c>
      <c r="AE173" s="14" t="s">
        <v>3761</v>
      </c>
      <c r="AF173" s="14" t="s">
        <v>99</v>
      </c>
      <c r="AG173" s="14">
        <v>44.0</v>
      </c>
      <c r="AH173" s="14">
        <v>125.0</v>
      </c>
      <c r="AI173" s="14">
        <v>133.0</v>
      </c>
      <c r="AJ173" s="14">
        <v>1.0</v>
      </c>
      <c r="AK173" s="14">
        <v>170.0</v>
      </c>
      <c r="AL173" s="14" t="s">
        <v>2917</v>
      </c>
      <c r="AM173" s="14" t="s">
        <v>2918</v>
      </c>
      <c r="AN173" s="14" t="s">
        <v>2919</v>
      </c>
      <c r="AO173" s="14" t="s">
        <v>3762</v>
      </c>
      <c r="AP173" s="14" t="s">
        <v>3763</v>
      </c>
      <c r="AQ173" s="14" t="s">
        <v>99</v>
      </c>
      <c r="AR173" s="14" t="s">
        <v>3764</v>
      </c>
      <c r="AS173" s="14" t="s">
        <v>3765</v>
      </c>
      <c r="AT173" s="14" t="s">
        <v>421</v>
      </c>
      <c r="AU173" s="14">
        <v>2013.0</v>
      </c>
      <c r="AV173" s="14">
        <v>14.0</v>
      </c>
      <c r="AW173" s="14">
        <v>6.0</v>
      </c>
      <c r="AX173" s="14" t="s">
        <v>99</v>
      </c>
      <c r="AY173" s="14" t="s">
        <v>99</v>
      </c>
      <c r="AZ173" s="14" t="s">
        <v>99</v>
      </c>
      <c r="BA173" s="14" t="s">
        <v>99</v>
      </c>
      <c r="BB173" s="14">
        <v>496.0</v>
      </c>
      <c r="BC173" s="14">
        <v>505.0</v>
      </c>
      <c r="BD173" s="14" t="s">
        <v>99</v>
      </c>
      <c r="BE173" s="14" t="s">
        <v>3766</v>
      </c>
      <c r="BF173" s="15" t="str">
        <f>HYPERLINK("http://dx.doi.org/10.1016/j.baae.2013.06.001","http://dx.doi.org/10.1016/j.baae.2013.06.001")</f>
        <v>http://dx.doi.org/10.1016/j.baae.2013.06.001</v>
      </c>
      <c r="BG173" s="14" t="s">
        <v>99</v>
      </c>
      <c r="BH173" s="14" t="s">
        <v>99</v>
      </c>
      <c r="BI173" s="14">
        <v>10.0</v>
      </c>
      <c r="BJ173" s="14" t="s">
        <v>259</v>
      </c>
      <c r="BK173" s="14" t="s">
        <v>122</v>
      </c>
      <c r="BL173" s="14" t="s">
        <v>260</v>
      </c>
      <c r="BM173" s="14" t="s">
        <v>3767</v>
      </c>
      <c r="BN173" s="14" t="s">
        <v>99</v>
      </c>
      <c r="BO173" s="14" t="s">
        <v>576</v>
      </c>
      <c r="BP173" s="14" t="s">
        <v>99</v>
      </c>
      <c r="BQ173" s="14" t="s">
        <v>99</v>
      </c>
      <c r="BR173" s="14" t="s">
        <v>124</v>
      </c>
      <c r="BS173" s="14" t="s">
        <v>3768</v>
      </c>
      <c r="BT173" s="14" t="str">
        <f>HYPERLINK("https%3A%2F%2Fwww.webofscience.com%2Fwos%2Fwoscc%2Ffull-record%2FWOS:000324035600006","View Full Record in Web of Science")</f>
        <v>View Full Record in Web of Science</v>
      </c>
    </row>
    <row r="174" ht="12.75" customHeight="1">
      <c r="A174" s="14" t="s">
        <v>97</v>
      </c>
      <c r="B174" s="14" t="s">
        <v>3769</v>
      </c>
      <c r="C174" s="14" t="s">
        <v>99</v>
      </c>
      <c r="D174" s="14" t="s">
        <v>99</v>
      </c>
      <c r="E174" s="14" t="s">
        <v>99</v>
      </c>
      <c r="F174" s="14" t="s">
        <v>3770</v>
      </c>
      <c r="G174" s="14" t="s">
        <v>99</v>
      </c>
      <c r="H174" s="14" t="s">
        <v>99</v>
      </c>
      <c r="I174" s="14" t="s">
        <v>3771</v>
      </c>
      <c r="J174" s="14" t="s">
        <v>3772</v>
      </c>
      <c r="K174" s="14" t="s">
        <v>99</v>
      </c>
      <c r="L174" s="14" t="s">
        <v>99</v>
      </c>
      <c r="M174" s="14" t="s">
        <v>103</v>
      </c>
      <c r="N174" s="14" t="s">
        <v>104</v>
      </c>
      <c r="O174" s="14" t="s">
        <v>99</v>
      </c>
      <c r="P174" s="14" t="s">
        <v>99</v>
      </c>
      <c r="Q174" s="14" t="s">
        <v>99</v>
      </c>
      <c r="R174" s="14" t="s">
        <v>99</v>
      </c>
      <c r="S174" s="14" t="s">
        <v>99</v>
      </c>
      <c r="T174" s="14" t="s">
        <v>3773</v>
      </c>
      <c r="U174" s="14" t="s">
        <v>3774</v>
      </c>
      <c r="V174" s="14" t="s">
        <v>3775</v>
      </c>
      <c r="W174" s="14" t="s">
        <v>3776</v>
      </c>
      <c r="X174" s="14" t="s">
        <v>3777</v>
      </c>
      <c r="Y174" s="14" t="s">
        <v>3778</v>
      </c>
      <c r="Z174" s="14" t="s">
        <v>3779</v>
      </c>
      <c r="AA174" s="14" t="s">
        <v>3780</v>
      </c>
      <c r="AB174" s="14" t="s">
        <v>3781</v>
      </c>
      <c r="AC174" s="14" t="s">
        <v>3782</v>
      </c>
      <c r="AD174" s="14" t="s">
        <v>3783</v>
      </c>
      <c r="AE174" s="14" t="s">
        <v>3784</v>
      </c>
      <c r="AF174" s="14" t="s">
        <v>99</v>
      </c>
      <c r="AG174" s="14">
        <v>60.0</v>
      </c>
      <c r="AH174" s="14">
        <v>35.0</v>
      </c>
      <c r="AI174" s="14">
        <v>39.0</v>
      </c>
      <c r="AJ174" s="14">
        <v>1.0</v>
      </c>
      <c r="AK174" s="14">
        <v>69.0</v>
      </c>
      <c r="AL174" s="14" t="s">
        <v>1731</v>
      </c>
      <c r="AM174" s="14" t="s">
        <v>1594</v>
      </c>
      <c r="AN174" s="14" t="s">
        <v>3448</v>
      </c>
      <c r="AO174" s="14" t="s">
        <v>3785</v>
      </c>
      <c r="AP174" s="14" t="s">
        <v>99</v>
      </c>
      <c r="AQ174" s="14" t="s">
        <v>99</v>
      </c>
      <c r="AR174" s="14" t="s">
        <v>3772</v>
      </c>
      <c r="AS174" s="14" t="s">
        <v>3786</v>
      </c>
      <c r="AT174" s="14" t="s">
        <v>421</v>
      </c>
      <c r="AU174" s="14">
        <v>2013.0</v>
      </c>
      <c r="AV174" s="14">
        <v>100.0</v>
      </c>
      <c r="AW174" s="14">
        <v>9.0</v>
      </c>
      <c r="AX174" s="14" t="s">
        <v>99</v>
      </c>
      <c r="AY174" s="14" t="s">
        <v>99</v>
      </c>
      <c r="AZ174" s="14" t="s">
        <v>99</v>
      </c>
      <c r="BA174" s="14" t="s">
        <v>99</v>
      </c>
      <c r="BB174" s="14">
        <v>877.0</v>
      </c>
      <c r="BC174" s="14">
        <v>889.0</v>
      </c>
      <c r="BD174" s="14" t="s">
        <v>99</v>
      </c>
      <c r="BE174" s="14" t="s">
        <v>3787</v>
      </c>
      <c r="BF174" s="15" t="str">
        <f>HYPERLINK("http://dx.doi.org/10.1007/s00114-013-1088-4","http://dx.doi.org/10.1007/s00114-013-1088-4")</f>
        <v>http://dx.doi.org/10.1007/s00114-013-1088-4</v>
      </c>
      <c r="BG174" s="14" t="s">
        <v>99</v>
      </c>
      <c r="BH174" s="14" t="s">
        <v>99</v>
      </c>
      <c r="BI174" s="14">
        <v>13.0</v>
      </c>
      <c r="BJ174" s="14" t="s">
        <v>799</v>
      </c>
      <c r="BK174" s="14" t="s">
        <v>122</v>
      </c>
      <c r="BL174" s="14" t="s">
        <v>801</v>
      </c>
      <c r="BM174" s="14" t="s">
        <v>3788</v>
      </c>
      <c r="BN174" s="14">
        <v>2.394255E7</v>
      </c>
      <c r="BO174" s="14" t="s">
        <v>99</v>
      </c>
      <c r="BP174" s="14" t="s">
        <v>99</v>
      </c>
      <c r="BQ174" s="14" t="s">
        <v>99</v>
      </c>
      <c r="BR174" s="14" t="s">
        <v>124</v>
      </c>
      <c r="BS174" s="14" t="s">
        <v>3789</v>
      </c>
      <c r="BT174" s="14" t="str">
        <f>HYPERLINK("https%3A%2F%2Fwww.webofscience.com%2Fwos%2Fwoscc%2Ffull-record%2FWOS:000323670800008","View Full Record in Web of Science")</f>
        <v>View Full Record in Web of Science</v>
      </c>
    </row>
    <row r="175" ht="12.75" customHeight="1">
      <c r="A175" s="14" t="s">
        <v>97</v>
      </c>
      <c r="B175" s="14" t="s">
        <v>3790</v>
      </c>
      <c r="C175" s="14" t="s">
        <v>99</v>
      </c>
      <c r="D175" s="14" t="s">
        <v>99</v>
      </c>
      <c r="E175" s="14" t="s">
        <v>99</v>
      </c>
      <c r="F175" s="14" t="s">
        <v>3791</v>
      </c>
      <c r="G175" s="14" t="s">
        <v>99</v>
      </c>
      <c r="H175" s="14" t="s">
        <v>99</v>
      </c>
      <c r="I175" s="14" t="s">
        <v>3792</v>
      </c>
      <c r="J175" s="14" t="s">
        <v>3018</v>
      </c>
      <c r="K175" s="14" t="s">
        <v>99</v>
      </c>
      <c r="L175" s="14" t="s">
        <v>99</v>
      </c>
      <c r="M175" s="14" t="s">
        <v>103</v>
      </c>
      <c r="N175" s="14" t="s">
        <v>104</v>
      </c>
      <c r="O175" s="14" t="s">
        <v>99</v>
      </c>
      <c r="P175" s="14" t="s">
        <v>99</v>
      </c>
      <c r="Q175" s="14" t="s">
        <v>99</v>
      </c>
      <c r="R175" s="14" t="s">
        <v>99</v>
      </c>
      <c r="S175" s="14" t="s">
        <v>99</v>
      </c>
      <c r="T175" s="14" t="s">
        <v>3793</v>
      </c>
      <c r="U175" s="14" t="s">
        <v>3794</v>
      </c>
      <c r="V175" s="14" t="s">
        <v>3795</v>
      </c>
      <c r="W175" s="14" t="s">
        <v>3796</v>
      </c>
      <c r="X175" s="14" t="s">
        <v>3797</v>
      </c>
      <c r="Y175" s="14" t="s">
        <v>2956</v>
      </c>
      <c r="Z175" s="14" t="s">
        <v>2957</v>
      </c>
      <c r="AA175" s="14" t="s">
        <v>3798</v>
      </c>
      <c r="AB175" s="14" t="s">
        <v>3799</v>
      </c>
      <c r="AC175" s="14" t="s">
        <v>3800</v>
      </c>
      <c r="AD175" s="14" t="s">
        <v>3801</v>
      </c>
      <c r="AE175" s="14" t="s">
        <v>3802</v>
      </c>
      <c r="AF175" s="14" t="s">
        <v>99</v>
      </c>
      <c r="AG175" s="14">
        <v>59.0</v>
      </c>
      <c r="AH175" s="14">
        <v>168.0</v>
      </c>
      <c r="AI175" s="14">
        <v>207.0</v>
      </c>
      <c r="AJ175" s="14">
        <v>4.0</v>
      </c>
      <c r="AK175" s="14">
        <v>288.0</v>
      </c>
      <c r="AL175" s="14" t="s">
        <v>441</v>
      </c>
      <c r="AM175" s="14" t="s">
        <v>442</v>
      </c>
      <c r="AN175" s="14" t="s">
        <v>443</v>
      </c>
      <c r="AO175" s="14" t="s">
        <v>3030</v>
      </c>
      <c r="AP175" s="14" t="s">
        <v>3031</v>
      </c>
      <c r="AQ175" s="14" t="s">
        <v>99</v>
      </c>
      <c r="AR175" s="14" t="s">
        <v>3032</v>
      </c>
      <c r="AS175" s="14" t="s">
        <v>3033</v>
      </c>
      <c r="AT175" s="14" t="s">
        <v>421</v>
      </c>
      <c r="AU175" s="14">
        <v>2013.0</v>
      </c>
      <c r="AV175" s="14">
        <v>108.0</v>
      </c>
      <c r="AW175" s="14" t="s">
        <v>99</v>
      </c>
      <c r="AX175" s="14" t="s">
        <v>99</v>
      </c>
      <c r="AY175" s="14" t="s">
        <v>99</v>
      </c>
      <c r="AZ175" s="14" t="s">
        <v>99</v>
      </c>
      <c r="BA175" s="14" t="s">
        <v>99</v>
      </c>
      <c r="BB175" s="14">
        <v>29.0</v>
      </c>
      <c r="BC175" s="14">
        <v>41.0</v>
      </c>
      <c r="BD175" s="14" t="s">
        <v>99</v>
      </c>
      <c r="BE175" s="14" t="s">
        <v>3803</v>
      </c>
      <c r="BF175" s="15" t="str">
        <f>HYPERLINK("http://dx.doi.org/10.1016/j.gloplacha.2013.06.007","http://dx.doi.org/10.1016/j.gloplacha.2013.06.007")</f>
        <v>http://dx.doi.org/10.1016/j.gloplacha.2013.06.007</v>
      </c>
      <c r="BG175" s="14" t="s">
        <v>99</v>
      </c>
      <c r="BH175" s="14" t="s">
        <v>99</v>
      </c>
      <c r="BI175" s="14">
        <v>13.0</v>
      </c>
      <c r="BJ175" s="14" t="s">
        <v>3035</v>
      </c>
      <c r="BK175" s="14" t="s">
        <v>800</v>
      </c>
      <c r="BL175" s="14" t="s">
        <v>3036</v>
      </c>
      <c r="BM175" s="14" t="s">
        <v>3804</v>
      </c>
      <c r="BN175" s="14" t="s">
        <v>99</v>
      </c>
      <c r="BO175" s="14" t="s">
        <v>99</v>
      </c>
      <c r="BP175" s="14" t="s">
        <v>99</v>
      </c>
      <c r="BQ175" s="14" t="s">
        <v>99</v>
      </c>
      <c r="BR175" s="14" t="s">
        <v>124</v>
      </c>
      <c r="BS175" s="14" t="s">
        <v>3805</v>
      </c>
      <c r="BT175" s="14" t="str">
        <f>HYPERLINK("https%3A%2F%2Fwww.webofscience.com%2Fwos%2Fwoscc%2Ffull-record%2FWOS:000323470800003","View Full Record in Web of Science")</f>
        <v>View Full Record in Web of Science</v>
      </c>
    </row>
    <row r="176" ht="12.75" customHeight="1">
      <c r="A176" s="14" t="s">
        <v>97</v>
      </c>
      <c r="B176" s="14" t="s">
        <v>3806</v>
      </c>
      <c r="C176" s="14" t="s">
        <v>99</v>
      </c>
      <c r="D176" s="14" t="s">
        <v>99</v>
      </c>
      <c r="E176" s="14" t="s">
        <v>99</v>
      </c>
      <c r="F176" s="14" t="s">
        <v>3807</v>
      </c>
      <c r="G176" s="14" t="s">
        <v>99</v>
      </c>
      <c r="H176" s="14" t="s">
        <v>99</v>
      </c>
      <c r="I176" s="14" t="s">
        <v>3808</v>
      </c>
      <c r="J176" s="14" t="s">
        <v>430</v>
      </c>
      <c r="K176" s="14" t="s">
        <v>99</v>
      </c>
      <c r="L176" s="14" t="s">
        <v>99</v>
      </c>
      <c r="M176" s="14" t="s">
        <v>103</v>
      </c>
      <c r="N176" s="14" t="s">
        <v>104</v>
      </c>
      <c r="O176" s="14" t="s">
        <v>99</v>
      </c>
      <c r="P176" s="14" t="s">
        <v>99</v>
      </c>
      <c r="Q176" s="14" t="s">
        <v>99</v>
      </c>
      <c r="R176" s="14" t="s">
        <v>99</v>
      </c>
      <c r="S176" s="14" t="s">
        <v>99</v>
      </c>
      <c r="T176" s="14" t="s">
        <v>3809</v>
      </c>
      <c r="U176" s="14" t="s">
        <v>3810</v>
      </c>
      <c r="V176" s="14" t="s">
        <v>3811</v>
      </c>
      <c r="W176" s="14" t="s">
        <v>3812</v>
      </c>
      <c r="X176" s="14" t="s">
        <v>3813</v>
      </c>
      <c r="Y176" s="14" t="s">
        <v>3814</v>
      </c>
      <c r="Z176" s="14" t="s">
        <v>3815</v>
      </c>
      <c r="AA176" s="14" t="s">
        <v>3816</v>
      </c>
      <c r="AB176" s="14" t="s">
        <v>3817</v>
      </c>
      <c r="AC176" s="14" t="s">
        <v>3818</v>
      </c>
      <c r="AD176" s="14" t="s">
        <v>3819</v>
      </c>
      <c r="AE176" s="14" t="s">
        <v>3820</v>
      </c>
      <c r="AF176" s="14" t="s">
        <v>99</v>
      </c>
      <c r="AG176" s="14">
        <v>96.0</v>
      </c>
      <c r="AH176" s="14">
        <v>18.0</v>
      </c>
      <c r="AI176" s="14">
        <v>20.0</v>
      </c>
      <c r="AJ176" s="14">
        <v>2.0</v>
      </c>
      <c r="AK176" s="14">
        <v>61.0</v>
      </c>
      <c r="AL176" s="14" t="s">
        <v>441</v>
      </c>
      <c r="AM176" s="14" t="s">
        <v>442</v>
      </c>
      <c r="AN176" s="14" t="s">
        <v>443</v>
      </c>
      <c r="AO176" s="14" t="s">
        <v>444</v>
      </c>
      <c r="AP176" s="14" t="s">
        <v>445</v>
      </c>
      <c r="AQ176" s="14" t="s">
        <v>99</v>
      </c>
      <c r="AR176" s="14" t="s">
        <v>446</v>
      </c>
      <c r="AS176" s="14" t="s">
        <v>447</v>
      </c>
      <c r="AT176" s="14" t="s">
        <v>448</v>
      </c>
      <c r="AU176" s="14">
        <v>2013.0</v>
      </c>
      <c r="AV176" s="14">
        <v>302.0</v>
      </c>
      <c r="AW176" s="14" t="s">
        <v>99</v>
      </c>
      <c r="AX176" s="14" t="s">
        <v>99</v>
      </c>
      <c r="AY176" s="14" t="s">
        <v>99</v>
      </c>
      <c r="AZ176" s="14" t="s">
        <v>99</v>
      </c>
      <c r="BA176" s="14" t="s">
        <v>99</v>
      </c>
      <c r="BB176" s="14">
        <v>122.0</v>
      </c>
      <c r="BC176" s="14">
        <v>132.0</v>
      </c>
      <c r="BD176" s="14" t="s">
        <v>99</v>
      </c>
      <c r="BE176" s="14" t="s">
        <v>3821</v>
      </c>
      <c r="BF176" s="15" t="str">
        <f>HYPERLINK("http://dx.doi.org/10.1016/j.foreco.2013.03.018","http://dx.doi.org/10.1016/j.foreco.2013.03.018")</f>
        <v>http://dx.doi.org/10.1016/j.foreco.2013.03.018</v>
      </c>
      <c r="BG176" s="14" t="s">
        <v>99</v>
      </c>
      <c r="BH176" s="14" t="s">
        <v>99</v>
      </c>
      <c r="BI176" s="14">
        <v>11.0</v>
      </c>
      <c r="BJ176" s="14" t="s">
        <v>281</v>
      </c>
      <c r="BK176" s="14" t="s">
        <v>122</v>
      </c>
      <c r="BL176" s="14" t="s">
        <v>281</v>
      </c>
      <c r="BM176" s="14" t="s">
        <v>3822</v>
      </c>
      <c r="BN176" s="14" t="s">
        <v>99</v>
      </c>
      <c r="BO176" s="14" t="s">
        <v>99</v>
      </c>
      <c r="BP176" s="14" t="s">
        <v>99</v>
      </c>
      <c r="BQ176" s="14" t="s">
        <v>99</v>
      </c>
      <c r="BR176" s="14" t="s">
        <v>124</v>
      </c>
      <c r="BS176" s="14" t="s">
        <v>3823</v>
      </c>
      <c r="BT176" s="14" t="str">
        <f>HYPERLINK("https%3A%2F%2Fwww.webofscience.com%2Fwos%2Fwoscc%2Ffull-record%2FWOS:000320741300013","View Full Record in Web of Science")</f>
        <v>View Full Record in Web of Science</v>
      </c>
    </row>
    <row r="177" ht="12.75" customHeight="1">
      <c r="A177" s="14" t="s">
        <v>97</v>
      </c>
      <c r="B177" s="14" t="s">
        <v>3824</v>
      </c>
      <c r="C177" s="14" t="s">
        <v>99</v>
      </c>
      <c r="D177" s="14" t="s">
        <v>99</v>
      </c>
      <c r="E177" s="14" t="s">
        <v>99</v>
      </c>
      <c r="F177" s="14" t="s">
        <v>3825</v>
      </c>
      <c r="G177" s="14" t="s">
        <v>99</v>
      </c>
      <c r="H177" s="14" t="s">
        <v>99</v>
      </c>
      <c r="I177" s="14" t="s">
        <v>3826</v>
      </c>
      <c r="J177" s="14" t="s">
        <v>1422</v>
      </c>
      <c r="K177" s="14" t="s">
        <v>99</v>
      </c>
      <c r="L177" s="14" t="s">
        <v>99</v>
      </c>
      <c r="M177" s="14" t="s">
        <v>103</v>
      </c>
      <c r="N177" s="14" t="s">
        <v>104</v>
      </c>
      <c r="O177" s="14" t="s">
        <v>99</v>
      </c>
      <c r="P177" s="14" t="s">
        <v>99</v>
      </c>
      <c r="Q177" s="14" t="s">
        <v>99</v>
      </c>
      <c r="R177" s="14" t="s">
        <v>99</v>
      </c>
      <c r="S177" s="14" t="s">
        <v>99</v>
      </c>
      <c r="T177" s="14" t="s">
        <v>99</v>
      </c>
      <c r="U177" s="14" t="s">
        <v>3827</v>
      </c>
      <c r="V177" s="14" t="s">
        <v>3828</v>
      </c>
      <c r="W177" s="14" t="s">
        <v>3829</v>
      </c>
      <c r="X177" s="14" t="s">
        <v>3830</v>
      </c>
      <c r="Y177" s="14" t="s">
        <v>3831</v>
      </c>
      <c r="Z177" s="14" t="s">
        <v>3832</v>
      </c>
      <c r="AA177" s="14" t="s">
        <v>3833</v>
      </c>
      <c r="AB177" s="14" t="s">
        <v>3834</v>
      </c>
      <c r="AC177" s="14" t="s">
        <v>99</v>
      </c>
      <c r="AD177" s="14" t="s">
        <v>99</v>
      </c>
      <c r="AE177" s="14" t="s">
        <v>99</v>
      </c>
      <c r="AF177" s="14" t="s">
        <v>99</v>
      </c>
      <c r="AG177" s="14">
        <v>34.0</v>
      </c>
      <c r="AH177" s="14">
        <v>729.0</v>
      </c>
      <c r="AI177" s="14">
        <v>848.0</v>
      </c>
      <c r="AJ177" s="14">
        <v>8.0</v>
      </c>
      <c r="AK177" s="14">
        <v>451.0</v>
      </c>
      <c r="AL177" s="14" t="s">
        <v>1431</v>
      </c>
      <c r="AM177" s="14" t="s">
        <v>789</v>
      </c>
      <c r="AN177" s="14" t="s">
        <v>1432</v>
      </c>
      <c r="AO177" s="14" t="s">
        <v>1433</v>
      </c>
      <c r="AP177" s="14" t="s">
        <v>1434</v>
      </c>
      <c r="AQ177" s="14" t="s">
        <v>99</v>
      </c>
      <c r="AR177" s="14" t="s">
        <v>1435</v>
      </c>
      <c r="AS177" s="14" t="s">
        <v>1436</v>
      </c>
      <c r="AT177" s="14" t="s">
        <v>3835</v>
      </c>
      <c r="AU177" s="14">
        <v>2013.0</v>
      </c>
      <c r="AV177" s="14">
        <v>47.0</v>
      </c>
      <c r="AW177" s="14">
        <v>15.0</v>
      </c>
      <c r="AX177" s="14" t="s">
        <v>99</v>
      </c>
      <c r="AY177" s="14" t="s">
        <v>99</v>
      </c>
      <c r="AZ177" s="14" t="s">
        <v>99</v>
      </c>
      <c r="BA177" s="14" t="s">
        <v>99</v>
      </c>
      <c r="BB177" s="14">
        <v>8818.0</v>
      </c>
      <c r="BC177" s="14">
        <v>8824.0</v>
      </c>
      <c r="BD177" s="14" t="s">
        <v>99</v>
      </c>
      <c r="BE177" s="14" t="s">
        <v>3836</v>
      </c>
      <c r="BF177" s="15" t="str">
        <f>HYPERLINK("http://dx.doi.org/10.1021/es400931b","http://dx.doi.org/10.1021/es400931b")</f>
        <v>http://dx.doi.org/10.1021/es400931b</v>
      </c>
      <c r="BG177" s="14" t="s">
        <v>99</v>
      </c>
      <c r="BH177" s="14" t="s">
        <v>99</v>
      </c>
      <c r="BI177" s="14">
        <v>7.0</v>
      </c>
      <c r="BJ177" s="14" t="s">
        <v>1439</v>
      </c>
      <c r="BK177" s="14" t="s">
        <v>122</v>
      </c>
      <c r="BL177" s="14" t="s">
        <v>1440</v>
      </c>
      <c r="BM177" s="14" t="s">
        <v>3837</v>
      </c>
      <c r="BN177" s="14">
        <v>2.3777286E7</v>
      </c>
      <c r="BO177" s="14" t="s">
        <v>99</v>
      </c>
      <c r="BP177" s="14" t="s">
        <v>99</v>
      </c>
      <c r="BQ177" s="14" t="s">
        <v>99</v>
      </c>
      <c r="BR177" s="14" t="s">
        <v>124</v>
      </c>
      <c r="BS177" s="14" t="s">
        <v>3838</v>
      </c>
      <c r="BT177" s="14" t="str">
        <f>HYPERLINK("https%3A%2F%2Fwww.webofscience.com%2Fwos%2Fwoscc%2Ffull-record%2FWOS:000323013400090","View Full Record in Web of Science")</f>
        <v>View Full Record in Web of Science</v>
      </c>
    </row>
    <row r="178" ht="12.75" customHeight="1">
      <c r="A178" s="14" t="s">
        <v>97</v>
      </c>
      <c r="B178" s="14" t="s">
        <v>3839</v>
      </c>
      <c r="C178" s="14" t="s">
        <v>99</v>
      </c>
      <c r="D178" s="14" t="s">
        <v>99</v>
      </c>
      <c r="E178" s="14" t="s">
        <v>99</v>
      </c>
      <c r="F178" s="14" t="s">
        <v>3840</v>
      </c>
      <c r="G178" s="14" t="s">
        <v>99</v>
      </c>
      <c r="H178" s="14" t="s">
        <v>99</v>
      </c>
      <c r="I178" s="14" t="s">
        <v>3841</v>
      </c>
      <c r="J178" s="14" t="s">
        <v>3842</v>
      </c>
      <c r="K178" s="14" t="s">
        <v>99</v>
      </c>
      <c r="L178" s="14" t="s">
        <v>99</v>
      </c>
      <c r="M178" s="14" t="s">
        <v>103</v>
      </c>
      <c r="N178" s="14" t="s">
        <v>104</v>
      </c>
      <c r="O178" s="14" t="s">
        <v>99</v>
      </c>
      <c r="P178" s="14" t="s">
        <v>99</v>
      </c>
      <c r="Q178" s="14" t="s">
        <v>99</v>
      </c>
      <c r="R178" s="14" t="s">
        <v>99</v>
      </c>
      <c r="S178" s="14" t="s">
        <v>99</v>
      </c>
      <c r="T178" s="14" t="s">
        <v>3843</v>
      </c>
      <c r="U178" s="14" t="s">
        <v>3844</v>
      </c>
      <c r="V178" s="14" t="s">
        <v>3845</v>
      </c>
      <c r="W178" s="14" t="s">
        <v>3846</v>
      </c>
      <c r="X178" s="14" t="s">
        <v>3847</v>
      </c>
      <c r="Y178" s="14" t="s">
        <v>3848</v>
      </c>
      <c r="Z178" s="14" t="s">
        <v>3849</v>
      </c>
      <c r="AA178" s="14" t="s">
        <v>99</v>
      </c>
      <c r="AB178" s="14" t="s">
        <v>99</v>
      </c>
      <c r="AC178" s="14" t="s">
        <v>3850</v>
      </c>
      <c r="AD178" s="14" t="s">
        <v>3851</v>
      </c>
      <c r="AE178" s="14" t="s">
        <v>3852</v>
      </c>
      <c r="AF178" s="14" t="s">
        <v>99</v>
      </c>
      <c r="AG178" s="14">
        <v>52.0</v>
      </c>
      <c r="AH178" s="14">
        <v>27.0</v>
      </c>
      <c r="AI178" s="14">
        <v>36.0</v>
      </c>
      <c r="AJ178" s="14">
        <v>0.0</v>
      </c>
      <c r="AK178" s="14">
        <v>76.0</v>
      </c>
      <c r="AL178" s="14" t="s">
        <v>341</v>
      </c>
      <c r="AM178" s="14" t="s">
        <v>342</v>
      </c>
      <c r="AN178" s="14" t="s">
        <v>343</v>
      </c>
      <c r="AO178" s="14" t="s">
        <v>3853</v>
      </c>
      <c r="AP178" s="14" t="s">
        <v>3854</v>
      </c>
      <c r="AQ178" s="14" t="s">
        <v>99</v>
      </c>
      <c r="AR178" s="14" t="s">
        <v>3855</v>
      </c>
      <c r="AS178" s="14" t="s">
        <v>3856</v>
      </c>
      <c r="AT178" s="14" t="s">
        <v>474</v>
      </c>
      <c r="AU178" s="14">
        <v>2013.0</v>
      </c>
      <c r="AV178" s="14">
        <v>16.0</v>
      </c>
      <c r="AW178" s="14">
        <v>4.0</v>
      </c>
      <c r="AX178" s="14" t="s">
        <v>99</v>
      </c>
      <c r="AY178" s="14" t="s">
        <v>99</v>
      </c>
      <c r="AZ178" s="14" t="s">
        <v>99</v>
      </c>
      <c r="BA178" s="14" t="s">
        <v>99</v>
      </c>
      <c r="BB178" s="14">
        <v>430.0</v>
      </c>
      <c r="BC178" s="14">
        <v>437.0</v>
      </c>
      <c r="BD178" s="14" t="s">
        <v>99</v>
      </c>
      <c r="BE178" s="14" t="s">
        <v>3857</v>
      </c>
      <c r="BF178" s="15" t="str">
        <f>HYPERLINK("http://dx.doi.org/10.1111/acv.12012","http://dx.doi.org/10.1111/acv.12012")</f>
        <v>http://dx.doi.org/10.1111/acv.12012</v>
      </c>
      <c r="BG178" s="14" t="s">
        <v>99</v>
      </c>
      <c r="BH178" s="14" t="s">
        <v>99</v>
      </c>
      <c r="BI178" s="14">
        <v>8.0</v>
      </c>
      <c r="BJ178" s="14" t="s">
        <v>550</v>
      </c>
      <c r="BK178" s="14" t="s">
        <v>122</v>
      </c>
      <c r="BL178" s="14" t="s">
        <v>352</v>
      </c>
      <c r="BM178" s="14" t="s">
        <v>3858</v>
      </c>
      <c r="BN178" s="14" t="s">
        <v>99</v>
      </c>
      <c r="BO178" s="14" t="s">
        <v>99</v>
      </c>
      <c r="BP178" s="14" t="s">
        <v>99</v>
      </c>
      <c r="BQ178" s="14" t="s">
        <v>99</v>
      </c>
      <c r="BR178" s="14" t="s">
        <v>124</v>
      </c>
      <c r="BS178" s="14" t="s">
        <v>3859</v>
      </c>
      <c r="BT178" s="14" t="str">
        <f>HYPERLINK("https%3A%2F%2Fwww.webofscience.com%2Fwos%2Fwoscc%2Ffull-record%2FWOS:000323101700011","View Full Record in Web of Science")</f>
        <v>View Full Record in Web of Science</v>
      </c>
    </row>
    <row r="179" ht="12.75" customHeight="1">
      <c r="A179" s="14" t="s">
        <v>97</v>
      </c>
      <c r="B179" s="14" t="s">
        <v>3860</v>
      </c>
      <c r="C179" s="14" t="s">
        <v>99</v>
      </c>
      <c r="D179" s="14" t="s">
        <v>99</v>
      </c>
      <c r="E179" s="14" t="s">
        <v>99</v>
      </c>
      <c r="F179" s="14" t="s">
        <v>3861</v>
      </c>
      <c r="G179" s="14" t="s">
        <v>99</v>
      </c>
      <c r="H179" s="14" t="s">
        <v>99</v>
      </c>
      <c r="I179" s="14" t="s">
        <v>3862</v>
      </c>
      <c r="J179" s="14" t="s">
        <v>1335</v>
      </c>
      <c r="K179" s="14" t="s">
        <v>99</v>
      </c>
      <c r="L179" s="14" t="s">
        <v>99</v>
      </c>
      <c r="M179" s="14" t="s">
        <v>103</v>
      </c>
      <c r="N179" s="14" t="s">
        <v>104</v>
      </c>
      <c r="O179" s="14" t="s">
        <v>99</v>
      </c>
      <c r="P179" s="14" t="s">
        <v>99</v>
      </c>
      <c r="Q179" s="14" t="s">
        <v>99</v>
      </c>
      <c r="R179" s="14" t="s">
        <v>99</v>
      </c>
      <c r="S179" s="14" t="s">
        <v>99</v>
      </c>
      <c r="T179" s="14" t="s">
        <v>3863</v>
      </c>
      <c r="U179" s="14" t="s">
        <v>3864</v>
      </c>
      <c r="V179" s="14" t="s">
        <v>3865</v>
      </c>
      <c r="W179" s="14" t="s">
        <v>3866</v>
      </c>
      <c r="X179" s="14" t="s">
        <v>3867</v>
      </c>
      <c r="Y179" s="14" t="s">
        <v>3868</v>
      </c>
      <c r="Z179" s="14" t="s">
        <v>3869</v>
      </c>
      <c r="AA179" s="14" t="s">
        <v>3870</v>
      </c>
      <c r="AB179" s="14" t="s">
        <v>99</v>
      </c>
      <c r="AC179" s="14" t="s">
        <v>3871</v>
      </c>
      <c r="AD179" s="14" t="s">
        <v>3872</v>
      </c>
      <c r="AE179" s="14" t="s">
        <v>3873</v>
      </c>
      <c r="AF179" s="14" t="s">
        <v>99</v>
      </c>
      <c r="AG179" s="14">
        <v>62.0</v>
      </c>
      <c r="AH179" s="14">
        <v>100.0</v>
      </c>
      <c r="AI179" s="14">
        <v>124.0</v>
      </c>
      <c r="AJ179" s="14">
        <v>1.0</v>
      </c>
      <c r="AK179" s="14">
        <v>181.0</v>
      </c>
      <c r="AL179" s="14" t="s">
        <v>1347</v>
      </c>
      <c r="AM179" s="14" t="s">
        <v>1348</v>
      </c>
      <c r="AN179" s="14" t="s">
        <v>1349</v>
      </c>
      <c r="AO179" s="14" t="s">
        <v>1350</v>
      </c>
      <c r="AP179" s="14" t="s">
        <v>99</v>
      </c>
      <c r="AQ179" s="14" t="s">
        <v>99</v>
      </c>
      <c r="AR179" s="14" t="s">
        <v>1351</v>
      </c>
      <c r="AS179" s="14" t="s">
        <v>1352</v>
      </c>
      <c r="AT179" s="14" t="s">
        <v>474</v>
      </c>
      <c r="AU179" s="14">
        <v>2013.0</v>
      </c>
      <c r="AV179" s="14">
        <v>5.0</v>
      </c>
      <c r="AW179" s="14">
        <v>8.0</v>
      </c>
      <c r="AX179" s="14" t="s">
        <v>99</v>
      </c>
      <c r="AY179" s="14" t="s">
        <v>99</v>
      </c>
      <c r="AZ179" s="14" t="s">
        <v>99</v>
      </c>
      <c r="BA179" s="14" t="s">
        <v>99</v>
      </c>
      <c r="BB179" s="14">
        <v>4125.0</v>
      </c>
      <c r="BC179" s="14">
        <v>4144.0</v>
      </c>
      <c r="BD179" s="14" t="s">
        <v>99</v>
      </c>
      <c r="BE179" s="14" t="s">
        <v>3874</v>
      </c>
      <c r="BF179" s="15" t="str">
        <f>HYPERLINK("http://dx.doi.org/10.3390/rs5084125","http://dx.doi.org/10.3390/rs5084125")</f>
        <v>http://dx.doi.org/10.3390/rs5084125</v>
      </c>
      <c r="BG179" s="14" t="s">
        <v>99</v>
      </c>
      <c r="BH179" s="14" t="s">
        <v>99</v>
      </c>
      <c r="BI179" s="14">
        <v>20.0</v>
      </c>
      <c r="BJ179" s="14" t="s">
        <v>1354</v>
      </c>
      <c r="BK179" s="14" t="s">
        <v>122</v>
      </c>
      <c r="BL179" s="14" t="s">
        <v>1355</v>
      </c>
      <c r="BM179" s="14" t="s">
        <v>3875</v>
      </c>
      <c r="BN179" s="14" t="s">
        <v>99</v>
      </c>
      <c r="BO179" s="14" t="s">
        <v>1251</v>
      </c>
      <c r="BP179" s="14" t="s">
        <v>99</v>
      </c>
      <c r="BQ179" s="14" t="s">
        <v>99</v>
      </c>
      <c r="BR179" s="14" t="s">
        <v>124</v>
      </c>
      <c r="BS179" s="14" t="s">
        <v>3876</v>
      </c>
      <c r="BT179" s="14" t="str">
        <f>HYPERLINK("https%3A%2F%2Fwww.webofscience.com%2Fwos%2Fwoscc%2Ffull-record%2FWOS:000328626100023","View Full Record in Web of Science")</f>
        <v>View Full Record in Web of Science</v>
      </c>
    </row>
    <row r="180" ht="12.75" customHeight="1">
      <c r="A180" s="14" t="s">
        <v>97</v>
      </c>
      <c r="B180" s="14" t="s">
        <v>3877</v>
      </c>
      <c r="C180" s="14" t="s">
        <v>99</v>
      </c>
      <c r="D180" s="14" t="s">
        <v>99</v>
      </c>
      <c r="E180" s="14" t="s">
        <v>99</v>
      </c>
      <c r="F180" s="14" t="s">
        <v>3878</v>
      </c>
      <c r="G180" s="14" t="s">
        <v>99</v>
      </c>
      <c r="H180" s="14" t="s">
        <v>99</v>
      </c>
      <c r="I180" s="14" t="s">
        <v>3879</v>
      </c>
      <c r="J180" s="14" t="s">
        <v>3551</v>
      </c>
      <c r="K180" s="14" t="s">
        <v>99</v>
      </c>
      <c r="L180" s="14" t="s">
        <v>99</v>
      </c>
      <c r="M180" s="14" t="s">
        <v>103</v>
      </c>
      <c r="N180" s="14" t="s">
        <v>104</v>
      </c>
      <c r="O180" s="14" t="s">
        <v>99</v>
      </c>
      <c r="P180" s="14" t="s">
        <v>99</v>
      </c>
      <c r="Q180" s="14" t="s">
        <v>99</v>
      </c>
      <c r="R180" s="14" t="s">
        <v>99</v>
      </c>
      <c r="S180" s="14" t="s">
        <v>99</v>
      </c>
      <c r="T180" s="14" t="s">
        <v>3880</v>
      </c>
      <c r="U180" s="14" t="s">
        <v>3881</v>
      </c>
      <c r="V180" s="14" t="s">
        <v>3882</v>
      </c>
      <c r="W180" s="14" t="s">
        <v>3883</v>
      </c>
      <c r="X180" s="14" t="s">
        <v>3884</v>
      </c>
      <c r="Y180" s="14" t="s">
        <v>3885</v>
      </c>
      <c r="Z180" s="14" t="s">
        <v>3886</v>
      </c>
      <c r="AA180" s="14" t="s">
        <v>3887</v>
      </c>
      <c r="AB180" s="14" t="s">
        <v>3888</v>
      </c>
      <c r="AC180" s="14" t="s">
        <v>3889</v>
      </c>
      <c r="AD180" s="14" t="s">
        <v>3890</v>
      </c>
      <c r="AE180" s="14" t="s">
        <v>3891</v>
      </c>
      <c r="AF180" s="14" t="s">
        <v>99</v>
      </c>
      <c r="AG180" s="14">
        <v>54.0</v>
      </c>
      <c r="AH180" s="14">
        <v>52.0</v>
      </c>
      <c r="AI180" s="14">
        <v>81.0</v>
      </c>
      <c r="AJ180" s="14">
        <v>5.0</v>
      </c>
      <c r="AK180" s="14">
        <v>152.0</v>
      </c>
      <c r="AL180" s="14" t="s">
        <v>2301</v>
      </c>
      <c r="AM180" s="14" t="s">
        <v>2302</v>
      </c>
      <c r="AN180" s="14" t="s">
        <v>2303</v>
      </c>
      <c r="AO180" s="14" t="s">
        <v>3564</v>
      </c>
      <c r="AP180" s="14" t="s">
        <v>3565</v>
      </c>
      <c r="AQ180" s="14" t="s">
        <v>99</v>
      </c>
      <c r="AR180" s="14" t="s">
        <v>3566</v>
      </c>
      <c r="AS180" s="14" t="s">
        <v>3567</v>
      </c>
      <c r="AT180" s="14" t="s">
        <v>474</v>
      </c>
      <c r="AU180" s="14">
        <v>2013.0</v>
      </c>
      <c r="AV180" s="14">
        <v>13.0</v>
      </c>
      <c r="AW180" s="14">
        <v>4.0</v>
      </c>
      <c r="AX180" s="14" t="s">
        <v>99</v>
      </c>
      <c r="AY180" s="14" t="s">
        <v>99</v>
      </c>
      <c r="AZ180" s="14" t="s">
        <v>1738</v>
      </c>
      <c r="BA180" s="14" t="s">
        <v>99</v>
      </c>
      <c r="BB180" s="14">
        <v>843.0</v>
      </c>
      <c r="BC180" s="14">
        <v>852.0</v>
      </c>
      <c r="BD180" s="14" t="s">
        <v>99</v>
      </c>
      <c r="BE180" s="14" t="s">
        <v>3892</v>
      </c>
      <c r="BF180" s="15" t="str">
        <f>HYPERLINK("http://dx.doi.org/10.1007/s10113-012-0344-z","http://dx.doi.org/10.1007/s10113-012-0344-z")</f>
        <v>http://dx.doi.org/10.1007/s10113-012-0344-z</v>
      </c>
      <c r="BG180" s="14" t="s">
        <v>99</v>
      </c>
      <c r="BH180" s="14" t="s">
        <v>99</v>
      </c>
      <c r="BI180" s="14">
        <v>10.0</v>
      </c>
      <c r="BJ180" s="14" t="s">
        <v>3569</v>
      </c>
      <c r="BK180" s="14" t="s">
        <v>800</v>
      </c>
      <c r="BL180" s="14" t="s">
        <v>260</v>
      </c>
      <c r="BM180" s="14" t="s">
        <v>3893</v>
      </c>
      <c r="BN180" s="14" t="s">
        <v>99</v>
      </c>
      <c r="BO180" s="14" t="s">
        <v>99</v>
      </c>
      <c r="BP180" s="14" t="s">
        <v>99</v>
      </c>
      <c r="BQ180" s="14" t="s">
        <v>99</v>
      </c>
      <c r="BR180" s="14" t="s">
        <v>124</v>
      </c>
      <c r="BS180" s="14" t="s">
        <v>3894</v>
      </c>
      <c r="BT180" s="14" t="str">
        <f>HYPERLINK("https%3A%2F%2Fwww.webofscience.com%2Fwos%2Fwoscc%2Ffull-record%2FWOS:000322671700008","View Full Record in Web of Science")</f>
        <v>View Full Record in Web of Science</v>
      </c>
    </row>
    <row r="181" ht="12.75" customHeight="1">
      <c r="A181" s="14" t="s">
        <v>97</v>
      </c>
      <c r="B181" s="14" t="s">
        <v>3895</v>
      </c>
      <c r="C181" s="14" t="s">
        <v>99</v>
      </c>
      <c r="D181" s="14" t="s">
        <v>99</v>
      </c>
      <c r="E181" s="14" t="s">
        <v>99</v>
      </c>
      <c r="F181" s="14" t="s">
        <v>3896</v>
      </c>
      <c r="G181" s="14" t="s">
        <v>99</v>
      </c>
      <c r="H181" s="14" t="s">
        <v>99</v>
      </c>
      <c r="I181" s="14" t="s">
        <v>3897</v>
      </c>
      <c r="J181" s="14" t="s">
        <v>3898</v>
      </c>
      <c r="K181" s="14" t="s">
        <v>99</v>
      </c>
      <c r="L181" s="14" t="s">
        <v>99</v>
      </c>
      <c r="M181" s="14" t="s">
        <v>103</v>
      </c>
      <c r="N181" s="14" t="s">
        <v>104</v>
      </c>
      <c r="O181" s="14" t="s">
        <v>99</v>
      </c>
      <c r="P181" s="14" t="s">
        <v>99</v>
      </c>
      <c r="Q181" s="14" t="s">
        <v>99</v>
      </c>
      <c r="R181" s="14" t="s">
        <v>99</v>
      </c>
      <c r="S181" s="14" t="s">
        <v>99</v>
      </c>
      <c r="T181" s="14" t="s">
        <v>3899</v>
      </c>
      <c r="U181" s="14" t="s">
        <v>3900</v>
      </c>
      <c r="V181" s="14" t="s">
        <v>3901</v>
      </c>
      <c r="W181" s="14" t="s">
        <v>3902</v>
      </c>
      <c r="X181" s="14" t="s">
        <v>3903</v>
      </c>
      <c r="Y181" s="14" t="s">
        <v>3904</v>
      </c>
      <c r="Z181" s="14" t="s">
        <v>3905</v>
      </c>
      <c r="AA181" s="14" t="s">
        <v>3906</v>
      </c>
      <c r="AB181" s="14" t="s">
        <v>3907</v>
      </c>
      <c r="AC181" s="14" t="s">
        <v>3908</v>
      </c>
      <c r="AD181" s="14" t="s">
        <v>3909</v>
      </c>
      <c r="AE181" s="14" t="s">
        <v>3910</v>
      </c>
      <c r="AF181" s="14" t="s">
        <v>99</v>
      </c>
      <c r="AG181" s="14">
        <v>65.0</v>
      </c>
      <c r="AH181" s="14">
        <v>27.0</v>
      </c>
      <c r="AI181" s="14">
        <v>35.0</v>
      </c>
      <c r="AJ181" s="14">
        <v>1.0</v>
      </c>
      <c r="AK181" s="14">
        <v>82.0</v>
      </c>
      <c r="AL181" s="14" t="s">
        <v>1731</v>
      </c>
      <c r="AM181" s="14" t="s">
        <v>1732</v>
      </c>
      <c r="AN181" s="14" t="s">
        <v>1733</v>
      </c>
      <c r="AO181" s="14" t="s">
        <v>3911</v>
      </c>
      <c r="AP181" s="14" t="s">
        <v>3912</v>
      </c>
      <c r="AQ181" s="14" t="s">
        <v>99</v>
      </c>
      <c r="AR181" s="14" t="s">
        <v>3913</v>
      </c>
      <c r="AS181" s="14" t="s">
        <v>3914</v>
      </c>
      <c r="AT181" s="14" t="s">
        <v>474</v>
      </c>
      <c r="AU181" s="14">
        <v>2013.0</v>
      </c>
      <c r="AV181" s="14">
        <v>87.0</v>
      </c>
      <c r="AW181" s="14">
        <v>4.0</v>
      </c>
      <c r="AX181" s="14" t="s">
        <v>99</v>
      </c>
      <c r="AY181" s="14" t="s">
        <v>99</v>
      </c>
      <c r="AZ181" s="14" t="s">
        <v>99</v>
      </c>
      <c r="BA181" s="14" t="s">
        <v>99</v>
      </c>
      <c r="BB181" s="14">
        <v>767.0</v>
      </c>
      <c r="BC181" s="14">
        <v>779.0</v>
      </c>
      <c r="BD181" s="14" t="s">
        <v>99</v>
      </c>
      <c r="BE181" s="14" t="s">
        <v>3915</v>
      </c>
      <c r="BF181" s="15" t="str">
        <f>HYPERLINK("http://dx.doi.org/10.1007/s10457-013-9595-z","http://dx.doi.org/10.1007/s10457-013-9595-z")</f>
        <v>http://dx.doi.org/10.1007/s10457-013-9595-z</v>
      </c>
      <c r="BG181" s="14" t="s">
        <v>99</v>
      </c>
      <c r="BH181" s="14" t="s">
        <v>99</v>
      </c>
      <c r="BI181" s="14">
        <v>13.0</v>
      </c>
      <c r="BJ181" s="14" t="s">
        <v>3916</v>
      </c>
      <c r="BK181" s="14" t="s">
        <v>122</v>
      </c>
      <c r="BL181" s="14" t="s">
        <v>3917</v>
      </c>
      <c r="BM181" s="14" t="s">
        <v>3918</v>
      </c>
      <c r="BN181" s="14" t="s">
        <v>99</v>
      </c>
      <c r="BO181" s="14" t="s">
        <v>99</v>
      </c>
      <c r="BP181" s="14" t="s">
        <v>99</v>
      </c>
      <c r="BQ181" s="14" t="s">
        <v>99</v>
      </c>
      <c r="BR181" s="14" t="s">
        <v>124</v>
      </c>
      <c r="BS181" s="14" t="s">
        <v>3919</v>
      </c>
      <c r="BT181" s="14" t="str">
        <f>HYPERLINK("https%3A%2F%2Fwww.webofscience.com%2Fwos%2Fwoscc%2Ffull-record%2FWOS:000321519300004","View Full Record in Web of Science")</f>
        <v>View Full Record in Web of Science</v>
      </c>
    </row>
    <row r="182" ht="12.75" customHeight="1">
      <c r="A182" s="14" t="s">
        <v>97</v>
      </c>
      <c r="B182" s="14" t="s">
        <v>3920</v>
      </c>
      <c r="C182" s="14" t="s">
        <v>99</v>
      </c>
      <c r="D182" s="14" t="s">
        <v>99</v>
      </c>
      <c r="E182" s="14" t="s">
        <v>99</v>
      </c>
      <c r="F182" s="14" t="s">
        <v>3921</v>
      </c>
      <c r="G182" s="14" t="s">
        <v>99</v>
      </c>
      <c r="H182" s="14" t="s">
        <v>99</v>
      </c>
      <c r="I182" s="14" t="s">
        <v>3922</v>
      </c>
      <c r="J182" s="14" t="s">
        <v>776</v>
      </c>
      <c r="K182" s="14" t="s">
        <v>99</v>
      </c>
      <c r="L182" s="14" t="s">
        <v>99</v>
      </c>
      <c r="M182" s="14" t="s">
        <v>103</v>
      </c>
      <c r="N182" s="14" t="s">
        <v>104</v>
      </c>
      <c r="O182" s="14" t="s">
        <v>99</v>
      </c>
      <c r="P182" s="14" t="s">
        <v>99</v>
      </c>
      <c r="Q182" s="14" t="s">
        <v>99</v>
      </c>
      <c r="R182" s="14" t="s">
        <v>99</v>
      </c>
      <c r="S182" s="14" t="s">
        <v>99</v>
      </c>
      <c r="T182" s="14" t="s">
        <v>3923</v>
      </c>
      <c r="U182" s="14" t="s">
        <v>3924</v>
      </c>
      <c r="V182" s="14" t="s">
        <v>3925</v>
      </c>
      <c r="W182" s="14" t="s">
        <v>3926</v>
      </c>
      <c r="X182" s="14" t="s">
        <v>3927</v>
      </c>
      <c r="Y182" s="14" t="s">
        <v>3928</v>
      </c>
      <c r="Z182" s="14" t="s">
        <v>3929</v>
      </c>
      <c r="AA182" s="14" t="s">
        <v>3930</v>
      </c>
      <c r="AB182" s="14" t="s">
        <v>3931</v>
      </c>
      <c r="AC182" s="14" t="s">
        <v>3932</v>
      </c>
      <c r="AD182" s="14" t="s">
        <v>3933</v>
      </c>
      <c r="AE182" s="14" t="s">
        <v>3934</v>
      </c>
      <c r="AF182" s="14" t="s">
        <v>99</v>
      </c>
      <c r="AG182" s="14">
        <v>40.0</v>
      </c>
      <c r="AH182" s="14">
        <v>605.0</v>
      </c>
      <c r="AI182" s="14">
        <v>689.0</v>
      </c>
      <c r="AJ182" s="14">
        <v>2.0</v>
      </c>
      <c r="AK182" s="14">
        <v>436.0</v>
      </c>
      <c r="AL182" s="14" t="s">
        <v>788</v>
      </c>
      <c r="AM182" s="14" t="s">
        <v>789</v>
      </c>
      <c r="AN182" s="14" t="s">
        <v>790</v>
      </c>
      <c r="AO182" s="14" t="s">
        <v>791</v>
      </c>
      <c r="AP182" s="14" t="s">
        <v>99</v>
      </c>
      <c r="AQ182" s="14" t="s">
        <v>99</v>
      </c>
      <c r="AR182" s="14" t="s">
        <v>793</v>
      </c>
      <c r="AS182" s="14" t="s">
        <v>794</v>
      </c>
      <c r="AT182" s="14" t="s">
        <v>3935</v>
      </c>
      <c r="AU182" s="14">
        <v>2013.0</v>
      </c>
      <c r="AV182" s="14">
        <v>110.0</v>
      </c>
      <c r="AW182" s="14">
        <v>27.0</v>
      </c>
      <c r="AX182" s="14" t="s">
        <v>99</v>
      </c>
      <c r="AY182" s="14" t="s">
        <v>99</v>
      </c>
      <c r="AZ182" s="14" t="s">
        <v>99</v>
      </c>
      <c r="BA182" s="14" t="s">
        <v>99</v>
      </c>
      <c r="BB182" s="14">
        <v>11039.0</v>
      </c>
      <c r="BC182" s="14">
        <v>11043.0</v>
      </c>
      <c r="BD182" s="14" t="s">
        <v>99</v>
      </c>
      <c r="BE182" s="14" t="s">
        <v>3936</v>
      </c>
      <c r="BF182" s="15" t="str">
        <f>HYPERLINK("http://dx.doi.org/10.1073/pnas.1305618110","http://dx.doi.org/10.1073/pnas.1305618110")</f>
        <v>http://dx.doi.org/10.1073/pnas.1305618110</v>
      </c>
      <c r="BG182" s="14" t="s">
        <v>99</v>
      </c>
      <c r="BH182" s="14" t="s">
        <v>99</v>
      </c>
      <c r="BI182" s="14">
        <v>5.0</v>
      </c>
      <c r="BJ182" s="14" t="s">
        <v>799</v>
      </c>
      <c r="BK182" s="14" t="s">
        <v>122</v>
      </c>
      <c r="BL182" s="14" t="s">
        <v>801</v>
      </c>
      <c r="BM182" s="14" t="s">
        <v>3937</v>
      </c>
      <c r="BN182" s="14">
        <v>2.3776226E7</v>
      </c>
      <c r="BO182" s="14" t="s">
        <v>99</v>
      </c>
      <c r="BP182" s="14" t="s">
        <v>99</v>
      </c>
      <c r="BQ182" s="14" t="s">
        <v>99</v>
      </c>
      <c r="BR182" s="14" t="s">
        <v>124</v>
      </c>
      <c r="BS182" s="14" t="s">
        <v>3938</v>
      </c>
      <c r="BT182" s="14" t="str">
        <f>HYPERLINK("https%3A%2F%2Fwww.webofscience.com%2Fwos%2Fwoscc%2Ffull-record%2FWOS:000321978000046","View Full Record in Web of Science")</f>
        <v>View Full Record in Web of Science</v>
      </c>
    </row>
    <row r="183" ht="12.75" customHeight="1">
      <c r="A183" s="14" t="s">
        <v>97</v>
      </c>
      <c r="B183" s="14" t="s">
        <v>3939</v>
      </c>
      <c r="C183" s="14" t="s">
        <v>99</v>
      </c>
      <c r="D183" s="14" t="s">
        <v>99</v>
      </c>
      <c r="E183" s="14" t="s">
        <v>99</v>
      </c>
      <c r="F183" s="14" t="s">
        <v>3940</v>
      </c>
      <c r="G183" s="14" t="s">
        <v>99</v>
      </c>
      <c r="H183" s="14" t="s">
        <v>99</v>
      </c>
      <c r="I183" s="14" t="s">
        <v>3941</v>
      </c>
      <c r="J183" s="14" t="s">
        <v>1605</v>
      </c>
      <c r="K183" s="14" t="s">
        <v>99</v>
      </c>
      <c r="L183" s="14" t="s">
        <v>99</v>
      </c>
      <c r="M183" s="14" t="s">
        <v>103</v>
      </c>
      <c r="N183" s="14" t="s">
        <v>104</v>
      </c>
      <c r="O183" s="14" t="s">
        <v>99</v>
      </c>
      <c r="P183" s="14" t="s">
        <v>99</v>
      </c>
      <c r="Q183" s="14" t="s">
        <v>99</v>
      </c>
      <c r="R183" s="14" t="s">
        <v>99</v>
      </c>
      <c r="S183" s="14" t="s">
        <v>99</v>
      </c>
      <c r="T183" s="14" t="s">
        <v>3942</v>
      </c>
      <c r="U183" s="14" t="s">
        <v>3943</v>
      </c>
      <c r="V183" s="14" t="s">
        <v>3944</v>
      </c>
      <c r="W183" s="14" t="s">
        <v>3945</v>
      </c>
      <c r="X183" s="14" t="s">
        <v>3946</v>
      </c>
      <c r="Y183" s="14" t="s">
        <v>3947</v>
      </c>
      <c r="Z183" s="14" t="s">
        <v>3948</v>
      </c>
      <c r="AA183" s="14" t="s">
        <v>3949</v>
      </c>
      <c r="AB183" s="14" t="s">
        <v>3950</v>
      </c>
      <c r="AC183" s="14" t="s">
        <v>3951</v>
      </c>
      <c r="AD183" s="14" t="s">
        <v>3952</v>
      </c>
      <c r="AE183" s="14" t="s">
        <v>3953</v>
      </c>
      <c r="AF183" s="14" t="s">
        <v>99</v>
      </c>
      <c r="AG183" s="14">
        <v>47.0</v>
      </c>
      <c r="AH183" s="14">
        <v>52.0</v>
      </c>
      <c r="AI183" s="14">
        <v>56.0</v>
      </c>
      <c r="AJ183" s="14">
        <v>0.0</v>
      </c>
      <c r="AK183" s="14">
        <v>66.0</v>
      </c>
      <c r="AL183" s="14" t="s">
        <v>341</v>
      </c>
      <c r="AM183" s="14" t="s">
        <v>342</v>
      </c>
      <c r="AN183" s="14" t="s">
        <v>343</v>
      </c>
      <c r="AO183" s="14" t="s">
        <v>1618</v>
      </c>
      <c r="AP183" s="14" t="s">
        <v>1619</v>
      </c>
      <c r="AQ183" s="14" t="s">
        <v>99</v>
      </c>
      <c r="AR183" s="14" t="s">
        <v>1620</v>
      </c>
      <c r="AS183" s="14" t="s">
        <v>1621</v>
      </c>
      <c r="AT183" s="14" t="s">
        <v>525</v>
      </c>
      <c r="AU183" s="14">
        <v>2013.0</v>
      </c>
      <c r="AV183" s="14">
        <v>40.0</v>
      </c>
      <c r="AW183" s="14">
        <v>7.0</v>
      </c>
      <c r="AX183" s="14" t="s">
        <v>99</v>
      </c>
      <c r="AY183" s="14" t="s">
        <v>99</v>
      </c>
      <c r="AZ183" s="14" t="s">
        <v>99</v>
      </c>
      <c r="BA183" s="14" t="s">
        <v>99</v>
      </c>
      <c r="BB183" s="14">
        <v>1252.0</v>
      </c>
      <c r="BC183" s="14">
        <v>1265.0</v>
      </c>
      <c r="BD183" s="14" t="s">
        <v>99</v>
      </c>
      <c r="BE183" s="14" t="s">
        <v>3954</v>
      </c>
      <c r="BF183" s="15" t="str">
        <f>HYPERLINK("http://dx.doi.org/10.1111/jbi.12105","http://dx.doi.org/10.1111/jbi.12105")</f>
        <v>http://dx.doi.org/10.1111/jbi.12105</v>
      </c>
      <c r="BG183" s="14" t="s">
        <v>99</v>
      </c>
      <c r="BH183" s="14" t="s">
        <v>99</v>
      </c>
      <c r="BI183" s="14">
        <v>14.0</v>
      </c>
      <c r="BJ183" s="14" t="s">
        <v>869</v>
      </c>
      <c r="BK183" s="14" t="s">
        <v>122</v>
      </c>
      <c r="BL183" s="14" t="s">
        <v>870</v>
      </c>
      <c r="BM183" s="14" t="s">
        <v>3955</v>
      </c>
      <c r="BN183" s="14" t="s">
        <v>99</v>
      </c>
      <c r="BO183" s="14" t="s">
        <v>99</v>
      </c>
      <c r="BP183" s="14" t="s">
        <v>99</v>
      </c>
      <c r="BQ183" s="14" t="s">
        <v>99</v>
      </c>
      <c r="BR183" s="14" t="s">
        <v>124</v>
      </c>
      <c r="BS183" s="14" t="s">
        <v>3956</v>
      </c>
      <c r="BT183" s="14" t="str">
        <f>HYPERLINK("https%3A%2F%2Fwww.webofscience.com%2Fwos%2Fwoscc%2Ffull-record%2FWOS:000320175400005","View Full Record in Web of Science")</f>
        <v>View Full Record in Web of Science</v>
      </c>
    </row>
    <row r="184" ht="12.75" customHeight="1">
      <c r="A184" s="14" t="s">
        <v>97</v>
      </c>
      <c r="B184" s="14" t="s">
        <v>3957</v>
      </c>
      <c r="C184" s="14" t="s">
        <v>99</v>
      </c>
      <c r="D184" s="14" t="s">
        <v>99</v>
      </c>
      <c r="E184" s="14" t="s">
        <v>99</v>
      </c>
      <c r="F184" s="14" t="s">
        <v>3958</v>
      </c>
      <c r="G184" s="14" t="s">
        <v>99</v>
      </c>
      <c r="H184" s="14" t="s">
        <v>99</v>
      </c>
      <c r="I184" s="14" t="s">
        <v>3959</v>
      </c>
      <c r="J184" s="14" t="s">
        <v>2793</v>
      </c>
      <c r="K184" s="14" t="s">
        <v>99</v>
      </c>
      <c r="L184" s="14" t="s">
        <v>99</v>
      </c>
      <c r="M184" s="14" t="s">
        <v>103</v>
      </c>
      <c r="N184" s="14" t="s">
        <v>104</v>
      </c>
      <c r="O184" s="14" t="s">
        <v>99</v>
      </c>
      <c r="P184" s="14" t="s">
        <v>99</v>
      </c>
      <c r="Q184" s="14" t="s">
        <v>99</v>
      </c>
      <c r="R184" s="14" t="s">
        <v>99</v>
      </c>
      <c r="S184" s="14" t="s">
        <v>99</v>
      </c>
      <c r="T184" s="14" t="s">
        <v>99</v>
      </c>
      <c r="U184" s="14" t="s">
        <v>3960</v>
      </c>
      <c r="V184" s="14" t="s">
        <v>3961</v>
      </c>
      <c r="W184" s="14" t="s">
        <v>3962</v>
      </c>
      <c r="X184" s="14" t="s">
        <v>3963</v>
      </c>
      <c r="Y184" s="14" t="s">
        <v>3964</v>
      </c>
      <c r="Z184" s="14" t="s">
        <v>3965</v>
      </c>
      <c r="AA184" s="14" t="s">
        <v>3966</v>
      </c>
      <c r="AB184" s="14" t="s">
        <v>3967</v>
      </c>
      <c r="AC184" s="14" t="s">
        <v>3968</v>
      </c>
      <c r="AD184" s="14" t="s">
        <v>3969</v>
      </c>
      <c r="AE184" s="14" t="s">
        <v>3970</v>
      </c>
      <c r="AF184" s="14" t="s">
        <v>99</v>
      </c>
      <c r="AG184" s="14">
        <v>30.0</v>
      </c>
      <c r="AH184" s="14">
        <v>314.0</v>
      </c>
      <c r="AI184" s="14">
        <v>356.0</v>
      </c>
      <c r="AJ184" s="14">
        <v>5.0</v>
      </c>
      <c r="AK184" s="14">
        <v>247.0</v>
      </c>
      <c r="AL184" s="14" t="s">
        <v>1326</v>
      </c>
      <c r="AM184" s="14" t="s">
        <v>274</v>
      </c>
      <c r="AN184" s="14" t="s">
        <v>1327</v>
      </c>
      <c r="AO184" s="14" t="s">
        <v>2805</v>
      </c>
      <c r="AP184" s="14" t="s">
        <v>2806</v>
      </c>
      <c r="AQ184" s="14" t="s">
        <v>99</v>
      </c>
      <c r="AR184" s="14" t="s">
        <v>2807</v>
      </c>
      <c r="AS184" s="14" t="s">
        <v>2808</v>
      </c>
      <c r="AT184" s="14" t="s">
        <v>525</v>
      </c>
      <c r="AU184" s="14">
        <v>2013.0</v>
      </c>
      <c r="AV184" s="14">
        <v>3.0</v>
      </c>
      <c r="AW184" s="14">
        <v>7.0</v>
      </c>
      <c r="AX184" s="14" t="s">
        <v>99</v>
      </c>
      <c r="AY184" s="14" t="s">
        <v>99</v>
      </c>
      <c r="AZ184" s="14" t="s">
        <v>99</v>
      </c>
      <c r="BA184" s="14" t="s">
        <v>99</v>
      </c>
      <c r="BB184" s="14">
        <v>678.0</v>
      </c>
      <c r="BC184" s="14">
        <v>682.0</v>
      </c>
      <c r="BD184" s="14" t="s">
        <v>99</v>
      </c>
      <c r="BE184" s="14" t="s">
        <v>3971</v>
      </c>
      <c r="BF184" s="15" t="str">
        <f>HYPERLINK("http://dx.doi.org/10.1038/NCLIMATE1887","http://dx.doi.org/10.1038/NCLIMATE1887")</f>
        <v>http://dx.doi.org/10.1038/NCLIMATE1887</v>
      </c>
      <c r="BG184" s="14" t="s">
        <v>99</v>
      </c>
      <c r="BH184" s="14" t="s">
        <v>99</v>
      </c>
      <c r="BI184" s="14">
        <v>5.0</v>
      </c>
      <c r="BJ184" s="14" t="s">
        <v>2810</v>
      </c>
      <c r="BK184" s="14" t="s">
        <v>800</v>
      </c>
      <c r="BL184" s="14" t="s">
        <v>574</v>
      </c>
      <c r="BM184" s="14" t="s">
        <v>3972</v>
      </c>
      <c r="BN184" s="14" t="s">
        <v>99</v>
      </c>
      <c r="BO184" s="14" t="s">
        <v>99</v>
      </c>
      <c r="BP184" s="14" t="s">
        <v>99</v>
      </c>
      <c r="BQ184" s="14" t="s">
        <v>99</v>
      </c>
      <c r="BR184" s="14" t="s">
        <v>124</v>
      </c>
      <c r="BS184" s="14" t="s">
        <v>3973</v>
      </c>
      <c r="BT184" s="14" t="str">
        <f>HYPERLINK("https%3A%2F%2Fwww.webofscience.com%2Fwos%2Fwoscc%2Ffull-record%2FWOS:000324486300025","View Full Record in Web of Science")</f>
        <v>View Full Record in Web of Science</v>
      </c>
    </row>
    <row r="185" ht="12.75" customHeight="1">
      <c r="A185" s="14" t="s">
        <v>97</v>
      </c>
      <c r="B185" s="14" t="s">
        <v>3974</v>
      </c>
      <c r="C185" s="14" t="s">
        <v>99</v>
      </c>
      <c r="D185" s="14" t="s">
        <v>99</v>
      </c>
      <c r="E185" s="14" t="s">
        <v>99</v>
      </c>
      <c r="F185" s="14" t="s">
        <v>3975</v>
      </c>
      <c r="G185" s="14" t="s">
        <v>99</v>
      </c>
      <c r="H185" s="14" t="s">
        <v>99</v>
      </c>
      <c r="I185" s="14" t="s">
        <v>3976</v>
      </c>
      <c r="J185" s="14" t="s">
        <v>776</v>
      </c>
      <c r="K185" s="14" t="s">
        <v>99</v>
      </c>
      <c r="L185" s="14" t="s">
        <v>99</v>
      </c>
      <c r="M185" s="14" t="s">
        <v>103</v>
      </c>
      <c r="N185" s="14" t="s">
        <v>104</v>
      </c>
      <c r="O185" s="14" t="s">
        <v>99</v>
      </c>
      <c r="P185" s="14" t="s">
        <v>99</v>
      </c>
      <c r="Q185" s="14" t="s">
        <v>99</v>
      </c>
      <c r="R185" s="14" t="s">
        <v>99</v>
      </c>
      <c r="S185" s="14" t="s">
        <v>99</v>
      </c>
      <c r="T185" s="14" t="s">
        <v>3977</v>
      </c>
      <c r="U185" s="14" t="s">
        <v>3978</v>
      </c>
      <c r="V185" s="14" t="s">
        <v>3979</v>
      </c>
      <c r="W185" s="14" t="s">
        <v>3980</v>
      </c>
      <c r="X185" s="14" t="s">
        <v>3981</v>
      </c>
      <c r="Y185" s="14" t="s">
        <v>3982</v>
      </c>
      <c r="Z185" s="14" t="s">
        <v>3983</v>
      </c>
      <c r="AA185" s="14" t="s">
        <v>3984</v>
      </c>
      <c r="AB185" s="14" t="s">
        <v>3985</v>
      </c>
      <c r="AC185" s="14" t="s">
        <v>3986</v>
      </c>
      <c r="AD185" s="14" t="s">
        <v>3987</v>
      </c>
      <c r="AE185" s="14" t="s">
        <v>3988</v>
      </c>
      <c r="AF185" s="14" t="s">
        <v>99</v>
      </c>
      <c r="AG185" s="14">
        <v>40.0</v>
      </c>
      <c r="AH185" s="14">
        <v>450.0</v>
      </c>
      <c r="AI185" s="14">
        <v>527.0</v>
      </c>
      <c r="AJ185" s="14">
        <v>3.0</v>
      </c>
      <c r="AK185" s="14">
        <v>397.0</v>
      </c>
      <c r="AL185" s="14" t="s">
        <v>788</v>
      </c>
      <c r="AM185" s="14" t="s">
        <v>789</v>
      </c>
      <c r="AN185" s="14" t="s">
        <v>790</v>
      </c>
      <c r="AO185" s="14" t="s">
        <v>791</v>
      </c>
      <c r="AP185" s="14" t="s">
        <v>99</v>
      </c>
      <c r="AQ185" s="14" t="s">
        <v>99</v>
      </c>
      <c r="AR185" s="14" t="s">
        <v>793</v>
      </c>
      <c r="AS185" s="14" t="s">
        <v>794</v>
      </c>
      <c r="AT185" s="14" t="s">
        <v>3989</v>
      </c>
      <c r="AU185" s="14">
        <v>2013.0</v>
      </c>
      <c r="AV185" s="14">
        <v>110.0</v>
      </c>
      <c r="AW185" s="14">
        <v>25.0</v>
      </c>
      <c r="AX185" s="14" t="s">
        <v>99</v>
      </c>
      <c r="AY185" s="14" t="s">
        <v>99</v>
      </c>
      <c r="AZ185" s="14" t="s">
        <v>99</v>
      </c>
      <c r="BA185" s="14" t="s">
        <v>99</v>
      </c>
      <c r="BB185" s="14">
        <v>10324.0</v>
      </c>
      <c r="BC185" s="14">
        <v>10329.0</v>
      </c>
      <c r="BD185" s="14" t="s">
        <v>99</v>
      </c>
      <c r="BE185" s="14" t="s">
        <v>3990</v>
      </c>
      <c r="BF185" s="15" t="str">
        <f>HYPERLINK("http://dx.doi.org/10.1073/pnas.1211349110","http://dx.doi.org/10.1073/pnas.1211349110")</f>
        <v>http://dx.doi.org/10.1073/pnas.1211349110</v>
      </c>
      <c r="BG185" s="14" t="s">
        <v>99</v>
      </c>
      <c r="BH185" s="14" t="s">
        <v>99</v>
      </c>
      <c r="BI185" s="14">
        <v>6.0</v>
      </c>
      <c r="BJ185" s="14" t="s">
        <v>799</v>
      </c>
      <c r="BK185" s="14" t="s">
        <v>122</v>
      </c>
      <c r="BL185" s="14" t="s">
        <v>801</v>
      </c>
      <c r="BM185" s="14" t="s">
        <v>3991</v>
      </c>
      <c r="BN185" s="14">
        <v>2.373394E7</v>
      </c>
      <c r="BO185" s="14" t="s">
        <v>373</v>
      </c>
      <c r="BP185" s="14" t="s">
        <v>99</v>
      </c>
      <c r="BQ185" s="14" t="s">
        <v>99</v>
      </c>
      <c r="BR185" s="14" t="s">
        <v>124</v>
      </c>
      <c r="BS185" s="14" t="s">
        <v>3992</v>
      </c>
      <c r="BT185" s="14" t="str">
        <f>HYPERLINK("https%3A%2F%2Fwww.webofscience.com%2Fwos%2Fwoscc%2Ffull-record%2FWOS:000321500200066","View Full Record in Web of Science")</f>
        <v>View Full Record in Web of Science</v>
      </c>
    </row>
    <row r="186" ht="12.75" customHeight="1">
      <c r="A186" s="14" t="s">
        <v>97</v>
      </c>
      <c r="B186" s="14" t="s">
        <v>3993</v>
      </c>
      <c r="C186" s="14" t="s">
        <v>99</v>
      </c>
      <c r="D186" s="14" t="s">
        <v>99</v>
      </c>
      <c r="E186" s="14" t="s">
        <v>99</v>
      </c>
      <c r="F186" s="14" t="s">
        <v>3994</v>
      </c>
      <c r="G186" s="14" t="s">
        <v>99</v>
      </c>
      <c r="H186" s="14" t="s">
        <v>99</v>
      </c>
      <c r="I186" s="14" t="s">
        <v>3995</v>
      </c>
      <c r="J186" s="14" t="s">
        <v>2500</v>
      </c>
      <c r="K186" s="14" t="s">
        <v>99</v>
      </c>
      <c r="L186" s="14" t="s">
        <v>99</v>
      </c>
      <c r="M186" s="14" t="s">
        <v>103</v>
      </c>
      <c r="N186" s="14" t="s">
        <v>104</v>
      </c>
      <c r="O186" s="14" t="s">
        <v>99</v>
      </c>
      <c r="P186" s="14" t="s">
        <v>99</v>
      </c>
      <c r="Q186" s="14" t="s">
        <v>99</v>
      </c>
      <c r="R186" s="14" t="s">
        <v>99</v>
      </c>
      <c r="S186" s="14" t="s">
        <v>99</v>
      </c>
      <c r="T186" s="14" t="s">
        <v>99</v>
      </c>
      <c r="U186" s="14" t="s">
        <v>3996</v>
      </c>
      <c r="V186" s="14" t="s">
        <v>3997</v>
      </c>
      <c r="W186" s="14" t="s">
        <v>3998</v>
      </c>
      <c r="X186" s="14" t="s">
        <v>3999</v>
      </c>
      <c r="Y186" s="14" t="s">
        <v>4000</v>
      </c>
      <c r="Z186" s="14" t="s">
        <v>4001</v>
      </c>
      <c r="AA186" s="14" t="s">
        <v>4002</v>
      </c>
      <c r="AB186" s="14" t="s">
        <v>4003</v>
      </c>
      <c r="AC186" s="14" t="s">
        <v>4004</v>
      </c>
      <c r="AD186" s="14" t="s">
        <v>4005</v>
      </c>
      <c r="AE186" s="14" t="s">
        <v>4006</v>
      </c>
      <c r="AF186" s="14" t="s">
        <v>99</v>
      </c>
      <c r="AG186" s="14">
        <v>41.0</v>
      </c>
      <c r="AH186" s="14">
        <v>711.0</v>
      </c>
      <c r="AI186" s="14">
        <v>815.0</v>
      </c>
      <c r="AJ186" s="14">
        <v>3.0</v>
      </c>
      <c r="AK186" s="14">
        <v>231.0</v>
      </c>
      <c r="AL186" s="14" t="s">
        <v>2512</v>
      </c>
      <c r="AM186" s="14" t="s">
        <v>2513</v>
      </c>
      <c r="AN186" s="14" t="s">
        <v>2514</v>
      </c>
      <c r="AO186" s="14" t="s">
        <v>2515</v>
      </c>
      <c r="AP186" s="14" t="s">
        <v>99</v>
      </c>
      <c r="AQ186" s="14" t="s">
        <v>99</v>
      </c>
      <c r="AR186" s="14" t="s">
        <v>2500</v>
      </c>
      <c r="AS186" s="14" t="s">
        <v>2516</v>
      </c>
      <c r="AT186" s="14" t="s">
        <v>2581</v>
      </c>
      <c r="AU186" s="14">
        <v>2013.0</v>
      </c>
      <c r="AV186" s="14">
        <v>8.0</v>
      </c>
      <c r="AW186" s="14">
        <v>6.0</v>
      </c>
      <c r="AX186" s="14" t="s">
        <v>99</v>
      </c>
      <c r="AY186" s="14" t="s">
        <v>99</v>
      </c>
      <c r="AZ186" s="14" t="s">
        <v>99</v>
      </c>
      <c r="BA186" s="14" t="s">
        <v>99</v>
      </c>
      <c r="BB186" s="14" t="s">
        <v>99</v>
      </c>
      <c r="BC186" s="14" t="s">
        <v>99</v>
      </c>
      <c r="BD186" s="14" t="s">
        <v>4007</v>
      </c>
      <c r="BE186" s="14" t="s">
        <v>4008</v>
      </c>
      <c r="BF186" s="15" t="str">
        <f>HYPERLINK("http://dx.doi.org/10.1371/journal.pone.0065427","http://dx.doi.org/10.1371/journal.pone.0065427")</f>
        <v>http://dx.doi.org/10.1371/journal.pone.0065427</v>
      </c>
      <c r="BG186" s="14" t="s">
        <v>99</v>
      </c>
      <c r="BH186" s="14" t="s">
        <v>99</v>
      </c>
      <c r="BI186" s="14">
        <v>13.0</v>
      </c>
      <c r="BJ186" s="14" t="s">
        <v>799</v>
      </c>
      <c r="BK186" s="14" t="s">
        <v>122</v>
      </c>
      <c r="BL186" s="14" t="s">
        <v>801</v>
      </c>
      <c r="BM186" s="14" t="s">
        <v>4009</v>
      </c>
      <c r="BN186" s="14">
        <v>2.3950785E7</v>
      </c>
      <c r="BO186" s="14" t="s">
        <v>1251</v>
      </c>
      <c r="BP186" s="14" t="s">
        <v>99</v>
      </c>
      <c r="BQ186" s="14" t="s">
        <v>99</v>
      </c>
      <c r="BR186" s="14" t="s">
        <v>124</v>
      </c>
      <c r="BS186" s="14" t="s">
        <v>4010</v>
      </c>
      <c r="BT186" s="14" t="str">
        <f>HYPERLINK("https%3A%2F%2Fwww.webofscience.com%2Fwos%2Fwoscc%2Ffull-record%2FWOS:000320322400025","View Full Record in Web of Science")</f>
        <v>View Full Record in Web of Science</v>
      </c>
    </row>
    <row r="187" ht="12.75" customHeight="1">
      <c r="A187" s="14" t="s">
        <v>97</v>
      </c>
      <c r="B187" s="14" t="s">
        <v>4011</v>
      </c>
      <c r="C187" s="14" t="s">
        <v>99</v>
      </c>
      <c r="D187" s="14" t="s">
        <v>99</v>
      </c>
      <c r="E187" s="14" t="s">
        <v>99</v>
      </c>
      <c r="F187" s="14" t="s">
        <v>4012</v>
      </c>
      <c r="G187" s="14" t="s">
        <v>99</v>
      </c>
      <c r="H187" s="14" t="s">
        <v>99</v>
      </c>
      <c r="I187" s="14" t="s">
        <v>4013</v>
      </c>
      <c r="J187" s="14" t="s">
        <v>826</v>
      </c>
      <c r="K187" s="14" t="s">
        <v>99</v>
      </c>
      <c r="L187" s="14" t="s">
        <v>99</v>
      </c>
      <c r="M187" s="14" t="s">
        <v>103</v>
      </c>
      <c r="N187" s="14" t="s">
        <v>104</v>
      </c>
      <c r="O187" s="14" t="s">
        <v>99</v>
      </c>
      <c r="P187" s="14" t="s">
        <v>99</v>
      </c>
      <c r="Q187" s="14" t="s">
        <v>99</v>
      </c>
      <c r="R187" s="14" t="s">
        <v>99</v>
      </c>
      <c r="S187" s="14" t="s">
        <v>99</v>
      </c>
      <c r="T187" s="14" t="s">
        <v>4014</v>
      </c>
      <c r="U187" s="14" t="s">
        <v>4015</v>
      </c>
      <c r="V187" s="14" t="s">
        <v>4016</v>
      </c>
      <c r="W187" s="14" t="s">
        <v>4017</v>
      </c>
      <c r="X187" s="14" t="s">
        <v>4018</v>
      </c>
      <c r="Y187" s="14" t="s">
        <v>4019</v>
      </c>
      <c r="Z187" s="14" t="s">
        <v>4020</v>
      </c>
      <c r="AA187" s="14" t="s">
        <v>4021</v>
      </c>
      <c r="AB187" s="14" t="s">
        <v>4022</v>
      </c>
      <c r="AC187" s="14" t="s">
        <v>4023</v>
      </c>
      <c r="AD187" s="14" t="s">
        <v>4023</v>
      </c>
      <c r="AE187" s="14" t="s">
        <v>4024</v>
      </c>
      <c r="AF187" s="14" t="s">
        <v>99</v>
      </c>
      <c r="AG187" s="14">
        <v>56.0</v>
      </c>
      <c r="AH187" s="14">
        <v>65.0</v>
      </c>
      <c r="AI187" s="14">
        <v>76.0</v>
      </c>
      <c r="AJ187" s="14">
        <v>2.0</v>
      </c>
      <c r="AK187" s="14">
        <v>105.0</v>
      </c>
      <c r="AL187" s="14" t="s">
        <v>341</v>
      </c>
      <c r="AM187" s="14" t="s">
        <v>342</v>
      </c>
      <c r="AN187" s="14" t="s">
        <v>343</v>
      </c>
      <c r="AO187" s="14" t="s">
        <v>839</v>
      </c>
      <c r="AP187" s="14" t="s">
        <v>840</v>
      </c>
      <c r="AQ187" s="14" t="s">
        <v>99</v>
      </c>
      <c r="AR187" s="14" t="s">
        <v>841</v>
      </c>
      <c r="AS187" s="14" t="s">
        <v>842</v>
      </c>
      <c r="AT187" s="14" t="s">
        <v>616</v>
      </c>
      <c r="AU187" s="14">
        <v>2013.0</v>
      </c>
      <c r="AV187" s="14">
        <v>23.0</v>
      </c>
      <c r="AW187" s="14">
        <v>3.0</v>
      </c>
      <c r="AX187" s="14" t="s">
        <v>99</v>
      </c>
      <c r="AY187" s="14" t="s">
        <v>99</v>
      </c>
      <c r="AZ187" s="14" t="s">
        <v>99</v>
      </c>
      <c r="BA187" s="14" t="s">
        <v>99</v>
      </c>
      <c r="BB187" s="14">
        <v>405.0</v>
      </c>
      <c r="BC187" s="14">
        <v>417.0</v>
      </c>
      <c r="BD187" s="14" t="s">
        <v>99</v>
      </c>
      <c r="BE187" s="14" t="s">
        <v>4025</v>
      </c>
      <c r="BF187" s="15" t="str">
        <f>HYPERLINK("http://dx.doi.org/10.1002/aqc.2345","http://dx.doi.org/10.1002/aqc.2345")</f>
        <v>http://dx.doi.org/10.1002/aqc.2345</v>
      </c>
      <c r="BG187" s="14" t="s">
        <v>99</v>
      </c>
      <c r="BH187" s="14" t="s">
        <v>99</v>
      </c>
      <c r="BI187" s="14">
        <v>13.0</v>
      </c>
      <c r="BJ187" s="14" t="s">
        <v>844</v>
      </c>
      <c r="BK187" s="14" t="s">
        <v>122</v>
      </c>
      <c r="BL187" s="14" t="s">
        <v>845</v>
      </c>
      <c r="BM187" s="14" t="s">
        <v>4026</v>
      </c>
      <c r="BN187" s="14" t="s">
        <v>99</v>
      </c>
      <c r="BO187" s="14" t="s">
        <v>99</v>
      </c>
      <c r="BP187" s="14" t="s">
        <v>99</v>
      </c>
      <c r="BQ187" s="14" t="s">
        <v>99</v>
      </c>
      <c r="BR187" s="14" t="s">
        <v>124</v>
      </c>
      <c r="BS187" s="14" t="s">
        <v>4027</v>
      </c>
      <c r="BT187" s="14" t="str">
        <f>HYPERLINK("https%3A%2F%2Fwww.webofscience.com%2Fwos%2Fwoscc%2Ffull-record%2FWOS:000319873700007","View Full Record in Web of Science")</f>
        <v>View Full Record in Web of Science</v>
      </c>
    </row>
    <row r="188" ht="12.75" customHeight="1">
      <c r="A188" s="14" t="s">
        <v>97</v>
      </c>
      <c r="B188" s="14" t="s">
        <v>4028</v>
      </c>
      <c r="C188" s="14" t="s">
        <v>99</v>
      </c>
      <c r="D188" s="14" t="s">
        <v>99</v>
      </c>
      <c r="E188" s="14" t="s">
        <v>99</v>
      </c>
      <c r="F188" s="14" t="s">
        <v>4029</v>
      </c>
      <c r="G188" s="14" t="s">
        <v>99</v>
      </c>
      <c r="H188" s="14" t="s">
        <v>99</v>
      </c>
      <c r="I188" s="14" t="s">
        <v>4030</v>
      </c>
      <c r="J188" s="14" t="s">
        <v>4031</v>
      </c>
      <c r="K188" s="14" t="s">
        <v>99</v>
      </c>
      <c r="L188" s="14" t="s">
        <v>99</v>
      </c>
      <c r="M188" s="14" t="s">
        <v>103</v>
      </c>
      <c r="N188" s="14" t="s">
        <v>104</v>
      </c>
      <c r="O188" s="14" t="s">
        <v>99</v>
      </c>
      <c r="P188" s="14" t="s">
        <v>99</v>
      </c>
      <c r="Q188" s="14" t="s">
        <v>99</v>
      </c>
      <c r="R188" s="14" t="s">
        <v>99</v>
      </c>
      <c r="S188" s="14" t="s">
        <v>99</v>
      </c>
      <c r="T188" s="14" t="s">
        <v>99</v>
      </c>
      <c r="U188" s="14" t="s">
        <v>4032</v>
      </c>
      <c r="V188" s="14" t="s">
        <v>4033</v>
      </c>
      <c r="W188" s="14" t="s">
        <v>4034</v>
      </c>
      <c r="X188" s="14" t="s">
        <v>4035</v>
      </c>
      <c r="Y188" s="14" t="s">
        <v>4036</v>
      </c>
      <c r="Z188" s="14" t="s">
        <v>4037</v>
      </c>
      <c r="AA188" s="14" t="s">
        <v>4038</v>
      </c>
      <c r="AB188" s="14" t="s">
        <v>4039</v>
      </c>
      <c r="AC188" s="14" t="s">
        <v>4040</v>
      </c>
      <c r="AD188" s="14" t="s">
        <v>4041</v>
      </c>
      <c r="AE188" s="14" t="s">
        <v>4042</v>
      </c>
      <c r="AF188" s="14" t="s">
        <v>99</v>
      </c>
      <c r="AG188" s="14">
        <v>67.0</v>
      </c>
      <c r="AH188" s="14">
        <v>16.0</v>
      </c>
      <c r="AI188" s="14">
        <v>17.0</v>
      </c>
      <c r="AJ188" s="14">
        <v>2.0</v>
      </c>
      <c r="AK188" s="14">
        <v>107.0</v>
      </c>
      <c r="AL188" s="14" t="s">
        <v>341</v>
      </c>
      <c r="AM188" s="14" t="s">
        <v>342</v>
      </c>
      <c r="AN188" s="14" t="s">
        <v>343</v>
      </c>
      <c r="AO188" s="14" t="s">
        <v>4043</v>
      </c>
      <c r="AP188" s="14" t="s">
        <v>4044</v>
      </c>
      <c r="AQ188" s="14" t="s">
        <v>99</v>
      </c>
      <c r="AR188" s="14" t="s">
        <v>4031</v>
      </c>
      <c r="AS188" s="14" t="s">
        <v>4045</v>
      </c>
      <c r="AT188" s="14" t="s">
        <v>616</v>
      </c>
      <c r="AU188" s="14">
        <v>2013.0</v>
      </c>
      <c r="AV188" s="14">
        <v>122.0</v>
      </c>
      <c r="AW188" s="14">
        <v>6.0</v>
      </c>
      <c r="AX188" s="14" t="s">
        <v>99</v>
      </c>
      <c r="AY188" s="14" t="s">
        <v>99</v>
      </c>
      <c r="AZ188" s="14" t="s">
        <v>99</v>
      </c>
      <c r="BA188" s="14" t="s">
        <v>99</v>
      </c>
      <c r="BB188" s="14">
        <v>835.0</v>
      </c>
      <c r="BC188" s="14">
        <v>844.0</v>
      </c>
      <c r="BD188" s="14" t="s">
        <v>99</v>
      </c>
      <c r="BE188" s="14" t="s">
        <v>4046</v>
      </c>
      <c r="BF188" s="15" t="str">
        <f>HYPERLINK("http://dx.doi.org/10.1111/j.1600-0706.2012.19858.x","http://dx.doi.org/10.1111/j.1600-0706.2012.19858.x")</f>
        <v>http://dx.doi.org/10.1111/j.1600-0706.2012.19858.x</v>
      </c>
      <c r="BG188" s="14" t="s">
        <v>99</v>
      </c>
      <c r="BH188" s="14" t="s">
        <v>99</v>
      </c>
      <c r="BI188" s="14">
        <v>10.0</v>
      </c>
      <c r="BJ188" s="14" t="s">
        <v>259</v>
      </c>
      <c r="BK188" s="14" t="s">
        <v>122</v>
      </c>
      <c r="BL188" s="14" t="s">
        <v>260</v>
      </c>
      <c r="BM188" s="14" t="s">
        <v>4047</v>
      </c>
      <c r="BN188" s="14" t="s">
        <v>99</v>
      </c>
      <c r="BO188" s="14" t="s">
        <v>99</v>
      </c>
      <c r="BP188" s="14" t="s">
        <v>99</v>
      </c>
      <c r="BQ188" s="14" t="s">
        <v>99</v>
      </c>
      <c r="BR188" s="14" t="s">
        <v>124</v>
      </c>
      <c r="BS188" s="14" t="s">
        <v>4048</v>
      </c>
      <c r="BT188" s="14" t="str">
        <f>HYPERLINK("https%3A%2F%2Fwww.webofscience.com%2Fwos%2Fwoscc%2Ffull-record%2FWOS:000319408300004","View Full Record in Web of Science")</f>
        <v>View Full Record in Web of Science</v>
      </c>
    </row>
    <row r="189" ht="12.75" customHeight="1">
      <c r="A189" s="14" t="s">
        <v>97</v>
      </c>
      <c r="B189" s="14" t="s">
        <v>4049</v>
      </c>
      <c r="C189" s="14" t="s">
        <v>99</v>
      </c>
      <c r="D189" s="14" t="s">
        <v>99</v>
      </c>
      <c r="E189" s="14" t="s">
        <v>99</v>
      </c>
      <c r="F189" s="14" t="s">
        <v>4050</v>
      </c>
      <c r="G189" s="14" t="s">
        <v>99</v>
      </c>
      <c r="H189" s="14" t="s">
        <v>99</v>
      </c>
      <c r="I189" s="14" t="s">
        <v>4051</v>
      </c>
      <c r="J189" s="14" t="s">
        <v>3842</v>
      </c>
      <c r="K189" s="14" t="s">
        <v>99</v>
      </c>
      <c r="L189" s="14" t="s">
        <v>99</v>
      </c>
      <c r="M189" s="14" t="s">
        <v>103</v>
      </c>
      <c r="N189" s="14" t="s">
        <v>104</v>
      </c>
      <c r="O189" s="14" t="s">
        <v>99</v>
      </c>
      <c r="P189" s="14" t="s">
        <v>99</v>
      </c>
      <c r="Q189" s="14" t="s">
        <v>99</v>
      </c>
      <c r="R189" s="14" t="s">
        <v>99</v>
      </c>
      <c r="S189" s="14" t="s">
        <v>99</v>
      </c>
      <c r="T189" s="14" t="s">
        <v>4052</v>
      </c>
      <c r="U189" s="14" t="s">
        <v>4053</v>
      </c>
      <c r="V189" s="14" t="s">
        <v>4054</v>
      </c>
      <c r="W189" s="14" t="s">
        <v>4055</v>
      </c>
      <c r="X189" s="14" t="s">
        <v>4056</v>
      </c>
      <c r="Y189" s="14" t="s">
        <v>4057</v>
      </c>
      <c r="Z189" s="14" t="s">
        <v>4058</v>
      </c>
      <c r="AA189" s="14" t="s">
        <v>4059</v>
      </c>
      <c r="AB189" s="14" t="s">
        <v>4060</v>
      </c>
      <c r="AC189" s="14" t="s">
        <v>4061</v>
      </c>
      <c r="AD189" s="14" t="s">
        <v>4062</v>
      </c>
      <c r="AE189" s="14" t="s">
        <v>4063</v>
      </c>
      <c r="AF189" s="14" t="s">
        <v>99</v>
      </c>
      <c r="AG189" s="14">
        <v>63.0</v>
      </c>
      <c r="AH189" s="14">
        <v>32.0</v>
      </c>
      <c r="AI189" s="14">
        <v>40.0</v>
      </c>
      <c r="AJ189" s="14">
        <v>1.0</v>
      </c>
      <c r="AK189" s="14">
        <v>127.0</v>
      </c>
      <c r="AL189" s="14" t="s">
        <v>341</v>
      </c>
      <c r="AM189" s="14" t="s">
        <v>342</v>
      </c>
      <c r="AN189" s="14" t="s">
        <v>343</v>
      </c>
      <c r="AO189" s="14" t="s">
        <v>3853</v>
      </c>
      <c r="AP189" s="14" t="s">
        <v>3854</v>
      </c>
      <c r="AQ189" s="14" t="s">
        <v>99</v>
      </c>
      <c r="AR189" s="14" t="s">
        <v>3855</v>
      </c>
      <c r="AS189" s="14" t="s">
        <v>3856</v>
      </c>
      <c r="AT189" s="14" t="s">
        <v>616</v>
      </c>
      <c r="AU189" s="14">
        <v>2013.0</v>
      </c>
      <c r="AV189" s="14">
        <v>16.0</v>
      </c>
      <c r="AW189" s="14">
        <v>3.0</v>
      </c>
      <c r="AX189" s="14" t="s">
        <v>99</v>
      </c>
      <c r="AY189" s="14" t="s">
        <v>99</v>
      </c>
      <c r="AZ189" s="14" t="s">
        <v>99</v>
      </c>
      <c r="BA189" s="14" t="s">
        <v>99</v>
      </c>
      <c r="BB189" s="14">
        <v>265.0</v>
      </c>
      <c r="BC189" s="14">
        <v>274.0</v>
      </c>
      <c r="BD189" s="14" t="s">
        <v>99</v>
      </c>
      <c r="BE189" s="14" t="s">
        <v>4064</v>
      </c>
      <c r="BF189" s="15" t="str">
        <f>HYPERLINK("http://dx.doi.org/10.1111/j.1469-1795.2012.00592.x","http://dx.doi.org/10.1111/j.1469-1795.2012.00592.x")</f>
        <v>http://dx.doi.org/10.1111/j.1469-1795.2012.00592.x</v>
      </c>
      <c r="BG189" s="14" t="s">
        <v>99</v>
      </c>
      <c r="BH189" s="14" t="s">
        <v>99</v>
      </c>
      <c r="BI189" s="14">
        <v>10.0</v>
      </c>
      <c r="BJ189" s="14" t="s">
        <v>550</v>
      </c>
      <c r="BK189" s="14" t="s">
        <v>122</v>
      </c>
      <c r="BL189" s="14" t="s">
        <v>352</v>
      </c>
      <c r="BM189" s="14" t="s">
        <v>4065</v>
      </c>
      <c r="BN189" s="14" t="s">
        <v>99</v>
      </c>
      <c r="BO189" s="14" t="s">
        <v>99</v>
      </c>
      <c r="BP189" s="14" t="s">
        <v>99</v>
      </c>
      <c r="BQ189" s="14" t="s">
        <v>99</v>
      </c>
      <c r="BR189" s="14" t="s">
        <v>124</v>
      </c>
      <c r="BS189" s="14" t="s">
        <v>4066</v>
      </c>
      <c r="BT189" s="14" t="str">
        <f>HYPERLINK("https%3A%2F%2Fwww.webofscience.com%2Fwos%2Fwoscc%2Ffull-record%2FWOS:000319703600005","View Full Record in Web of Science")</f>
        <v>View Full Record in Web of Science</v>
      </c>
    </row>
    <row r="190" ht="12.75" customHeight="1">
      <c r="A190" s="14" t="s">
        <v>97</v>
      </c>
      <c r="B190" s="14" t="s">
        <v>4067</v>
      </c>
      <c r="C190" s="14" t="s">
        <v>99</v>
      </c>
      <c r="D190" s="14" t="s">
        <v>99</v>
      </c>
      <c r="E190" s="14" t="s">
        <v>99</v>
      </c>
      <c r="F190" s="14" t="s">
        <v>4068</v>
      </c>
      <c r="G190" s="14" t="s">
        <v>99</v>
      </c>
      <c r="H190" s="14" t="s">
        <v>99</v>
      </c>
      <c r="I190" s="14" t="s">
        <v>4069</v>
      </c>
      <c r="J190" s="14" t="s">
        <v>4070</v>
      </c>
      <c r="K190" s="14" t="s">
        <v>99</v>
      </c>
      <c r="L190" s="14" t="s">
        <v>99</v>
      </c>
      <c r="M190" s="14" t="s">
        <v>103</v>
      </c>
      <c r="N190" s="14" t="s">
        <v>104</v>
      </c>
      <c r="O190" s="14" t="s">
        <v>99</v>
      </c>
      <c r="P190" s="14" t="s">
        <v>99</v>
      </c>
      <c r="Q190" s="14" t="s">
        <v>99</v>
      </c>
      <c r="R190" s="14" t="s">
        <v>99</v>
      </c>
      <c r="S190" s="14" t="s">
        <v>99</v>
      </c>
      <c r="T190" s="14" t="s">
        <v>4071</v>
      </c>
      <c r="U190" s="14" t="s">
        <v>4072</v>
      </c>
      <c r="V190" s="14" t="s">
        <v>4073</v>
      </c>
      <c r="W190" s="14" t="s">
        <v>4074</v>
      </c>
      <c r="X190" s="14" t="s">
        <v>4075</v>
      </c>
      <c r="Y190" s="14" t="s">
        <v>4076</v>
      </c>
      <c r="Z190" s="14" t="s">
        <v>3361</v>
      </c>
      <c r="AA190" s="14" t="s">
        <v>99</v>
      </c>
      <c r="AB190" s="14" t="s">
        <v>4077</v>
      </c>
      <c r="AC190" s="14" t="s">
        <v>3364</v>
      </c>
      <c r="AD190" s="14" t="s">
        <v>3365</v>
      </c>
      <c r="AE190" s="14" t="s">
        <v>4078</v>
      </c>
      <c r="AF190" s="14" t="s">
        <v>99</v>
      </c>
      <c r="AG190" s="14">
        <v>68.0</v>
      </c>
      <c r="AH190" s="14">
        <v>131.0</v>
      </c>
      <c r="AI190" s="14">
        <v>155.0</v>
      </c>
      <c r="AJ190" s="14">
        <v>0.0</v>
      </c>
      <c r="AK190" s="14">
        <v>154.0</v>
      </c>
      <c r="AL190" s="14" t="s">
        <v>1544</v>
      </c>
      <c r="AM190" s="14" t="s">
        <v>274</v>
      </c>
      <c r="AN190" s="14" t="s">
        <v>1545</v>
      </c>
      <c r="AO190" s="14" t="s">
        <v>4079</v>
      </c>
      <c r="AP190" s="14" t="s">
        <v>4080</v>
      </c>
      <c r="AQ190" s="14" t="s">
        <v>99</v>
      </c>
      <c r="AR190" s="14" t="s">
        <v>4081</v>
      </c>
      <c r="AS190" s="14" t="s">
        <v>4082</v>
      </c>
      <c r="AT190" s="14" t="s">
        <v>4083</v>
      </c>
      <c r="AU190" s="14">
        <v>2013.0</v>
      </c>
      <c r="AV190" s="14">
        <v>280.0</v>
      </c>
      <c r="AW190" s="14">
        <v>1759.0</v>
      </c>
      <c r="AX190" s="14" t="s">
        <v>99</v>
      </c>
      <c r="AY190" s="14" t="s">
        <v>99</v>
      </c>
      <c r="AZ190" s="14" t="s">
        <v>99</v>
      </c>
      <c r="BA190" s="14" t="s">
        <v>99</v>
      </c>
      <c r="BB190" s="14" t="s">
        <v>99</v>
      </c>
      <c r="BC190" s="14" t="s">
        <v>99</v>
      </c>
      <c r="BD190" s="14">
        <v>2.0130246E7</v>
      </c>
      <c r="BE190" s="14" t="s">
        <v>4084</v>
      </c>
      <c r="BF190" s="15" t="str">
        <f>HYPERLINK("http://dx.doi.org/10.1098/rspb.2013.0246","http://dx.doi.org/10.1098/rspb.2013.0246")</f>
        <v>http://dx.doi.org/10.1098/rspb.2013.0246</v>
      </c>
      <c r="BG190" s="14" t="s">
        <v>99</v>
      </c>
      <c r="BH190" s="14" t="s">
        <v>99</v>
      </c>
      <c r="BI190" s="14">
        <v>8.0</v>
      </c>
      <c r="BJ190" s="14" t="s">
        <v>1552</v>
      </c>
      <c r="BK190" s="14" t="s">
        <v>122</v>
      </c>
      <c r="BL190" s="14" t="s">
        <v>1553</v>
      </c>
      <c r="BM190" s="14" t="s">
        <v>4085</v>
      </c>
      <c r="BN190" s="14">
        <v>2.3516245E7</v>
      </c>
      <c r="BO190" s="14" t="s">
        <v>373</v>
      </c>
      <c r="BP190" s="14" t="s">
        <v>99</v>
      </c>
      <c r="BQ190" s="14" t="s">
        <v>99</v>
      </c>
      <c r="BR190" s="14" t="s">
        <v>124</v>
      </c>
      <c r="BS190" s="14" t="s">
        <v>4086</v>
      </c>
      <c r="BT190" s="14" t="str">
        <f>HYPERLINK("https%3A%2F%2Fwww.webofscience.com%2Fwos%2Fwoscc%2Ffull-record%2FWOS:000317482100017","View Full Record in Web of Science")</f>
        <v>View Full Record in Web of Science</v>
      </c>
    </row>
    <row r="191" ht="12.75" customHeight="1">
      <c r="A191" s="14" t="s">
        <v>97</v>
      </c>
      <c r="B191" s="14" t="s">
        <v>4087</v>
      </c>
      <c r="C191" s="14" t="s">
        <v>99</v>
      </c>
      <c r="D191" s="14" t="s">
        <v>99</v>
      </c>
      <c r="E191" s="14" t="s">
        <v>99</v>
      </c>
      <c r="F191" s="14" t="s">
        <v>4088</v>
      </c>
      <c r="G191" s="14" t="s">
        <v>99</v>
      </c>
      <c r="H191" s="14" t="s">
        <v>99</v>
      </c>
      <c r="I191" s="14" t="s">
        <v>4089</v>
      </c>
      <c r="J191" s="14" t="s">
        <v>2500</v>
      </c>
      <c r="K191" s="14" t="s">
        <v>99</v>
      </c>
      <c r="L191" s="14" t="s">
        <v>99</v>
      </c>
      <c r="M191" s="14" t="s">
        <v>103</v>
      </c>
      <c r="N191" s="14" t="s">
        <v>104</v>
      </c>
      <c r="O191" s="14" t="s">
        <v>99</v>
      </c>
      <c r="P191" s="14" t="s">
        <v>99</v>
      </c>
      <c r="Q191" s="14" t="s">
        <v>99</v>
      </c>
      <c r="R191" s="14" t="s">
        <v>99</v>
      </c>
      <c r="S191" s="14" t="s">
        <v>99</v>
      </c>
      <c r="T191" s="14" t="s">
        <v>99</v>
      </c>
      <c r="U191" s="14" t="s">
        <v>4090</v>
      </c>
      <c r="V191" s="14" t="s">
        <v>4091</v>
      </c>
      <c r="W191" s="14" t="s">
        <v>4092</v>
      </c>
      <c r="X191" s="14" t="s">
        <v>4093</v>
      </c>
      <c r="Y191" s="14" t="s">
        <v>4094</v>
      </c>
      <c r="Z191" s="14" t="s">
        <v>4095</v>
      </c>
      <c r="AA191" s="14" t="s">
        <v>4096</v>
      </c>
      <c r="AB191" s="14" t="s">
        <v>99</v>
      </c>
      <c r="AC191" s="14" t="s">
        <v>4097</v>
      </c>
      <c r="AD191" s="14" t="s">
        <v>4097</v>
      </c>
      <c r="AE191" s="14" t="s">
        <v>4098</v>
      </c>
      <c r="AF191" s="14" t="s">
        <v>99</v>
      </c>
      <c r="AG191" s="14">
        <v>30.0</v>
      </c>
      <c r="AH191" s="14">
        <v>127.0</v>
      </c>
      <c r="AI191" s="14">
        <v>151.0</v>
      </c>
      <c r="AJ191" s="14">
        <v>1.0</v>
      </c>
      <c r="AK191" s="14">
        <v>92.0</v>
      </c>
      <c r="AL191" s="14" t="s">
        <v>2512</v>
      </c>
      <c r="AM191" s="14" t="s">
        <v>2513</v>
      </c>
      <c r="AN191" s="14" t="s">
        <v>2514</v>
      </c>
      <c r="AO191" s="14" t="s">
        <v>2515</v>
      </c>
      <c r="AP191" s="14" t="s">
        <v>99</v>
      </c>
      <c r="AQ191" s="14" t="s">
        <v>99</v>
      </c>
      <c r="AR191" s="14" t="s">
        <v>2500</v>
      </c>
      <c r="AS191" s="14" t="s">
        <v>2516</v>
      </c>
      <c r="AT191" s="14" t="s">
        <v>4083</v>
      </c>
      <c r="AU191" s="14">
        <v>2013.0</v>
      </c>
      <c r="AV191" s="14">
        <v>8.0</v>
      </c>
      <c r="AW191" s="14">
        <v>5.0</v>
      </c>
      <c r="AX191" s="14" t="s">
        <v>99</v>
      </c>
      <c r="AY191" s="14" t="s">
        <v>99</v>
      </c>
      <c r="AZ191" s="14" t="s">
        <v>99</v>
      </c>
      <c r="BA191" s="14" t="s">
        <v>99</v>
      </c>
      <c r="BB191" s="14" t="s">
        <v>99</v>
      </c>
      <c r="BC191" s="14" t="s">
        <v>99</v>
      </c>
      <c r="BD191" s="14" t="s">
        <v>4099</v>
      </c>
      <c r="BE191" s="14" t="s">
        <v>4100</v>
      </c>
      <c r="BF191" s="15" t="str">
        <f>HYPERLINK("http://dx.doi.org/10.1371/journal.pone.0063883","http://dx.doi.org/10.1371/journal.pone.0063883")</f>
        <v>http://dx.doi.org/10.1371/journal.pone.0063883</v>
      </c>
      <c r="BG191" s="14" t="s">
        <v>99</v>
      </c>
      <c r="BH191" s="14" t="s">
        <v>99</v>
      </c>
      <c r="BI191" s="14">
        <v>12.0</v>
      </c>
      <c r="BJ191" s="14" t="s">
        <v>799</v>
      </c>
      <c r="BK191" s="14" t="s">
        <v>122</v>
      </c>
      <c r="BL191" s="14" t="s">
        <v>801</v>
      </c>
      <c r="BM191" s="14" t="s">
        <v>4101</v>
      </c>
      <c r="BN191" s="14">
        <v>2.3717503E7</v>
      </c>
      <c r="BO191" s="14" t="s">
        <v>1251</v>
      </c>
      <c r="BP191" s="14" t="s">
        <v>99</v>
      </c>
      <c r="BQ191" s="14" t="s">
        <v>99</v>
      </c>
      <c r="BR191" s="14" t="s">
        <v>124</v>
      </c>
      <c r="BS191" s="14" t="s">
        <v>4102</v>
      </c>
      <c r="BT191" s="14" t="str">
        <f>HYPERLINK("https%3A%2F%2Fwww.webofscience.com%2Fwos%2Fwoscc%2Ffull-record%2FWOS:000320362700075","View Full Record in Web of Science")</f>
        <v>View Full Record in Web of Science</v>
      </c>
    </row>
    <row r="192" ht="12.75" customHeight="1">
      <c r="A192" s="14" t="s">
        <v>97</v>
      </c>
      <c r="B192" s="14" t="s">
        <v>4103</v>
      </c>
      <c r="C192" s="14" t="s">
        <v>99</v>
      </c>
      <c r="D192" s="14" t="s">
        <v>99</v>
      </c>
      <c r="E192" s="14" t="s">
        <v>99</v>
      </c>
      <c r="F192" s="14" t="s">
        <v>4104</v>
      </c>
      <c r="G192" s="14" t="s">
        <v>99</v>
      </c>
      <c r="H192" s="14" t="s">
        <v>99</v>
      </c>
      <c r="I192" s="14" t="s">
        <v>4105</v>
      </c>
      <c r="J192" s="14" t="s">
        <v>776</v>
      </c>
      <c r="K192" s="14" t="s">
        <v>99</v>
      </c>
      <c r="L192" s="14" t="s">
        <v>99</v>
      </c>
      <c r="M192" s="14" t="s">
        <v>103</v>
      </c>
      <c r="N192" s="14" t="s">
        <v>104</v>
      </c>
      <c r="O192" s="14" t="s">
        <v>99</v>
      </c>
      <c r="P192" s="14" t="s">
        <v>99</v>
      </c>
      <c r="Q192" s="14" t="s">
        <v>99</v>
      </c>
      <c r="R192" s="14" t="s">
        <v>99</v>
      </c>
      <c r="S192" s="14" t="s">
        <v>99</v>
      </c>
      <c r="T192" s="14" t="s">
        <v>4106</v>
      </c>
      <c r="U192" s="14" t="s">
        <v>4107</v>
      </c>
      <c r="V192" s="14" t="s">
        <v>4108</v>
      </c>
      <c r="W192" s="14" t="s">
        <v>4109</v>
      </c>
      <c r="X192" s="14" t="s">
        <v>4110</v>
      </c>
      <c r="Y192" s="14" t="s">
        <v>4111</v>
      </c>
      <c r="Z192" s="14" t="s">
        <v>4112</v>
      </c>
      <c r="AA192" s="14" t="s">
        <v>4113</v>
      </c>
      <c r="AB192" s="14" t="s">
        <v>4114</v>
      </c>
      <c r="AC192" s="14" t="s">
        <v>4115</v>
      </c>
      <c r="AD192" s="14" t="s">
        <v>4115</v>
      </c>
      <c r="AE192" s="14" t="s">
        <v>4116</v>
      </c>
      <c r="AF192" s="14" t="s">
        <v>99</v>
      </c>
      <c r="AG192" s="14">
        <v>31.0</v>
      </c>
      <c r="AH192" s="14">
        <v>104.0</v>
      </c>
      <c r="AI192" s="14">
        <v>120.0</v>
      </c>
      <c r="AJ192" s="14">
        <v>4.0</v>
      </c>
      <c r="AK192" s="14">
        <v>216.0</v>
      </c>
      <c r="AL192" s="14" t="s">
        <v>788</v>
      </c>
      <c r="AM192" s="14" t="s">
        <v>789</v>
      </c>
      <c r="AN192" s="14" t="s">
        <v>790</v>
      </c>
      <c r="AO192" s="14" t="s">
        <v>791</v>
      </c>
      <c r="AP192" s="14" t="s">
        <v>99</v>
      </c>
      <c r="AQ192" s="14" t="s">
        <v>99</v>
      </c>
      <c r="AR192" s="14" t="s">
        <v>793</v>
      </c>
      <c r="AS192" s="14" t="s">
        <v>794</v>
      </c>
      <c r="AT192" s="14" t="s">
        <v>4117</v>
      </c>
      <c r="AU192" s="14">
        <v>2013.0</v>
      </c>
      <c r="AV192" s="14">
        <v>110.0</v>
      </c>
      <c r="AW192" s="14">
        <v>21.0</v>
      </c>
      <c r="AX192" s="14" t="s">
        <v>99</v>
      </c>
      <c r="AY192" s="14" t="s">
        <v>99</v>
      </c>
      <c r="AZ192" s="14" t="s">
        <v>99</v>
      </c>
      <c r="BA192" s="14" t="s">
        <v>99</v>
      </c>
      <c r="BB192" s="14">
        <v>8387.0</v>
      </c>
      <c r="BC192" s="14">
        <v>8392.0</v>
      </c>
      <c r="BD192" s="14" t="s">
        <v>99</v>
      </c>
      <c r="BE192" s="14" t="s">
        <v>4118</v>
      </c>
      <c r="BF192" s="15" t="str">
        <f>HYPERLINK("http://dx.doi.org/10.1073/pnas.1210590110","http://dx.doi.org/10.1073/pnas.1210590110")</f>
        <v>http://dx.doi.org/10.1073/pnas.1210590110</v>
      </c>
      <c r="BG192" s="14" t="s">
        <v>99</v>
      </c>
      <c r="BH192" s="14" t="s">
        <v>99</v>
      </c>
      <c r="BI192" s="14">
        <v>6.0</v>
      </c>
      <c r="BJ192" s="14" t="s">
        <v>799</v>
      </c>
      <c r="BK192" s="14" t="s">
        <v>122</v>
      </c>
      <c r="BL192" s="14" t="s">
        <v>801</v>
      </c>
      <c r="BM192" s="14" t="s">
        <v>4119</v>
      </c>
      <c r="BN192" s="14">
        <v>2.3671073E7</v>
      </c>
      <c r="BO192" s="14" t="s">
        <v>373</v>
      </c>
      <c r="BP192" s="14" t="s">
        <v>99</v>
      </c>
      <c r="BQ192" s="14" t="s">
        <v>99</v>
      </c>
      <c r="BR192" s="14" t="s">
        <v>124</v>
      </c>
      <c r="BS192" s="14" t="s">
        <v>4120</v>
      </c>
      <c r="BT192" s="14" t="str">
        <f>HYPERLINK("https%3A%2F%2Fwww.webofscience.com%2Fwos%2Fwoscc%2Ffull-record%2FWOS:000320328700029","View Full Record in Web of Science")</f>
        <v>View Full Record in Web of Science</v>
      </c>
    </row>
    <row r="193" ht="12.75" customHeight="1">
      <c r="A193" s="14" t="s">
        <v>97</v>
      </c>
      <c r="B193" s="14" t="s">
        <v>2180</v>
      </c>
      <c r="C193" s="14" t="s">
        <v>99</v>
      </c>
      <c r="D193" s="14" t="s">
        <v>99</v>
      </c>
      <c r="E193" s="14" t="s">
        <v>99</v>
      </c>
      <c r="F193" s="14" t="s">
        <v>2182</v>
      </c>
      <c r="G193" s="14" t="s">
        <v>99</v>
      </c>
      <c r="H193" s="14" t="s">
        <v>99</v>
      </c>
      <c r="I193" s="14" t="s">
        <v>4121</v>
      </c>
      <c r="J193" s="14" t="s">
        <v>4122</v>
      </c>
      <c r="K193" s="14" t="s">
        <v>99</v>
      </c>
      <c r="L193" s="14" t="s">
        <v>99</v>
      </c>
      <c r="M193" s="14" t="s">
        <v>103</v>
      </c>
      <c r="N193" s="14" t="s">
        <v>4123</v>
      </c>
      <c r="O193" s="14" t="s">
        <v>99</v>
      </c>
      <c r="P193" s="14" t="s">
        <v>99</v>
      </c>
      <c r="Q193" s="14" t="s">
        <v>99</v>
      </c>
      <c r="R193" s="14" t="s">
        <v>99</v>
      </c>
      <c r="S193" s="14" t="s">
        <v>99</v>
      </c>
      <c r="T193" s="14" t="s">
        <v>99</v>
      </c>
      <c r="U193" s="14" t="s">
        <v>2185</v>
      </c>
      <c r="V193" s="14" t="s">
        <v>4124</v>
      </c>
      <c r="W193" s="14" t="s">
        <v>4125</v>
      </c>
      <c r="X193" s="14" t="s">
        <v>2187</v>
      </c>
      <c r="Y193" s="14" t="s">
        <v>4126</v>
      </c>
      <c r="Z193" s="14" t="s">
        <v>2189</v>
      </c>
      <c r="AA193" s="14" t="s">
        <v>2190</v>
      </c>
      <c r="AB193" s="14" t="s">
        <v>4127</v>
      </c>
      <c r="AC193" s="14" t="s">
        <v>99</v>
      </c>
      <c r="AD193" s="14" t="s">
        <v>99</v>
      </c>
      <c r="AE193" s="14" t="s">
        <v>99</v>
      </c>
      <c r="AF193" s="14" t="s">
        <v>99</v>
      </c>
      <c r="AG193" s="14">
        <v>155.0</v>
      </c>
      <c r="AH193" s="14">
        <v>56.0</v>
      </c>
      <c r="AI193" s="14">
        <v>64.0</v>
      </c>
      <c r="AJ193" s="14">
        <v>0.0</v>
      </c>
      <c r="AK193" s="14">
        <v>57.0</v>
      </c>
      <c r="AL193" s="14" t="s">
        <v>4128</v>
      </c>
      <c r="AM193" s="14" t="s">
        <v>2513</v>
      </c>
      <c r="AN193" s="14" t="s">
        <v>4129</v>
      </c>
      <c r="AO193" s="14" t="s">
        <v>4130</v>
      </c>
      <c r="AP193" s="14" t="s">
        <v>4131</v>
      </c>
      <c r="AQ193" s="14" t="s">
        <v>99</v>
      </c>
      <c r="AR193" s="14" t="s">
        <v>4132</v>
      </c>
      <c r="AS193" s="14" t="s">
        <v>4133</v>
      </c>
      <c r="AT193" s="14" t="s">
        <v>4134</v>
      </c>
      <c r="AU193" s="14">
        <v>2013.0</v>
      </c>
      <c r="AV193" s="14">
        <v>2.0</v>
      </c>
      <c r="AW193" s="14">
        <v>3.0</v>
      </c>
      <c r="AX193" s="14" t="s">
        <v>99</v>
      </c>
      <c r="AY193" s="14" t="s">
        <v>99</v>
      </c>
      <c r="AZ193" s="14" t="s">
        <v>99</v>
      </c>
      <c r="BA193" s="14" t="s">
        <v>99</v>
      </c>
      <c r="BB193" s="14">
        <v>282.0</v>
      </c>
      <c r="BC193" s="14">
        <v>303.0</v>
      </c>
      <c r="BD193" s="14" t="s">
        <v>99</v>
      </c>
      <c r="BE193" s="14" t="s">
        <v>2195</v>
      </c>
      <c r="BF193" s="15" t="str">
        <f>HYPERLINK("http://dx.doi.org/10.1002/wene.41","http://dx.doi.org/10.1002/wene.41")</f>
        <v>http://dx.doi.org/10.1002/wene.41</v>
      </c>
      <c r="BG193" s="14" t="s">
        <v>99</v>
      </c>
      <c r="BH193" s="14" t="s">
        <v>99</v>
      </c>
      <c r="BI193" s="14">
        <v>22.0</v>
      </c>
      <c r="BJ193" s="14" t="s">
        <v>4135</v>
      </c>
      <c r="BK193" s="14" t="s">
        <v>800</v>
      </c>
      <c r="BL193" s="14" t="s">
        <v>4135</v>
      </c>
      <c r="BM193" s="14" t="s">
        <v>4136</v>
      </c>
      <c r="BN193" s="14" t="s">
        <v>99</v>
      </c>
      <c r="BO193" s="14" t="s">
        <v>99</v>
      </c>
      <c r="BP193" s="14" t="s">
        <v>99</v>
      </c>
      <c r="BQ193" s="14" t="s">
        <v>99</v>
      </c>
      <c r="BR193" s="14" t="s">
        <v>124</v>
      </c>
      <c r="BS193" s="14" t="s">
        <v>4137</v>
      </c>
      <c r="BT193" s="14" t="str">
        <f>HYPERLINK("https%3A%2F%2Fwww.webofscience.com%2Fwos%2Fwoscc%2Ffull-record%2FWOS:000343208300003","View Full Record in Web of Science")</f>
        <v>View Full Record in Web of Science</v>
      </c>
    </row>
    <row r="194" ht="12.75" customHeight="1">
      <c r="A194" s="14" t="s">
        <v>97</v>
      </c>
      <c r="B194" s="14" t="s">
        <v>4138</v>
      </c>
      <c r="C194" s="14" t="s">
        <v>99</v>
      </c>
      <c r="D194" s="14" t="s">
        <v>99</v>
      </c>
      <c r="E194" s="14" t="s">
        <v>99</v>
      </c>
      <c r="F194" s="14" t="s">
        <v>4139</v>
      </c>
      <c r="G194" s="14" t="s">
        <v>99</v>
      </c>
      <c r="H194" s="14" t="s">
        <v>99</v>
      </c>
      <c r="I194" s="14" t="s">
        <v>4140</v>
      </c>
      <c r="J194" s="14" t="s">
        <v>4031</v>
      </c>
      <c r="K194" s="14" t="s">
        <v>99</v>
      </c>
      <c r="L194" s="14" t="s">
        <v>99</v>
      </c>
      <c r="M194" s="14" t="s">
        <v>103</v>
      </c>
      <c r="N194" s="14" t="s">
        <v>104</v>
      </c>
      <c r="O194" s="14" t="s">
        <v>99</v>
      </c>
      <c r="P194" s="14" t="s">
        <v>99</v>
      </c>
      <c r="Q194" s="14" t="s">
        <v>99</v>
      </c>
      <c r="R194" s="14" t="s">
        <v>99</v>
      </c>
      <c r="S194" s="14" t="s">
        <v>99</v>
      </c>
      <c r="T194" s="14" t="s">
        <v>99</v>
      </c>
      <c r="U194" s="14" t="s">
        <v>4141</v>
      </c>
      <c r="V194" s="14" t="s">
        <v>4142</v>
      </c>
      <c r="W194" s="14" t="s">
        <v>4143</v>
      </c>
      <c r="X194" s="14" t="s">
        <v>4144</v>
      </c>
      <c r="Y194" s="14" t="s">
        <v>4145</v>
      </c>
      <c r="Z194" s="14" t="s">
        <v>4146</v>
      </c>
      <c r="AA194" s="14" t="s">
        <v>99</v>
      </c>
      <c r="AB194" s="14" t="s">
        <v>4147</v>
      </c>
      <c r="AC194" s="14" t="s">
        <v>4148</v>
      </c>
      <c r="AD194" s="14" t="s">
        <v>4149</v>
      </c>
      <c r="AE194" s="14" t="s">
        <v>4150</v>
      </c>
      <c r="AF194" s="14" t="s">
        <v>99</v>
      </c>
      <c r="AG194" s="14">
        <v>65.0</v>
      </c>
      <c r="AH194" s="14">
        <v>21.0</v>
      </c>
      <c r="AI194" s="14">
        <v>29.0</v>
      </c>
      <c r="AJ194" s="14">
        <v>1.0</v>
      </c>
      <c r="AK194" s="14">
        <v>87.0</v>
      </c>
      <c r="AL194" s="14" t="s">
        <v>341</v>
      </c>
      <c r="AM194" s="14" t="s">
        <v>342</v>
      </c>
      <c r="AN194" s="14" t="s">
        <v>343</v>
      </c>
      <c r="AO194" s="14" t="s">
        <v>4043</v>
      </c>
      <c r="AP194" s="14" t="s">
        <v>4044</v>
      </c>
      <c r="AQ194" s="14" t="s">
        <v>99</v>
      </c>
      <c r="AR194" s="14" t="s">
        <v>4031</v>
      </c>
      <c r="AS194" s="14" t="s">
        <v>4045</v>
      </c>
      <c r="AT194" s="14" t="s">
        <v>640</v>
      </c>
      <c r="AU194" s="14">
        <v>2013.0</v>
      </c>
      <c r="AV194" s="14">
        <v>122.0</v>
      </c>
      <c r="AW194" s="14">
        <v>5.0</v>
      </c>
      <c r="AX194" s="14" t="s">
        <v>99</v>
      </c>
      <c r="AY194" s="14" t="s">
        <v>99</v>
      </c>
      <c r="AZ194" s="14" t="s">
        <v>99</v>
      </c>
      <c r="BA194" s="14" t="s">
        <v>99</v>
      </c>
      <c r="BB194" s="14">
        <v>790.0</v>
      </c>
      <c r="BC194" s="14">
        <v>800.0</v>
      </c>
      <c r="BD194" s="14" t="s">
        <v>99</v>
      </c>
      <c r="BE194" s="14" t="s">
        <v>4151</v>
      </c>
      <c r="BF194" s="15" t="str">
        <f>HYPERLINK("http://dx.doi.org/10.1111/j.1600-0706.2012.20696.x","http://dx.doi.org/10.1111/j.1600-0706.2012.20696.x")</f>
        <v>http://dx.doi.org/10.1111/j.1600-0706.2012.20696.x</v>
      </c>
      <c r="BG194" s="14" t="s">
        <v>99</v>
      </c>
      <c r="BH194" s="14" t="s">
        <v>99</v>
      </c>
      <c r="BI194" s="14">
        <v>11.0</v>
      </c>
      <c r="BJ194" s="14" t="s">
        <v>259</v>
      </c>
      <c r="BK194" s="14" t="s">
        <v>122</v>
      </c>
      <c r="BL194" s="14" t="s">
        <v>260</v>
      </c>
      <c r="BM194" s="14" t="s">
        <v>4152</v>
      </c>
      <c r="BN194" s="14" t="s">
        <v>99</v>
      </c>
      <c r="BO194" s="14" t="s">
        <v>99</v>
      </c>
      <c r="BP194" s="14" t="s">
        <v>99</v>
      </c>
      <c r="BQ194" s="14" t="s">
        <v>99</v>
      </c>
      <c r="BR194" s="14" t="s">
        <v>124</v>
      </c>
      <c r="BS194" s="14" t="s">
        <v>4153</v>
      </c>
      <c r="BT194" s="14" t="str">
        <f>HYPERLINK("https%3A%2F%2Fwww.webofscience.com%2Fwos%2Fwoscc%2Ffull-record%2FWOS:000317981400015","View Full Record in Web of Science")</f>
        <v>View Full Record in Web of Science</v>
      </c>
    </row>
    <row r="195" ht="12.75" customHeight="1">
      <c r="A195" s="14" t="s">
        <v>97</v>
      </c>
      <c r="B195" s="14" t="s">
        <v>4154</v>
      </c>
      <c r="C195" s="14" t="s">
        <v>99</v>
      </c>
      <c r="D195" s="14" t="s">
        <v>99</v>
      </c>
      <c r="E195" s="14" t="s">
        <v>99</v>
      </c>
      <c r="F195" s="14" t="s">
        <v>4155</v>
      </c>
      <c r="G195" s="14" t="s">
        <v>99</v>
      </c>
      <c r="H195" s="14" t="s">
        <v>99</v>
      </c>
      <c r="I195" s="14" t="s">
        <v>4156</v>
      </c>
      <c r="J195" s="14" t="s">
        <v>3479</v>
      </c>
      <c r="K195" s="14" t="s">
        <v>99</v>
      </c>
      <c r="L195" s="14" t="s">
        <v>99</v>
      </c>
      <c r="M195" s="14" t="s">
        <v>103</v>
      </c>
      <c r="N195" s="14" t="s">
        <v>104</v>
      </c>
      <c r="O195" s="14" t="s">
        <v>99</v>
      </c>
      <c r="P195" s="14" t="s">
        <v>99</v>
      </c>
      <c r="Q195" s="14" t="s">
        <v>99</v>
      </c>
      <c r="R195" s="14" t="s">
        <v>99</v>
      </c>
      <c r="S195" s="14" t="s">
        <v>99</v>
      </c>
      <c r="T195" s="14" t="s">
        <v>4157</v>
      </c>
      <c r="U195" s="14" t="s">
        <v>4158</v>
      </c>
      <c r="V195" s="14" t="s">
        <v>4159</v>
      </c>
      <c r="W195" s="14" t="s">
        <v>4160</v>
      </c>
      <c r="X195" s="14" t="s">
        <v>4161</v>
      </c>
      <c r="Y195" s="14" t="s">
        <v>4162</v>
      </c>
      <c r="Z195" s="14" t="s">
        <v>4163</v>
      </c>
      <c r="AA195" s="14" t="s">
        <v>4164</v>
      </c>
      <c r="AB195" s="14" t="s">
        <v>4165</v>
      </c>
      <c r="AC195" s="14" t="s">
        <v>99</v>
      </c>
      <c r="AD195" s="14" t="s">
        <v>99</v>
      </c>
      <c r="AE195" s="14" t="s">
        <v>99</v>
      </c>
      <c r="AF195" s="14" t="s">
        <v>99</v>
      </c>
      <c r="AG195" s="14">
        <v>67.0</v>
      </c>
      <c r="AH195" s="14">
        <v>222.0</v>
      </c>
      <c r="AI195" s="14">
        <v>263.0</v>
      </c>
      <c r="AJ195" s="14">
        <v>2.0</v>
      </c>
      <c r="AK195" s="14">
        <v>133.0</v>
      </c>
      <c r="AL195" s="14" t="s">
        <v>441</v>
      </c>
      <c r="AM195" s="14" t="s">
        <v>442</v>
      </c>
      <c r="AN195" s="14" t="s">
        <v>443</v>
      </c>
      <c r="AO195" s="14" t="s">
        <v>3490</v>
      </c>
      <c r="AP195" s="14" t="s">
        <v>3491</v>
      </c>
      <c r="AQ195" s="14" t="s">
        <v>99</v>
      </c>
      <c r="AR195" s="14" t="s">
        <v>3492</v>
      </c>
      <c r="AS195" s="14" t="s">
        <v>3493</v>
      </c>
      <c r="AT195" s="14" t="s">
        <v>640</v>
      </c>
      <c r="AU195" s="14">
        <v>2013.0</v>
      </c>
      <c r="AV195" s="14">
        <v>49.0</v>
      </c>
      <c r="AW195" s="14" t="s">
        <v>99</v>
      </c>
      <c r="AX195" s="14" t="s">
        <v>99</v>
      </c>
      <c r="AY195" s="14" t="s">
        <v>99</v>
      </c>
      <c r="AZ195" s="14" t="s">
        <v>99</v>
      </c>
      <c r="BA195" s="14" t="s">
        <v>99</v>
      </c>
      <c r="BB195" s="14">
        <v>23.0</v>
      </c>
      <c r="BC195" s="14">
        <v>31.0</v>
      </c>
      <c r="BD195" s="14" t="s">
        <v>99</v>
      </c>
      <c r="BE195" s="14" t="s">
        <v>4166</v>
      </c>
      <c r="BF195" s="15" t="str">
        <f>HYPERLINK("http://dx.doi.org/10.1016/j.actao.2013.02.007","http://dx.doi.org/10.1016/j.actao.2013.02.007")</f>
        <v>http://dx.doi.org/10.1016/j.actao.2013.02.007</v>
      </c>
      <c r="BG195" s="14" t="s">
        <v>99</v>
      </c>
      <c r="BH195" s="14" t="s">
        <v>99</v>
      </c>
      <c r="BI195" s="14">
        <v>9.0</v>
      </c>
      <c r="BJ195" s="14" t="s">
        <v>259</v>
      </c>
      <c r="BK195" s="14" t="s">
        <v>122</v>
      </c>
      <c r="BL195" s="14" t="s">
        <v>260</v>
      </c>
      <c r="BM195" s="14" t="s">
        <v>4167</v>
      </c>
      <c r="BN195" s="14" t="s">
        <v>99</v>
      </c>
      <c r="BO195" s="14" t="s">
        <v>99</v>
      </c>
      <c r="BP195" s="14" t="s">
        <v>99</v>
      </c>
      <c r="BQ195" s="14" t="s">
        <v>99</v>
      </c>
      <c r="BR195" s="14" t="s">
        <v>124</v>
      </c>
      <c r="BS195" s="14" t="s">
        <v>4168</v>
      </c>
      <c r="BT195" s="14" t="str">
        <f>HYPERLINK("https%3A%2F%2Fwww.webofscience.com%2Fwos%2Fwoscc%2Ffull-record%2FWOS:000319538700005","View Full Record in Web of Science")</f>
        <v>View Full Record in Web of Science</v>
      </c>
    </row>
    <row r="196" ht="12.75" customHeight="1">
      <c r="A196" s="14" t="s">
        <v>97</v>
      </c>
      <c r="B196" s="14" t="s">
        <v>4169</v>
      </c>
      <c r="C196" s="14" t="s">
        <v>99</v>
      </c>
      <c r="D196" s="14" t="s">
        <v>99</v>
      </c>
      <c r="E196" s="14" t="s">
        <v>99</v>
      </c>
      <c r="F196" s="14" t="s">
        <v>4170</v>
      </c>
      <c r="G196" s="14" t="s">
        <v>99</v>
      </c>
      <c r="H196" s="14" t="s">
        <v>99</v>
      </c>
      <c r="I196" s="14" t="s">
        <v>4171</v>
      </c>
      <c r="J196" s="14" t="s">
        <v>2500</v>
      </c>
      <c r="K196" s="14" t="s">
        <v>99</v>
      </c>
      <c r="L196" s="14" t="s">
        <v>99</v>
      </c>
      <c r="M196" s="14" t="s">
        <v>103</v>
      </c>
      <c r="N196" s="14" t="s">
        <v>104</v>
      </c>
      <c r="O196" s="14" t="s">
        <v>99</v>
      </c>
      <c r="P196" s="14" t="s">
        <v>99</v>
      </c>
      <c r="Q196" s="14" t="s">
        <v>99</v>
      </c>
      <c r="R196" s="14" t="s">
        <v>99</v>
      </c>
      <c r="S196" s="14" t="s">
        <v>99</v>
      </c>
      <c r="T196" s="14" t="s">
        <v>99</v>
      </c>
      <c r="U196" s="14" t="s">
        <v>4172</v>
      </c>
      <c r="V196" s="14" t="s">
        <v>4173</v>
      </c>
      <c r="W196" s="14" t="s">
        <v>4174</v>
      </c>
      <c r="X196" s="14" t="s">
        <v>4175</v>
      </c>
      <c r="Y196" s="14" t="s">
        <v>4176</v>
      </c>
      <c r="Z196" s="14" t="s">
        <v>4177</v>
      </c>
      <c r="AA196" s="14" t="s">
        <v>4178</v>
      </c>
      <c r="AB196" s="14" t="s">
        <v>4179</v>
      </c>
      <c r="AC196" s="14" t="s">
        <v>4180</v>
      </c>
      <c r="AD196" s="14" t="s">
        <v>4181</v>
      </c>
      <c r="AE196" s="14" t="s">
        <v>4182</v>
      </c>
      <c r="AF196" s="14" t="s">
        <v>99</v>
      </c>
      <c r="AG196" s="14">
        <v>73.0</v>
      </c>
      <c r="AH196" s="14">
        <v>352.0</v>
      </c>
      <c r="AI196" s="14">
        <v>409.0</v>
      </c>
      <c r="AJ196" s="14">
        <v>7.0</v>
      </c>
      <c r="AK196" s="14">
        <v>299.0</v>
      </c>
      <c r="AL196" s="14" t="s">
        <v>2512</v>
      </c>
      <c r="AM196" s="14" t="s">
        <v>2513</v>
      </c>
      <c r="AN196" s="14" t="s">
        <v>2514</v>
      </c>
      <c r="AO196" s="14" t="s">
        <v>2515</v>
      </c>
      <c r="AP196" s="14" t="s">
        <v>99</v>
      </c>
      <c r="AQ196" s="14" t="s">
        <v>99</v>
      </c>
      <c r="AR196" s="14" t="s">
        <v>2500</v>
      </c>
      <c r="AS196" s="14" t="s">
        <v>2516</v>
      </c>
      <c r="AT196" s="14" t="s">
        <v>4183</v>
      </c>
      <c r="AU196" s="14">
        <v>2013.0</v>
      </c>
      <c r="AV196" s="14">
        <v>8.0</v>
      </c>
      <c r="AW196" s="14">
        <v>5.0</v>
      </c>
      <c r="AX196" s="14" t="s">
        <v>99</v>
      </c>
      <c r="AY196" s="14" t="s">
        <v>99</v>
      </c>
      <c r="AZ196" s="14" t="s">
        <v>99</v>
      </c>
      <c r="BA196" s="14" t="s">
        <v>99</v>
      </c>
      <c r="BB196" s="14" t="s">
        <v>99</v>
      </c>
      <c r="BC196" s="14" t="s">
        <v>99</v>
      </c>
      <c r="BD196" s="14" t="s">
        <v>4184</v>
      </c>
      <c r="BE196" s="14" t="s">
        <v>4185</v>
      </c>
      <c r="BF196" s="15" t="str">
        <f>HYPERLINK("http://dx.doi.org/10.1371/journal.pone.0062374","http://dx.doi.org/10.1371/journal.pone.0062374")</f>
        <v>http://dx.doi.org/10.1371/journal.pone.0062374</v>
      </c>
      <c r="BG196" s="14" t="s">
        <v>99</v>
      </c>
      <c r="BH196" s="14" t="s">
        <v>99</v>
      </c>
      <c r="BI196" s="14">
        <v>10.0</v>
      </c>
      <c r="BJ196" s="14" t="s">
        <v>799</v>
      </c>
      <c r="BK196" s="14" t="s">
        <v>122</v>
      </c>
      <c r="BL196" s="14" t="s">
        <v>801</v>
      </c>
      <c r="BM196" s="14" t="s">
        <v>4186</v>
      </c>
      <c r="BN196" s="14">
        <v>2.3650513E7</v>
      </c>
      <c r="BO196" s="14" t="s">
        <v>1251</v>
      </c>
      <c r="BP196" s="14" t="s">
        <v>99</v>
      </c>
      <c r="BQ196" s="14" t="s">
        <v>99</v>
      </c>
      <c r="BR196" s="14" t="s">
        <v>124</v>
      </c>
      <c r="BS196" s="14" t="s">
        <v>4187</v>
      </c>
      <c r="BT196" s="14" t="str">
        <f>HYPERLINK("https%3A%2F%2Fwww.webofscience.com%2Fwos%2Fwoscc%2Ffull-record%2FWOS:000319167000043","View Full Record in Web of Science")</f>
        <v>View Full Record in Web of Science</v>
      </c>
    </row>
    <row r="197" ht="12.75" customHeight="1">
      <c r="A197" s="14" t="s">
        <v>97</v>
      </c>
      <c r="B197" s="14" t="s">
        <v>4188</v>
      </c>
      <c r="C197" s="14" t="s">
        <v>99</v>
      </c>
      <c r="D197" s="14" t="s">
        <v>99</v>
      </c>
      <c r="E197" s="14" t="s">
        <v>99</v>
      </c>
      <c r="F197" s="14" t="s">
        <v>4189</v>
      </c>
      <c r="G197" s="14" t="s">
        <v>99</v>
      </c>
      <c r="H197" s="14" t="s">
        <v>99</v>
      </c>
      <c r="I197" s="14" t="s">
        <v>4190</v>
      </c>
      <c r="J197" s="14" t="s">
        <v>726</v>
      </c>
      <c r="K197" s="14" t="s">
        <v>99</v>
      </c>
      <c r="L197" s="14" t="s">
        <v>99</v>
      </c>
      <c r="M197" s="14" t="s">
        <v>103</v>
      </c>
      <c r="N197" s="14" t="s">
        <v>104</v>
      </c>
      <c r="O197" s="14" t="s">
        <v>99</v>
      </c>
      <c r="P197" s="14" t="s">
        <v>99</v>
      </c>
      <c r="Q197" s="14" t="s">
        <v>99</v>
      </c>
      <c r="R197" s="14" t="s">
        <v>99</v>
      </c>
      <c r="S197" s="14" t="s">
        <v>99</v>
      </c>
      <c r="T197" s="14" t="s">
        <v>4191</v>
      </c>
      <c r="U197" s="14" t="s">
        <v>4192</v>
      </c>
      <c r="V197" s="14" t="s">
        <v>4193</v>
      </c>
      <c r="W197" s="14" t="s">
        <v>4194</v>
      </c>
      <c r="X197" s="14" t="s">
        <v>4195</v>
      </c>
      <c r="Y197" s="14" t="s">
        <v>4196</v>
      </c>
      <c r="Z197" s="14" t="s">
        <v>4197</v>
      </c>
      <c r="AA197" s="14" t="s">
        <v>4198</v>
      </c>
      <c r="AB197" s="14" t="s">
        <v>4199</v>
      </c>
      <c r="AC197" s="14" t="s">
        <v>4200</v>
      </c>
      <c r="AD197" s="14" t="s">
        <v>4201</v>
      </c>
      <c r="AE197" s="14" t="s">
        <v>4202</v>
      </c>
      <c r="AF197" s="14" t="s">
        <v>99</v>
      </c>
      <c r="AG197" s="14">
        <v>91.0</v>
      </c>
      <c r="AH197" s="14">
        <v>32.0</v>
      </c>
      <c r="AI197" s="14">
        <v>34.0</v>
      </c>
      <c r="AJ197" s="14">
        <v>1.0</v>
      </c>
      <c r="AK197" s="14">
        <v>126.0</v>
      </c>
      <c r="AL197" s="14" t="s">
        <v>341</v>
      </c>
      <c r="AM197" s="14" t="s">
        <v>342</v>
      </c>
      <c r="AN197" s="14" t="s">
        <v>343</v>
      </c>
      <c r="AO197" s="14" t="s">
        <v>739</v>
      </c>
      <c r="AP197" s="14" t="s">
        <v>740</v>
      </c>
      <c r="AQ197" s="14" t="s">
        <v>99</v>
      </c>
      <c r="AR197" s="14" t="s">
        <v>741</v>
      </c>
      <c r="AS197" s="14" t="s">
        <v>742</v>
      </c>
      <c r="AT197" s="14" t="s">
        <v>718</v>
      </c>
      <c r="AU197" s="14">
        <v>2013.0</v>
      </c>
      <c r="AV197" s="14">
        <v>19.0</v>
      </c>
      <c r="AW197" s="14">
        <v>4.0</v>
      </c>
      <c r="AX197" s="14" t="s">
        <v>99</v>
      </c>
      <c r="AY197" s="14" t="s">
        <v>99</v>
      </c>
      <c r="AZ197" s="14" t="s">
        <v>99</v>
      </c>
      <c r="BA197" s="14" t="s">
        <v>99</v>
      </c>
      <c r="BB197" s="14">
        <v>363.0</v>
      </c>
      <c r="BC197" s="14">
        <v>376.0</v>
      </c>
      <c r="BD197" s="14" t="s">
        <v>99</v>
      </c>
      <c r="BE197" s="14" t="s">
        <v>4203</v>
      </c>
      <c r="BF197" s="15" t="str">
        <f>HYPERLINK("http://dx.doi.org/10.1111/ddi.12011","http://dx.doi.org/10.1111/ddi.12011")</f>
        <v>http://dx.doi.org/10.1111/ddi.12011</v>
      </c>
      <c r="BG197" s="14" t="s">
        <v>99</v>
      </c>
      <c r="BH197" s="14" t="s">
        <v>99</v>
      </c>
      <c r="BI197" s="14">
        <v>14.0</v>
      </c>
      <c r="BJ197" s="14" t="s">
        <v>550</v>
      </c>
      <c r="BK197" s="14" t="s">
        <v>122</v>
      </c>
      <c r="BL197" s="14" t="s">
        <v>352</v>
      </c>
      <c r="BM197" s="14" t="s">
        <v>4204</v>
      </c>
      <c r="BN197" s="14" t="s">
        <v>99</v>
      </c>
      <c r="BO197" s="14" t="s">
        <v>99</v>
      </c>
      <c r="BP197" s="14" t="s">
        <v>99</v>
      </c>
      <c r="BQ197" s="14" t="s">
        <v>99</v>
      </c>
      <c r="BR197" s="14" t="s">
        <v>124</v>
      </c>
      <c r="BS197" s="14" t="s">
        <v>4205</v>
      </c>
      <c r="BT197" s="14" t="str">
        <f>HYPERLINK("https%3A%2F%2Fwww.webofscience.com%2Fwos%2Fwoscc%2Ffull-record%2FWOS:000316324800001","View Full Record in Web of Science")</f>
        <v>View Full Record in Web of Science</v>
      </c>
    </row>
    <row r="198" ht="12.75" customHeight="1">
      <c r="A198" s="14" t="s">
        <v>97</v>
      </c>
      <c r="B198" s="14" t="s">
        <v>4206</v>
      </c>
      <c r="C198" s="14" t="s">
        <v>99</v>
      </c>
      <c r="D198" s="14" t="s">
        <v>99</v>
      </c>
      <c r="E198" s="14" t="s">
        <v>99</v>
      </c>
      <c r="F198" s="14" t="s">
        <v>4207</v>
      </c>
      <c r="G198" s="14" t="s">
        <v>99</v>
      </c>
      <c r="H198" s="14" t="s">
        <v>99</v>
      </c>
      <c r="I198" s="14" t="s">
        <v>4208</v>
      </c>
      <c r="J198" s="14" t="s">
        <v>532</v>
      </c>
      <c r="K198" s="14" t="s">
        <v>99</v>
      </c>
      <c r="L198" s="14" t="s">
        <v>99</v>
      </c>
      <c r="M198" s="14" t="s">
        <v>103</v>
      </c>
      <c r="N198" s="14" t="s">
        <v>104</v>
      </c>
      <c r="O198" s="14" t="s">
        <v>99</v>
      </c>
      <c r="P198" s="14" t="s">
        <v>99</v>
      </c>
      <c r="Q198" s="14" t="s">
        <v>99</v>
      </c>
      <c r="R198" s="14" t="s">
        <v>99</v>
      </c>
      <c r="S198" s="14" t="s">
        <v>99</v>
      </c>
      <c r="T198" s="14" t="s">
        <v>4209</v>
      </c>
      <c r="U198" s="14" t="s">
        <v>4210</v>
      </c>
      <c r="V198" s="14" t="s">
        <v>4211</v>
      </c>
      <c r="W198" s="14" t="s">
        <v>4212</v>
      </c>
      <c r="X198" s="14" t="s">
        <v>4213</v>
      </c>
      <c r="Y198" s="14" t="s">
        <v>4214</v>
      </c>
      <c r="Z198" s="14" t="s">
        <v>4215</v>
      </c>
      <c r="AA198" s="14" t="s">
        <v>4216</v>
      </c>
      <c r="AB198" s="14" t="s">
        <v>4217</v>
      </c>
      <c r="AC198" s="14" t="s">
        <v>4218</v>
      </c>
      <c r="AD198" s="14" t="s">
        <v>4219</v>
      </c>
      <c r="AE198" s="14" t="s">
        <v>4220</v>
      </c>
      <c r="AF198" s="14" t="s">
        <v>99</v>
      </c>
      <c r="AG198" s="14">
        <v>47.0</v>
      </c>
      <c r="AH198" s="14">
        <v>201.0</v>
      </c>
      <c r="AI198" s="14">
        <v>232.0</v>
      </c>
      <c r="AJ198" s="14">
        <v>2.0</v>
      </c>
      <c r="AK198" s="14">
        <v>745.0</v>
      </c>
      <c r="AL198" s="14" t="s">
        <v>1822</v>
      </c>
      <c r="AM198" s="14" t="s">
        <v>342</v>
      </c>
      <c r="AN198" s="14" t="s">
        <v>343</v>
      </c>
      <c r="AO198" s="14" t="s">
        <v>545</v>
      </c>
      <c r="AP198" s="14" t="s">
        <v>99</v>
      </c>
      <c r="AQ198" s="14" t="s">
        <v>99</v>
      </c>
      <c r="AR198" s="14" t="s">
        <v>547</v>
      </c>
      <c r="AS198" s="14" t="s">
        <v>548</v>
      </c>
      <c r="AT198" s="14" t="s">
        <v>718</v>
      </c>
      <c r="AU198" s="14">
        <v>2013.0</v>
      </c>
      <c r="AV198" s="14">
        <v>50.0</v>
      </c>
      <c r="AW198" s="14">
        <v>2.0</v>
      </c>
      <c r="AX198" s="14" t="s">
        <v>99</v>
      </c>
      <c r="AY198" s="14" t="s">
        <v>99</v>
      </c>
      <c r="AZ198" s="14" t="s">
        <v>99</v>
      </c>
      <c r="BA198" s="14" t="s">
        <v>99</v>
      </c>
      <c r="BB198" s="14">
        <v>355.0</v>
      </c>
      <c r="BC198" s="14">
        <v>364.0</v>
      </c>
      <c r="BD198" s="14" t="s">
        <v>99</v>
      </c>
      <c r="BE198" s="14" t="s">
        <v>4221</v>
      </c>
      <c r="BF198" s="15" t="str">
        <f>HYPERLINK("http://dx.doi.org/10.1111/1365-2664.12035","http://dx.doi.org/10.1111/1365-2664.12035")</f>
        <v>http://dx.doi.org/10.1111/1365-2664.12035</v>
      </c>
      <c r="BG198" s="14" t="s">
        <v>99</v>
      </c>
      <c r="BH198" s="14" t="s">
        <v>99</v>
      </c>
      <c r="BI198" s="14">
        <v>10.0</v>
      </c>
      <c r="BJ198" s="14" t="s">
        <v>550</v>
      </c>
      <c r="BK198" s="14" t="s">
        <v>122</v>
      </c>
      <c r="BL198" s="14" t="s">
        <v>352</v>
      </c>
      <c r="BM198" s="14" t="s">
        <v>4222</v>
      </c>
      <c r="BN198" s="14" t="s">
        <v>99</v>
      </c>
      <c r="BO198" s="14" t="s">
        <v>99</v>
      </c>
      <c r="BP198" s="14" t="s">
        <v>99</v>
      </c>
      <c r="BQ198" s="14" t="s">
        <v>99</v>
      </c>
      <c r="BR198" s="14" t="s">
        <v>124</v>
      </c>
      <c r="BS198" s="14" t="s">
        <v>4223</v>
      </c>
      <c r="BT198" s="14" t="str">
        <f>HYPERLINK("https%3A%2F%2Fwww.webofscience.com%2Fwos%2Fwoscc%2Ffull-record%2FWOS:000316969300009","View Full Record in Web of Science")</f>
        <v>View Full Record in Web of Science</v>
      </c>
    </row>
    <row r="199" ht="12.75" customHeight="1">
      <c r="A199" s="14" t="s">
        <v>97</v>
      </c>
      <c r="B199" s="14" t="s">
        <v>4224</v>
      </c>
      <c r="C199" s="14" t="s">
        <v>99</v>
      </c>
      <c r="D199" s="14" t="s">
        <v>99</v>
      </c>
      <c r="E199" s="14" t="s">
        <v>99</v>
      </c>
      <c r="F199" s="14" t="s">
        <v>4225</v>
      </c>
      <c r="G199" s="14" t="s">
        <v>99</v>
      </c>
      <c r="H199" s="14" t="s">
        <v>99</v>
      </c>
      <c r="I199" s="14" t="s">
        <v>4226</v>
      </c>
      <c r="J199" s="14" t="s">
        <v>1102</v>
      </c>
      <c r="K199" s="14" t="s">
        <v>99</v>
      </c>
      <c r="L199" s="14" t="s">
        <v>99</v>
      </c>
      <c r="M199" s="14" t="s">
        <v>103</v>
      </c>
      <c r="N199" s="14" t="s">
        <v>104</v>
      </c>
      <c r="O199" s="14" t="s">
        <v>99</v>
      </c>
      <c r="P199" s="14" t="s">
        <v>99</v>
      </c>
      <c r="Q199" s="14" t="s">
        <v>99</v>
      </c>
      <c r="R199" s="14" t="s">
        <v>99</v>
      </c>
      <c r="S199" s="14" t="s">
        <v>99</v>
      </c>
      <c r="T199" s="14" t="s">
        <v>4227</v>
      </c>
      <c r="U199" s="14" t="s">
        <v>4228</v>
      </c>
      <c r="V199" s="14" t="s">
        <v>4229</v>
      </c>
      <c r="W199" s="14" t="s">
        <v>4230</v>
      </c>
      <c r="X199" s="14" t="s">
        <v>4231</v>
      </c>
      <c r="Y199" s="14" t="s">
        <v>4232</v>
      </c>
      <c r="Z199" s="14" t="s">
        <v>4233</v>
      </c>
      <c r="AA199" s="14" t="s">
        <v>4234</v>
      </c>
      <c r="AB199" s="14" t="s">
        <v>4235</v>
      </c>
      <c r="AC199" s="14" t="s">
        <v>4236</v>
      </c>
      <c r="AD199" s="14" t="s">
        <v>4237</v>
      </c>
      <c r="AE199" s="14" t="s">
        <v>4238</v>
      </c>
      <c r="AF199" s="14" t="s">
        <v>99</v>
      </c>
      <c r="AG199" s="14">
        <v>75.0</v>
      </c>
      <c r="AH199" s="14">
        <v>103.0</v>
      </c>
      <c r="AI199" s="14">
        <v>118.0</v>
      </c>
      <c r="AJ199" s="14">
        <v>1.0</v>
      </c>
      <c r="AK199" s="14">
        <v>187.0</v>
      </c>
      <c r="AL199" s="14" t="s">
        <v>493</v>
      </c>
      <c r="AM199" s="14" t="s">
        <v>494</v>
      </c>
      <c r="AN199" s="14" t="s">
        <v>495</v>
      </c>
      <c r="AO199" s="14" t="s">
        <v>1112</v>
      </c>
      <c r="AP199" s="14" t="s">
        <v>1113</v>
      </c>
      <c r="AQ199" s="14" t="s">
        <v>99</v>
      </c>
      <c r="AR199" s="14" t="s">
        <v>1114</v>
      </c>
      <c r="AS199" s="14" t="s">
        <v>1115</v>
      </c>
      <c r="AT199" s="14" t="s">
        <v>718</v>
      </c>
      <c r="AU199" s="14">
        <v>2013.0</v>
      </c>
      <c r="AV199" s="14">
        <v>160.0</v>
      </c>
      <c r="AW199" s="14" t="s">
        <v>99</v>
      </c>
      <c r="AX199" s="14" t="s">
        <v>99</v>
      </c>
      <c r="AY199" s="14" t="s">
        <v>99</v>
      </c>
      <c r="AZ199" s="14" t="s">
        <v>99</v>
      </c>
      <c r="BA199" s="14" t="s">
        <v>99</v>
      </c>
      <c r="BB199" s="14">
        <v>225.0</v>
      </c>
      <c r="BC199" s="14">
        <v>233.0</v>
      </c>
      <c r="BD199" s="14" t="s">
        <v>99</v>
      </c>
      <c r="BE199" s="14" t="s">
        <v>4239</v>
      </c>
      <c r="BF199" s="15" t="str">
        <f>HYPERLINK("http://dx.doi.org/10.1016/j.biocon.2013.02.001","http://dx.doi.org/10.1016/j.biocon.2013.02.001")</f>
        <v>http://dx.doi.org/10.1016/j.biocon.2013.02.001</v>
      </c>
      <c r="BG199" s="14" t="s">
        <v>99</v>
      </c>
      <c r="BH199" s="14" t="s">
        <v>99</v>
      </c>
      <c r="BI199" s="14">
        <v>9.0</v>
      </c>
      <c r="BJ199" s="14" t="s">
        <v>351</v>
      </c>
      <c r="BK199" s="14" t="s">
        <v>122</v>
      </c>
      <c r="BL199" s="14" t="s">
        <v>352</v>
      </c>
      <c r="BM199" s="14" t="s">
        <v>4240</v>
      </c>
      <c r="BN199" s="14" t="s">
        <v>99</v>
      </c>
      <c r="BO199" s="14" t="s">
        <v>99</v>
      </c>
      <c r="BP199" s="14" t="s">
        <v>99</v>
      </c>
      <c r="BQ199" s="14" t="s">
        <v>99</v>
      </c>
      <c r="BR199" s="14" t="s">
        <v>124</v>
      </c>
      <c r="BS199" s="14" t="s">
        <v>4241</v>
      </c>
      <c r="BT199" s="14" t="str">
        <f>HYPERLINK("https%3A%2F%2Fwww.webofscience.com%2Fwos%2Fwoscc%2Ffull-record%2FWOS:000320684700025","View Full Record in Web of Science")</f>
        <v>View Full Record in Web of Science</v>
      </c>
    </row>
    <row r="200" ht="12.75" customHeight="1">
      <c r="A200" s="14" t="s">
        <v>97</v>
      </c>
      <c r="B200" s="14" t="s">
        <v>4242</v>
      </c>
      <c r="C200" s="14" t="s">
        <v>99</v>
      </c>
      <c r="D200" s="14" t="s">
        <v>99</v>
      </c>
      <c r="E200" s="14" t="s">
        <v>99</v>
      </c>
      <c r="F200" s="14" t="s">
        <v>4243</v>
      </c>
      <c r="G200" s="14" t="s">
        <v>99</v>
      </c>
      <c r="H200" s="14" t="s">
        <v>99</v>
      </c>
      <c r="I200" s="14" t="s">
        <v>4244</v>
      </c>
      <c r="J200" s="14" t="s">
        <v>4245</v>
      </c>
      <c r="K200" s="14" t="s">
        <v>99</v>
      </c>
      <c r="L200" s="14" t="s">
        <v>99</v>
      </c>
      <c r="M200" s="14" t="s">
        <v>103</v>
      </c>
      <c r="N200" s="14" t="s">
        <v>104</v>
      </c>
      <c r="O200" s="14" t="s">
        <v>99</v>
      </c>
      <c r="P200" s="14" t="s">
        <v>99</v>
      </c>
      <c r="Q200" s="14" t="s">
        <v>99</v>
      </c>
      <c r="R200" s="14" t="s">
        <v>99</v>
      </c>
      <c r="S200" s="14" t="s">
        <v>99</v>
      </c>
      <c r="T200" s="14" t="s">
        <v>4246</v>
      </c>
      <c r="U200" s="14" t="s">
        <v>4247</v>
      </c>
      <c r="V200" s="14" t="s">
        <v>4248</v>
      </c>
      <c r="W200" s="14" t="s">
        <v>4249</v>
      </c>
      <c r="X200" s="14" t="s">
        <v>4250</v>
      </c>
      <c r="Y200" s="14" t="s">
        <v>4251</v>
      </c>
      <c r="Z200" s="14" t="s">
        <v>4252</v>
      </c>
      <c r="AA200" s="14" t="s">
        <v>4253</v>
      </c>
      <c r="AB200" s="14" t="s">
        <v>4254</v>
      </c>
      <c r="AC200" s="14" t="s">
        <v>4255</v>
      </c>
      <c r="AD200" s="14" t="s">
        <v>4256</v>
      </c>
      <c r="AE200" s="14" t="s">
        <v>4257</v>
      </c>
      <c r="AF200" s="14" t="s">
        <v>99</v>
      </c>
      <c r="AG200" s="14">
        <v>54.0</v>
      </c>
      <c r="AH200" s="14">
        <v>21.0</v>
      </c>
      <c r="AI200" s="14">
        <v>21.0</v>
      </c>
      <c r="AJ200" s="14">
        <v>1.0</v>
      </c>
      <c r="AK200" s="14">
        <v>105.0</v>
      </c>
      <c r="AL200" s="14" t="s">
        <v>341</v>
      </c>
      <c r="AM200" s="14" t="s">
        <v>342</v>
      </c>
      <c r="AN200" s="14" t="s">
        <v>343</v>
      </c>
      <c r="AO200" s="14" t="s">
        <v>4258</v>
      </c>
      <c r="AP200" s="14" t="s">
        <v>4259</v>
      </c>
      <c r="AQ200" s="14" t="s">
        <v>99</v>
      </c>
      <c r="AR200" s="14" t="s">
        <v>4260</v>
      </c>
      <c r="AS200" s="14" t="s">
        <v>4261</v>
      </c>
      <c r="AT200" s="14" t="s">
        <v>718</v>
      </c>
      <c r="AU200" s="14">
        <v>2013.0</v>
      </c>
      <c r="AV200" s="14">
        <v>16.0</v>
      </c>
      <c r="AW200" s="14">
        <v>2.0</v>
      </c>
      <c r="AX200" s="14" t="s">
        <v>99</v>
      </c>
      <c r="AY200" s="14" t="s">
        <v>99</v>
      </c>
      <c r="AZ200" s="14" t="s">
        <v>99</v>
      </c>
      <c r="BA200" s="14" t="s">
        <v>99</v>
      </c>
      <c r="BB200" s="14">
        <v>286.0</v>
      </c>
      <c r="BC200" s="14">
        <v>295.0</v>
      </c>
      <c r="BD200" s="14" t="s">
        <v>99</v>
      </c>
      <c r="BE200" s="14" t="s">
        <v>4262</v>
      </c>
      <c r="BF200" s="15" t="str">
        <f>HYPERLINK("http://dx.doi.org/10.1111/avsc.12001","http://dx.doi.org/10.1111/avsc.12001")</f>
        <v>http://dx.doi.org/10.1111/avsc.12001</v>
      </c>
      <c r="BG200" s="14" t="s">
        <v>99</v>
      </c>
      <c r="BH200" s="14" t="s">
        <v>99</v>
      </c>
      <c r="BI200" s="14">
        <v>10.0</v>
      </c>
      <c r="BJ200" s="14" t="s">
        <v>1141</v>
      </c>
      <c r="BK200" s="14" t="s">
        <v>122</v>
      </c>
      <c r="BL200" s="14" t="s">
        <v>1142</v>
      </c>
      <c r="BM200" s="14" t="s">
        <v>4263</v>
      </c>
      <c r="BN200" s="14" t="s">
        <v>99</v>
      </c>
      <c r="BO200" s="14" t="s">
        <v>99</v>
      </c>
      <c r="BP200" s="14" t="s">
        <v>99</v>
      </c>
      <c r="BQ200" s="14" t="s">
        <v>99</v>
      </c>
      <c r="BR200" s="14" t="s">
        <v>124</v>
      </c>
      <c r="BS200" s="14" t="s">
        <v>4264</v>
      </c>
      <c r="BT200" s="14" t="str">
        <f>HYPERLINK("https%3A%2F%2Fwww.webofscience.com%2Fwos%2Fwoscc%2Ffull-record%2FWOS:000315690500013","View Full Record in Web of Science")</f>
        <v>View Full Record in Web of Science</v>
      </c>
    </row>
    <row r="201" ht="12.75" customHeight="1">
      <c r="A201" s="14" t="s">
        <v>97</v>
      </c>
      <c r="B201" s="14" t="s">
        <v>4265</v>
      </c>
      <c r="C201" s="14" t="s">
        <v>99</v>
      </c>
      <c r="D201" s="14" t="s">
        <v>99</v>
      </c>
      <c r="E201" s="14" t="s">
        <v>99</v>
      </c>
      <c r="F201" s="14" t="s">
        <v>4266</v>
      </c>
      <c r="G201" s="14" t="s">
        <v>99</v>
      </c>
      <c r="H201" s="14" t="s">
        <v>99</v>
      </c>
      <c r="I201" s="14" t="s">
        <v>4267</v>
      </c>
      <c r="J201" s="14" t="s">
        <v>4268</v>
      </c>
      <c r="K201" s="14" t="s">
        <v>99</v>
      </c>
      <c r="L201" s="14" t="s">
        <v>99</v>
      </c>
      <c r="M201" s="14" t="s">
        <v>103</v>
      </c>
      <c r="N201" s="14" t="s">
        <v>104</v>
      </c>
      <c r="O201" s="14" t="s">
        <v>99</v>
      </c>
      <c r="P201" s="14" t="s">
        <v>99</v>
      </c>
      <c r="Q201" s="14" t="s">
        <v>99</v>
      </c>
      <c r="R201" s="14" t="s">
        <v>99</v>
      </c>
      <c r="S201" s="14" t="s">
        <v>99</v>
      </c>
      <c r="T201" s="14" t="s">
        <v>4269</v>
      </c>
      <c r="U201" s="14" t="s">
        <v>4270</v>
      </c>
      <c r="V201" s="14" t="s">
        <v>4271</v>
      </c>
      <c r="W201" s="14" t="s">
        <v>4272</v>
      </c>
      <c r="X201" s="14" t="s">
        <v>4273</v>
      </c>
      <c r="Y201" s="14" t="s">
        <v>4274</v>
      </c>
      <c r="Z201" s="14" t="s">
        <v>4275</v>
      </c>
      <c r="AA201" s="14" t="s">
        <v>4276</v>
      </c>
      <c r="AB201" s="14" t="s">
        <v>4277</v>
      </c>
      <c r="AC201" s="14" t="s">
        <v>4278</v>
      </c>
      <c r="AD201" s="14" t="s">
        <v>4279</v>
      </c>
      <c r="AE201" s="14" t="s">
        <v>4280</v>
      </c>
      <c r="AF201" s="14" t="s">
        <v>99</v>
      </c>
      <c r="AG201" s="14">
        <v>52.0</v>
      </c>
      <c r="AH201" s="14">
        <v>12.0</v>
      </c>
      <c r="AI201" s="14">
        <v>15.0</v>
      </c>
      <c r="AJ201" s="14">
        <v>0.0</v>
      </c>
      <c r="AK201" s="14">
        <v>43.0</v>
      </c>
      <c r="AL201" s="14" t="s">
        <v>2073</v>
      </c>
      <c r="AM201" s="14" t="s">
        <v>274</v>
      </c>
      <c r="AN201" s="14" t="s">
        <v>2074</v>
      </c>
      <c r="AO201" s="14" t="s">
        <v>4281</v>
      </c>
      <c r="AP201" s="14" t="s">
        <v>4282</v>
      </c>
      <c r="AQ201" s="14" t="s">
        <v>99</v>
      </c>
      <c r="AR201" s="14" t="s">
        <v>4283</v>
      </c>
      <c r="AS201" s="14" t="s">
        <v>4284</v>
      </c>
      <c r="AT201" s="14" t="s">
        <v>718</v>
      </c>
      <c r="AU201" s="14">
        <v>2013.0</v>
      </c>
      <c r="AV201" s="14">
        <v>91.0</v>
      </c>
      <c r="AW201" s="14" t="s">
        <v>99</v>
      </c>
      <c r="AX201" s="14" t="s">
        <v>99</v>
      </c>
      <c r="AY201" s="14" t="s">
        <v>99</v>
      </c>
      <c r="AZ201" s="14" t="s">
        <v>99</v>
      </c>
      <c r="BA201" s="14" t="s">
        <v>99</v>
      </c>
      <c r="BB201" s="14">
        <v>31.0</v>
      </c>
      <c r="BC201" s="14">
        <v>37.0</v>
      </c>
      <c r="BD201" s="14" t="s">
        <v>99</v>
      </c>
      <c r="BE201" s="14" t="s">
        <v>4285</v>
      </c>
      <c r="BF201" s="15" t="str">
        <f>HYPERLINK("http://dx.doi.org/10.1016/j.jaridenv.2012.11.004","http://dx.doi.org/10.1016/j.jaridenv.2012.11.004")</f>
        <v>http://dx.doi.org/10.1016/j.jaridenv.2012.11.004</v>
      </c>
      <c r="BG201" s="14" t="s">
        <v>99</v>
      </c>
      <c r="BH201" s="14" t="s">
        <v>99</v>
      </c>
      <c r="BI201" s="14">
        <v>7.0</v>
      </c>
      <c r="BJ201" s="14" t="s">
        <v>423</v>
      </c>
      <c r="BK201" s="14" t="s">
        <v>122</v>
      </c>
      <c r="BL201" s="14" t="s">
        <v>260</v>
      </c>
      <c r="BM201" s="14" t="s">
        <v>4286</v>
      </c>
      <c r="BN201" s="14" t="s">
        <v>99</v>
      </c>
      <c r="BO201" s="14" t="s">
        <v>238</v>
      </c>
      <c r="BP201" s="14" t="s">
        <v>99</v>
      </c>
      <c r="BQ201" s="14" t="s">
        <v>99</v>
      </c>
      <c r="BR201" s="14" t="s">
        <v>124</v>
      </c>
      <c r="BS201" s="14" t="s">
        <v>4287</v>
      </c>
      <c r="BT201" s="14" t="str">
        <f>HYPERLINK("https%3A%2F%2Fwww.webofscience.com%2Fwos%2Fwoscc%2Ffull-record%2FWOS:000318056100005","View Full Record in Web of Science")</f>
        <v>View Full Record in Web of Science</v>
      </c>
    </row>
    <row r="202" ht="12.75" customHeight="1">
      <c r="A202" s="14" t="s">
        <v>97</v>
      </c>
      <c r="B202" s="14" t="s">
        <v>4288</v>
      </c>
      <c r="C202" s="14" t="s">
        <v>99</v>
      </c>
      <c r="D202" s="14" t="s">
        <v>99</v>
      </c>
      <c r="E202" s="14" t="s">
        <v>99</v>
      </c>
      <c r="F202" s="14" t="s">
        <v>4289</v>
      </c>
      <c r="G202" s="14" t="s">
        <v>99</v>
      </c>
      <c r="H202" s="14" t="s">
        <v>99</v>
      </c>
      <c r="I202" s="14" t="s">
        <v>4290</v>
      </c>
      <c r="J202" s="14" t="s">
        <v>3898</v>
      </c>
      <c r="K202" s="14" t="s">
        <v>99</v>
      </c>
      <c r="L202" s="14" t="s">
        <v>99</v>
      </c>
      <c r="M202" s="14" t="s">
        <v>103</v>
      </c>
      <c r="N202" s="14" t="s">
        <v>104</v>
      </c>
      <c r="O202" s="14" t="s">
        <v>99</v>
      </c>
      <c r="P202" s="14" t="s">
        <v>99</v>
      </c>
      <c r="Q202" s="14" t="s">
        <v>99</v>
      </c>
      <c r="R202" s="14" t="s">
        <v>99</v>
      </c>
      <c r="S202" s="14" t="s">
        <v>99</v>
      </c>
      <c r="T202" s="14" t="s">
        <v>4291</v>
      </c>
      <c r="U202" s="14" t="s">
        <v>4292</v>
      </c>
      <c r="V202" s="14" t="s">
        <v>4293</v>
      </c>
      <c r="W202" s="14" t="s">
        <v>4294</v>
      </c>
      <c r="X202" s="14" t="s">
        <v>4295</v>
      </c>
      <c r="Y202" s="14" t="s">
        <v>4296</v>
      </c>
      <c r="Z202" s="14" t="s">
        <v>4297</v>
      </c>
      <c r="AA202" s="14" t="s">
        <v>99</v>
      </c>
      <c r="AB202" s="14" t="s">
        <v>99</v>
      </c>
      <c r="AC202" s="14" t="s">
        <v>99</v>
      </c>
      <c r="AD202" s="14" t="s">
        <v>99</v>
      </c>
      <c r="AE202" s="14" t="s">
        <v>99</v>
      </c>
      <c r="AF202" s="14" t="s">
        <v>99</v>
      </c>
      <c r="AG202" s="14">
        <v>47.0</v>
      </c>
      <c r="AH202" s="14">
        <v>2.0</v>
      </c>
      <c r="AI202" s="14">
        <v>2.0</v>
      </c>
      <c r="AJ202" s="14">
        <v>0.0</v>
      </c>
      <c r="AK202" s="14">
        <v>56.0</v>
      </c>
      <c r="AL202" s="14" t="s">
        <v>1731</v>
      </c>
      <c r="AM202" s="14" t="s">
        <v>1732</v>
      </c>
      <c r="AN202" s="14" t="s">
        <v>1733</v>
      </c>
      <c r="AO202" s="14" t="s">
        <v>3911</v>
      </c>
      <c r="AP202" s="14" t="s">
        <v>3912</v>
      </c>
      <c r="AQ202" s="14" t="s">
        <v>99</v>
      </c>
      <c r="AR202" s="14" t="s">
        <v>3913</v>
      </c>
      <c r="AS202" s="14" t="s">
        <v>3914</v>
      </c>
      <c r="AT202" s="14" t="s">
        <v>718</v>
      </c>
      <c r="AU202" s="14">
        <v>2013.0</v>
      </c>
      <c r="AV202" s="14">
        <v>87.0</v>
      </c>
      <c r="AW202" s="14">
        <v>2.0</v>
      </c>
      <c r="AX202" s="14" t="s">
        <v>99</v>
      </c>
      <c r="AY202" s="14" t="s">
        <v>99</v>
      </c>
      <c r="AZ202" s="14" t="s">
        <v>99</v>
      </c>
      <c r="BA202" s="14" t="s">
        <v>99</v>
      </c>
      <c r="BB202" s="14">
        <v>451.0</v>
      </c>
      <c r="BC202" s="14">
        <v>464.0</v>
      </c>
      <c r="BD202" s="14" t="s">
        <v>99</v>
      </c>
      <c r="BE202" s="14" t="s">
        <v>4298</v>
      </c>
      <c r="BF202" s="15" t="str">
        <f>HYPERLINK("http://dx.doi.org/10.1007/s10457-012-9566-9","http://dx.doi.org/10.1007/s10457-012-9566-9")</f>
        <v>http://dx.doi.org/10.1007/s10457-012-9566-9</v>
      </c>
      <c r="BG202" s="14" t="s">
        <v>99</v>
      </c>
      <c r="BH202" s="14" t="s">
        <v>99</v>
      </c>
      <c r="BI202" s="14">
        <v>14.0</v>
      </c>
      <c r="BJ202" s="14" t="s">
        <v>3916</v>
      </c>
      <c r="BK202" s="14" t="s">
        <v>122</v>
      </c>
      <c r="BL202" s="14" t="s">
        <v>3917</v>
      </c>
      <c r="BM202" s="14" t="s">
        <v>4299</v>
      </c>
      <c r="BN202" s="14" t="s">
        <v>99</v>
      </c>
      <c r="BO202" s="14" t="s">
        <v>99</v>
      </c>
      <c r="BP202" s="14" t="s">
        <v>99</v>
      </c>
      <c r="BQ202" s="14" t="s">
        <v>99</v>
      </c>
      <c r="BR202" s="14" t="s">
        <v>124</v>
      </c>
      <c r="BS202" s="14" t="s">
        <v>4300</v>
      </c>
      <c r="BT202" s="14" t="str">
        <f>HYPERLINK("https%3A%2F%2Fwww.webofscience.com%2Fwos%2Fwoscc%2Ffull-record%2FWOS:000316006500019","View Full Record in Web of Science")</f>
        <v>View Full Record in Web of Science</v>
      </c>
    </row>
    <row r="203" ht="12.75" customHeight="1">
      <c r="A203" s="14" t="s">
        <v>97</v>
      </c>
      <c r="B203" s="14" t="s">
        <v>4301</v>
      </c>
      <c r="C203" s="14" t="s">
        <v>99</v>
      </c>
      <c r="D203" s="14" t="s">
        <v>99</v>
      </c>
      <c r="E203" s="14" t="s">
        <v>99</v>
      </c>
      <c r="F203" s="14" t="s">
        <v>4302</v>
      </c>
      <c r="G203" s="14" t="s">
        <v>99</v>
      </c>
      <c r="H203" s="14" t="s">
        <v>99</v>
      </c>
      <c r="I203" s="14" t="s">
        <v>4303</v>
      </c>
      <c r="J203" s="14" t="s">
        <v>556</v>
      </c>
      <c r="K203" s="14" t="s">
        <v>99</v>
      </c>
      <c r="L203" s="14" t="s">
        <v>99</v>
      </c>
      <c r="M203" s="14" t="s">
        <v>103</v>
      </c>
      <c r="N203" s="14" t="s">
        <v>104</v>
      </c>
      <c r="O203" s="14" t="s">
        <v>99</v>
      </c>
      <c r="P203" s="14" t="s">
        <v>99</v>
      </c>
      <c r="Q203" s="14" t="s">
        <v>99</v>
      </c>
      <c r="R203" s="14" t="s">
        <v>99</v>
      </c>
      <c r="S203" s="14" t="s">
        <v>99</v>
      </c>
      <c r="T203" s="14" t="s">
        <v>4304</v>
      </c>
      <c r="U203" s="14" t="s">
        <v>4305</v>
      </c>
      <c r="V203" s="14" t="s">
        <v>4306</v>
      </c>
      <c r="W203" s="14" t="s">
        <v>4307</v>
      </c>
      <c r="X203" s="14" t="s">
        <v>4308</v>
      </c>
      <c r="Y203" s="14" t="s">
        <v>4309</v>
      </c>
      <c r="Z203" s="14" t="s">
        <v>4310</v>
      </c>
      <c r="AA203" s="14" t="s">
        <v>4311</v>
      </c>
      <c r="AB203" s="14" t="s">
        <v>4312</v>
      </c>
      <c r="AC203" s="14" t="s">
        <v>99</v>
      </c>
      <c r="AD203" s="14" t="s">
        <v>99</v>
      </c>
      <c r="AE203" s="14" t="s">
        <v>99</v>
      </c>
      <c r="AF203" s="14" t="s">
        <v>99</v>
      </c>
      <c r="AG203" s="14">
        <v>56.0</v>
      </c>
      <c r="AH203" s="14">
        <v>47.0</v>
      </c>
      <c r="AI203" s="14">
        <v>58.0</v>
      </c>
      <c r="AJ203" s="14">
        <v>0.0</v>
      </c>
      <c r="AK203" s="14">
        <v>11.0</v>
      </c>
      <c r="AL203" s="14" t="s">
        <v>566</v>
      </c>
      <c r="AM203" s="14" t="s">
        <v>567</v>
      </c>
      <c r="AN203" s="14" t="s">
        <v>568</v>
      </c>
      <c r="AO203" s="14" t="s">
        <v>569</v>
      </c>
      <c r="AP203" s="14" t="s">
        <v>99</v>
      </c>
      <c r="AQ203" s="14" t="s">
        <v>99</v>
      </c>
      <c r="AR203" s="14" t="s">
        <v>570</v>
      </c>
      <c r="AS203" s="14" t="s">
        <v>571</v>
      </c>
      <c r="AT203" s="14" t="s">
        <v>4313</v>
      </c>
      <c r="AU203" s="14">
        <v>2013.0</v>
      </c>
      <c r="AV203" s="14">
        <v>8.0</v>
      </c>
      <c r="AW203" s="14">
        <v>2.0</v>
      </c>
      <c r="AX203" s="14" t="s">
        <v>99</v>
      </c>
      <c r="AY203" s="14" t="s">
        <v>99</v>
      </c>
      <c r="AZ203" s="14" t="s">
        <v>99</v>
      </c>
      <c r="BA203" s="14" t="s">
        <v>99</v>
      </c>
      <c r="BB203" s="14" t="s">
        <v>99</v>
      </c>
      <c r="BC203" s="14" t="s">
        <v>99</v>
      </c>
      <c r="BD203" s="14">
        <v>24034.0</v>
      </c>
      <c r="BE203" s="14" t="s">
        <v>4314</v>
      </c>
      <c r="BF203" s="15" t="str">
        <f>HYPERLINK("http://dx.doi.org/10.1088/1748-9326/8/2/024034","http://dx.doi.org/10.1088/1748-9326/8/2/024034")</f>
        <v>http://dx.doi.org/10.1088/1748-9326/8/2/024034</v>
      </c>
      <c r="BG203" s="14" t="s">
        <v>99</v>
      </c>
      <c r="BH203" s="14" t="s">
        <v>99</v>
      </c>
      <c r="BI203" s="14">
        <v>13.0</v>
      </c>
      <c r="BJ203" s="14" t="s">
        <v>573</v>
      </c>
      <c r="BK203" s="14" t="s">
        <v>122</v>
      </c>
      <c r="BL203" s="14" t="s">
        <v>574</v>
      </c>
      <c r="BM203" s="14" t="s">
        <v>4315</v>
      </c>
      <c r="BN203" s="14" t="s">
        <v>99</v>
      </c>
      <c r="BO203" s="14" t="s">
        <v>576</v>
      </c>
      <c r="BP203" s="14" t="s">
        <v>99</v>
      </c>
      <c r="BQ203" s="14" t="s">
        <v>99</v>
      </c>
      <c r="BR203" s="14" t="s">
        <v>124</v>
      </c>
      <c r="BS203" s="14" t="s">
        <v>4316</v>
      </c>
      <c r="BT203" s="14" t="str">
        <f>HYPERLINK("https%3A%2F%2Fwww.webofscience.com%2Fwos%2Fwoscc%2Ffull-record%2FWOS:000321425100038","View Full Record in Web of Science")</f>
        <v>View Full Record in Web of Science</v>
      </c>
    </row>
    <row r="204" ht="12.75" customHeight="1">
      <c r="A204" s="14" t="s">
        <v>97</v>
      </c>
      <c r="B204" s="14" t="s">
        <v>4317</v>
      </c>
      <c r="C204" s="14" t="s">
        <v>99</v>
      </c>
      <c r="D204" s="14" t="s">
        <v>99</v>
      </c>
      <c r="E204" s="14" t="s">
        <v>99</v>
      </c>
      <c r="F204" s="14" t="s">
        <v>4318</v>
      </c>
      <c r="G204" s="14" t="s">
        <v>99</v>
      </c>
      <c r="H204" s="14" t="s">
        <v>99</v>
      </c>
      <c r="I204" s="14" t="s">
        <v>4319</v>
      </c>
      <c r="J204" s="14" t="s">
        <v>1605</v>
      </c>
      <c r="K204" s="14" t="s">
        <v>99</v>
      </c>
      <c r="L204" s="14" t="s">
        <v>99</v>
      </c>
      <c r="M204" s="14" t="s">
        <v>103</v>
      </c>
      <c r="N204" s="14" t="s">
        <v>104</v>
      </c>
      <c r="O204" s="14" t="s">
        <v>99</v>
      </c>
      <c r="P204" s="14" t="s">
        <v>99</v>
      </c>
      <c r="Q204" s="14" t="s">
        <v>99</v>
      </c>
      <c r="R204" s="14" t="s">
        <v>99</v>
      </c>
      <c r="S204" s="14" t="s">
        <v>99</v>
      </c>
      <c r="T204" s="14" t="s">
        <v>4320</v>
      </c>
      <c r="U204" s="14" t="s">
        <v>4321</v>
      </c>
      <c r="V204" s="14" t="s">
        <v>4322</v>
      </c>
      <c r="W204" s="14" t="s">
        <v>4323</v>
      </c>
      <c r="X204" s="14" t="s">
        <v>4324</v>
      </c>
      <c r="Y204" s="14" t="s">
        <v>4325</v>
      </c>
      <c r="Z204" s="14" t="s">
        <v>4326</v>
      </c>
      <c r="AA204" s="14" t="s">
        <v>4327</v>
      </c>
      <c r="AB204" s="14" t="s">
        <v>4328</v>
      </c>
      <c r="AC204" s="14" t="s">
        <v>4329</v>
      </c>
      <c r="AD204" s="14" t="s">
        <v>4330</v>
      </c>
      <c r="AE204" s="14" t="s">
        <v>4331</v>
      </c>
      <c r="AF204" s="14" t="s">
        <v>99</v>
      </c>
      <c r="AG204" s="14">
        <v>52.0</v>
      </c>
      <c r="AH204" s="14">
        <v>102.0</v>
      </c>
      <c r="AI204" s="14">
        <v>106.0</v>
      </c>
      <c r="AJ204" s="14">
        <v>5.0</v>
      </c>
      <c r="AK204" s="14">
        <v>167.0</v>
      </c>
      <c r="AL204" s="14" t="s">
        <v>341</v>
      </c>
      <c r="AM204" s="14" t="s">
        <v>342</v>
      </c>
      <c r="AN204" s="14" t="s">
        <v>343</v>
      </c>
      <c r="AO204" s="14" t="s">
        <v>1618</v>
      </c>
      <c r="AP204" s="14" t="s">
        <v>1619</v>
      </c>
      <c r="AQ204" s="14" t="s">
        <v>99</v>
      </c>
      <c r="AR204" s="14" t="s">
        <v>1620</v>
      </c>
      <c r="AS204" s="14" t="s">
        <v>1621</v>
      </c>
      <c r="AT204" s="14" t="s">
        <v>1485</v>
      </c>
      <c r="AU204" s="14">
        <v>2013.0</v>
      </c>
      <c r="AV204" s="14">
        <v>40.0</v>
      </c>
      <c r="AW204" s="14">
        <v>3.0</v>
      </c>
      <c r="AX204" s="14" t="s">
        <v>99</v>
      </c>
      <c r="AY204" s="14" t="s">
        <v>99</v>
      </c>
      <c r="AZ204" s="14" t="s">
        <v>99</v>
      </c>
      <c r="BA204" s="14" t="s">
        <v>99</v>
      </c>
      <c r="BB204" s="14">
        <v>534.0</v>
      </c>
      <c r="BC204" s="14">
        <v>547.0</v>
      </c>
      <c r="BD204" s="14" t="s">
        <v>99</v>
      </c>
      <c r="BE204" s="14" t="s">
        <v>4332</v>
      </c>
      <c r="BF204" s="15" t="str">
        <f>HYPERLINK("http://dx.doi.org/10.1111/jbi.12013","http://dx.doi.org/10.1111/jbi.12013")</f>
        <v>http://dx.doi.org/10.1111/jbi.12013</v>
      </c>
      <c r="BG204" s="14" t="s">
        <v>99</v>
      </c>
      <c r="BH204" s="14" t="s">
        <v>99</v>
      </c>
      <c r="BI204" s="14">
        <v>14.0</v>
      </c>
      <c r="BJ204" s="14" t="s">
        <v>869</v>
      </c>
      <c r="BK204" s="14" t="s">
        <v>122</v>
      </c>
      <c r="BL204" s="14" t="s">
        <v>870</v>
      </c>
      <c r="BM204" s="14" t="s">
        <v>4333</v>
      </c>
      <c r="BN204" s="14" t="s">
        <v>99</v>
      </c>
      <c r="BO204" s="14" t="s">
        <v>99</v>
      </c>
      <c r="BP204" s="14" t="s">
        <v>99</v>
      </c>
      <c r="BQ204" s="14" t="s">
        <v>99</v>
      </c>
      <c r="BR204" s="14" t="s">
        <v>124</v>
      </c>
      <c r="BS204" s="14" t="s">
        <v>4334</v>
      </c>
      <c r="BT204" s="14" t="str">
        <f>HYPERLINK("https%3A%2F%2Fwww.webofscience.com%2Fwos%2Fwoscc%2Ffull-record%2FWOS:000314922500011","View Full Record in Web of Science")</f>
        <v>View Full Record in Web of Science</v>
      </c>
    </row>
    <row r="205" ht="12.75" customHeight="1">
      <c r="A205" s="14" t="s">
        <v>97</v>
      </c>
      <c r="B205" s="14" t="s">
        <v>4335</v>
      </c>
      <c r="C205" s="14" t="s">
        <v>99</v>
      </c>
      <c r="D205" s="14" t="s">
        <v>99</v>
      </c>
      <c r="E205" s="14" t="s">
        <v>99</v>
      </c>
      <c r="F205" s="14" t="s">
        <v>4336</v>
      </c>
      <c r="G205" s="14" t="s">
        <v>99</v>
      </c>
      <c r="H205" s="14" t="s">
        <v>99</v>
      </c>
      <c r="I205" s="14" t="s">
        <v>4337</v>
      </c>
      <c r="J205" s="14" t="s">
        <v>328</v>
      </c>
      <c r="K205" s="14" t="s">
        <v>99</v>
      </c>
      <c r="L205" s="14" t="s">
        <v>99</v>
      </c>
      <c r="M205" s="14" t="s">
        <v>103</v>
      </c>
      <c r="N205" s="14" t="s">
        <v>104</v>
      </c>
      <c r="O205" s="14" t="s">
        <v>99</v>
      </c>
      <c r="P205" s="14" t="s">
        <v>99</v>
      </c>
      <c r="Q205" s="14" t="s">
        <v>99</v>
      </c>
      <c r="R205" s="14" t="s">
        <v>99</v>
      </c>
      <c r="S205" s="14" t="s">
        <v>99</v>
      </c>
      <c r="T205" s="14" t="s">
        <v>4338</v>
      </c>
      <c r="U205" s="14" t="s">
        <v>4339</v>
      </c>
      <c r="V205" s="14" t="s">
        <v>4340</v>
      </c>
      <c r="W205" s="14" t="s">
        <v>4341</v>
      </c>
      <c r="X205" s="14" t="s">
        <v>4342</v>
      </c>
      <c r="Y205" s="14" t="s">
        <v>4343</v>
      </c>
      <c r="Z205" s="14" t="s">
        <v>4344</v>
      </c>
      <c r="AA205" s="14" t="s">
        <v>4345</v>
      </c>
      <c r="AB205" s="14" t="s">
        <v>4346</v>
      </c>
      <c r="AC205" s="14" t="s">
        <v>4347</v>
      </c>
      <c r="AD205" s="14" t="s">
        <v>4348</v>
      </c>
      <c r="AE205" s="14" t="s">
        <v>4349</v>
      </c>
      <c r="AF205" s="14" t="s">
        <v>99</v>
      </c>
      <c r="AG205" s="14">
        <v>96.0</v>
      </c>
      <c r="AH205" s="14">
        <v>163.0</v>
      </c>
      <c r="AI205" s="14">
        <v>185.0</v>
      </c>
      <c r="AJ205" s="14">
        <v>3.0</v>
      </c>
      <c r="AK205" s="14">
        <v>293.0</v>
      </c>
      <c r="AL205" s="14" t="s">
        <v>341</v>
      </c>
      <c r="AM205" s="14" t="s">
        <v>342</v>
      </c>
      <c r="AN205" s="14" t="s">
        <v>343</v>
      </c>
      <c r="AO205" s="14" t="s">
        <v>344</v>
      </c>
      <c r="AP205" s="14" t="s">
        <v>345</v>
      </c>
      <c r="AQ205" s="14" t="s">
        <v>99</v>
      </c>
      <c r="AR205" s="14" t="s">
        <v>346</v>
      </c>
      <c r="AS205" s="14" t="s">
        <v>347</v>
      </c>
      <c r="AT205" s="14" t="s">
        <v>1485</v>
      </c>
      <c r="AU205" s="14">
        <v>2013.0</v>
      </c>
      <c r="AV205" s="14">
        <v>19.0</v>
      </c>
      <c r="AW205" s="14">
        <v>3.0</v>
      </c>
      <c r="AX205" s="14" t="s">
        <v>99</v>
      </c>
      <c r="AY205" s="14" t="s">
        <v>99</v>
      </c>
      <c r="AZ205" s="14" t="s">
        <v>99</v>
      </c>
      <c r="BA205" s="14" t="s">
        <v>99</v>
      </c>
      <c r="BB205" s="14">
        <v>752.0</v>
      </c>
      <c r="BC205" s="14">
        <v>762.0</v>
      </c>
      <c r="BD205" s="14" t="s">
        <v>99</v>
      </c>
      <c r="BE205" s="14" t="s">
        <v>4350</v>
      </c>
      <c r="BF205" s="15" t="str">
        <f>HYPERLINK("http://dx.doi.org/10.1111/gcb.12107","http://dx.doi.org/10.1111/gcb.12107")</f>
        <v>http://dx.doi.org/10.1111/gcb.12107</v>
      </c>
      <c r="BG205" s="14" t="s">
        <v>99</v>
      </c>
      <c r="BH205" s="14" t="s">
        <v>99</v>
      </c>
      <c r="BI205" s="14">
        <v>11.0</v>
      </c>
      <c r="BJ205" s="14" t="s">
        <v>351</v>
      </c>
      <c r="BK205" s="14" t="s">
        <v>122</v>
      </c>
      <c r="BL205" s="14" t="s">
        <v>352</v>
      </c>
      <c r="BM205" s="14" t="s">
        <v>4351</v>
      </c>
      <c r="BN205" s="14">
        <v>2.3504833E7</v>
      </c>
      <c r="BO205" s="14" t="s">
        <v>99</v>
      </c>
      <c r="BP205" s="14" t="s">
        <v>99</v>
      </c>
      <c r="BQ205" s="14" t="s">
        <v>99</v>
      </c>
      <c r="BR205" s="14" t="s">
        <v>124</v>
      </c>
      <c r="BS205" s="14" t="s">
        <v>4352</v>
      </c>
      <c r="BT205" s="14" t="str">
        <f>HYPERLINK("https%3A%2F%2Fwww.webofscience.com%2Fwos%2Fwoscc%2Ffull-record%2FWOS:000314219700008","View Full Record in Web of Science")</f>
        <v>View Full Record in Web of Science</v>
      </c>
    </row>
    <row r="206" ht="12.75" customHeight="1">
      <c r="A206" s="14" t="s">
        <v>97</v>
      </c>
      <c r="B206" s="14" t="s">
        <v>4353</v>
      </c>
      <c r="C206" s="14" t="s">
        <v>99</v>
      </c>
      <c r="D206" s="14" t="s">
        <v>99</v>
      </c>
      <c r="E206" s="14" t="s">
        <v>99</v>
      </c>
      <c r="F206" s="14" t="s">
        <v>4354</v>
      </c>
      <c r="G206" s="14" t="s">
        <v>99</v>
      </c>
      <c r="H206" s="14" t="s">
        <v>99</v>
      </c>
      <c r="I206" s="14" t="s">
        <v>4355</v>
      </c>
      <c r="J206" s="14" t="s">
        <v>4356</v>
      </c>
      <c r="K206" s="14" t="s">
        <v>99</v>
      </c>
      <c r="L206" s="14" t="s">
        <v>99</v>
      </c>
      <c r="M206" s="14" t="s">
        <v>103</v>
      </c>
      <c r="N206" s="14" t="s">
        <v>104</v>
      </c>
      <c r="O206" s="14" t="s">
        <v>99</v>
      </c>
      <c r="P206" s="14" t="s">
        <v>99</v>
      </c>
      <c r="Q206" s="14" t="s">
        <v>99</v>
      </c>
      <c r="R206" s="14" t="s">
        <v>99</v>
      </c>
      <c r="S206" s="14" t="s">
        <v>99</v>
      </c>
      <c r="T206" s="14" t="s">
        <v>4357</v>
      </c>
      <c r="U206" s="14" t="s">
        <v>4358</v>
      </c>
      <c r="V206" s="14" t="s">
        <v>4359</v>
      </c>
      <c r="W206" s="14" t="s">
        <v>4360</v>
      </c>
      <c r="X206" s="14" t="s">
        <v>4361</v>
      </c>
      <c r="Y206" s="14" t="s">
        <v>4362</v>
      </c>
      <c r="Z206" s="14" t="s">
        <v>4363</v>
      </c>
      <c r="AA206" s="14" t="s">
        <v>4364</v>
      </c>
      <c r="AB206" s="14" t="s">
        <v>99</v>
      </c>
      <c r="AC206" s="14" t="s">
        <v>4365</v>
      </c>
      <c r="AD206" s="14" t="s">
        <v>4366</v>
      </c>
      <c r="AE206" s="14" t="s">
        <v>4367</v>
      </c>
      <c r="AF206" s="14" t="s">
        <v>99</v>
      </c>
      <c r="AG206" s="14">
        <v>48.0</v>
      </c>
      <c r="AH206" s="14">
        <v>9.0</v>
      </c>
      <c r="AI206" s="14">
        <v>15.0</v>
      </c>
      <c r="AJ206" s="14">
        <v>0.0</v>
      </c>
      <c r="AK206" s="14">
        <v>160.0</v>
      </c>
      <c r="AL206" s="14" t="s">
        <v>1731</v>
      </c>
      <c r="AM206" s="14" t="s">
        <v>1594</v>
      </c>
      <c r="AN206" s="14" t="s">
        <v>3448</v>
      </c>
      <c r="AO206" s="14" t="s">
        <v>4368</v>
      </c>
      <c r="AP206" s="14" t="s">
        <v>4369</v>
      </c>
      <c r="AQ206" s="14" t="s">
        <v>99</v>
      </c>
      <c r="AR206" s="14" t="s">
        <v>4370</v>
      </c>
      <c r="AS206" s="14" t="s">
        <v>4371</v>
      </c>
      <c r="AT206" s="14" t="s">
        <v>1485</v>
      </c>
      <c r="AU206" s="14">
        <v>2013.0</v>
      </c>
      <c r="AV206" s="14">
        <v>7.0</v>
      </c>
      <c r="AW206" s="14">
        <v>1.0</v>
      </c>
      <c r="AX206" s="14" t="s">
        <v>99</v>
      </c>
      <c r="AY206" s="14" t="s">
        <v>99</v>
      </c>
      <c r="AZ206" s="14" t="s">
        <v>99</v>
      </c>
      <c r="BA206" s="14" t="s">
        <v>99</v>
      </c>
      <c r="BB206" s="14">
        <v>92.0</v>
      </c>
      <c r="BC206" s="14">
        <v>102.0</v>
      </c>
      <c r="BD206" s="14" t="s">
        <v>99</v>
      </c>
      <c r="BE206" s="14" t="s">
        <v>4372</v>
      </c>
      <c r="BF206" s="15" t="str">
        <f>HYPERLINK("http://dx.doi.org/10.1007/s11707-012-0335-x","http://dx.doi.org/10.1007/s11707-012-0335-x")</f>
        <v>http://dx.doi.org/10.1007/s11707-012-0335-x</v>
      </c>
      <c r="BG206" s="14" t="s">
        <v>99</v>
      </c>
      <c r="BH206" s="14" t="s">
        <v>99</v>
      </c>
      <c r="BI206" s="14">
        <v>11.0</v>
      </c>
      <c r="BJ206" s="14" t="s">
        <v>990</v>
      </c>
      <c r="BK206" s="14" t="s">
        <v>122</v>
      </c>
      <c r="BL206" s="14" t="s">
        <v>991</v>
      </c>
      <c r="BM206" s="14" t="s">
        <v>4373</v>
      </c>
      <c r="BN206" s="14" t="s">
        <v>99</v>
      </c>
      <c r="BO206" s="14" t="s">
        <v>99</v>
      </c>
      <c r="BP206" s="14" t="s">
        <v>99</v>
      </c>
      <c r="BQ206" s="14" t="s">
        <v>99</v>
      </c>
      <c r="BR206" s="14" t="s">
        <v>124</v>
      </c>
      <c r="BS206" s="14" t="s">
        <v>4374</v>
      </c>
      <c r="BT206" s="14" t="str">
        <f>HYPERLINK("https%3A%2F%2Fwww.webofscience.com%2Fwos%2Fwoscc%2Ffull-record%2FWOS:000314279400009","View Full Record in Web of Science")</f>
        <v>View Full Record in Web of Science</v>
      </c>
    </row>
    <row r="207" ht="12.75" customHeight="1">
      <c r="A207" s="14" t="s">
        <v>97</v>
      </c>
      <c r="B207" s="14" t="s">
        <v>4375</v>
      </c>
      <c r="C207" s="14" t="s">
        <v>99</v>
      </c>
      <c r="D207" s="14" t="s">
        <v>99</v>
      </c>
      <c r="E207" s="14" t="s">
        <v>99</v>
      </c>
      <c r="F207" s="14" t="s">
        <v>4376</v>
      </c>
      <c r="G207" s="14" t="s">
        <v>99</v>
      </c>
      <c r="H207" s="14" t="s">
        <v>99</v>
      </c>
      <c r="I207" s="14" t="s">
        <v>4377</v>
      </c>
      <c r="J207" s="14" t="s">
        <v>4378</v>
      </c>
      <c r="K207" s="14" t="s">
        <v>99</v>
      </c>
      <c r="L207" s="14" t="s">
        <v>99</v>
      </c>
      <c r="M207" s="14" t="s">
        <v>103</v>
      </c>
      <c r="N207" s="14" t="s">
        <v>104</v>
      </c>
      <c r="O207" s="14" t="s">
        <v>99</v>
      </c>
      <c r="P207" s="14" t="s">
        <v>99</v>
      </c>
      <c r="Q207" s="14" t="s">
        <v>99</v>
      </c>
      <c r="R207" s="14" t="s">
        <v>99</v>
      </c>
      <c r="S207" s="14" t="s">
        <v>99</v>
      </c>
      <c r="T207" s="14" t="s">
        <v>99</v>
      </c>
      <c r="U207" s="14" t="s">
        <v>99</v>
      </c>
      <c r="V207" s="14" t="s">
        <v>99</v>
      </c>
      <c r="W207" s="14" t="s">
        <v>4379</v>
      </c>
      <c r="X207" s="14" t="s">
        <v>4380</v>
      </c>
      <c r="Y207" s="14" t="s">
        <v>4381</v>
      </c>
      <c r="Z207" s="14" t="s">
        <v>99</v>
      </c>
      <c r="AA207" s="14" t="s">
        <v>4382</v>
      </c>
      <c r="AB207" s="14" t="s">
        <v>99</v>
      </c>
      <c r="AC207" s="14" t="s">
        <v>99</v>
      </c>
      <c r="AD207" s="14" t="s">
        <v>99</v>
      </c>
      <c r="AE207" s="14" t="s">
        <v>99</v>
      </c>
      <c r="AF207" s="14" t="s">
        <v>99</v>
      </c>
      <c r="AG207" s="14">
        <v>35.0</v>
      </c>
      <c r="AH207" s="14">
        <v>84.0</v>
      </c>
      <c r="AI207" s="14">
        <v>96.0</v>
      </c>
      <c r="AJ207" s="14">
        <v>0.0</v>
      </c>
      <c r="AK207" s="14">
        <v>48.0</v>
      </c>
      <c r="AL207" s="14" t="s">
        <v>341</v>
      </c>
      <c r="AM207" s="14" t="s">
        <v>342</v>
      </c>
      <c r="AN207" s="14" t="s">
        <v>343</v>
      </c>
      <c r="AO207" s="14" t="s">
        <v>4383</v>
      </c>
      <c r="AP207" s="14" t="s">
        <v>4384</v>
      </c>
      <c r="AQ207" s="14" t="s">
        <v>99</v>
      </c>
      <c r="AR207" s="14" t="s">
        <v>4385</v>
      </c>
      <c r="AS207" s="14" t="s">
        <v>4386</v>
      </c>
      <c r="AT207" s="14" t="s">
        <v>280</v>
      </c>
      <c r="AU207" s="14">
        <v>2013.0</v>
      </c>
      <c r="AV207" s="14">
        <v>38.0</v>
      </c>
      <c r="AW207" s="14" t="s">
        <v>99</v>
      </c>
      <c r="AX207" s="14" t="s">
        <v>99</v>
      </c>
      <c r="AY207" s="14">
        <v>1.0</v>
      </c>
      <c r="AZ207" s="14" t="s">
        <v>99</v>
      </c>
      <c r="BA207" s="14" t="s">
        <v>99</v>
      </c>
      <c r="BB207" s="14">
        <v>221.0</v>
      </c>
      <c r="BC207" s="14">
        <v>242.0</v>
      </c>
      <c r="BD207" s="14" t="s">
        <v>99</v>
      </c>
      <c r="BE207" s="14" t="s">
        <v>4387</v>
      </c>
      <c r="BF207" s="15" t="str">
        <f>HYPERLINK("http://dx.doi.org/10.1111/j.1728-4457.2013.00561.x","http://dx.doi.org/10.1111/j.1728-4457.2013.00561.x")</f>
        <v>http://dx.doi.org/10.1111/j.1728-4457.2013.00561.x</v>
      </c>
      <c r="BG207" s="14" t="s">
        <v>99</v>
      </c>
      <c r="BH207" s="14" t="s">
        <v>99</v>
      </c>
      <c r="BI207" s="14">
        <v>22.0</v>
      </c>
      <c r="BJ207" s="14" t="s">
        <v>4388</v>
      </c>
      <c r="BK207" s="14" t="s">
        <v>643</v>
      </c>
      <c r="BL207" s="14" t="s">
        <v>4388</v>
      </c>
      <c r="BM207" s="14" t="s">
        <v>4389</v>
      </c>
      <c r="BN207" s="14" t="s">
        <v>99</v>
      </c>
      <c r="BO207" s="14" t="s">
        <v>99</v>
      </c>
      <c r="BP207" s="14" t="s">
        <v>99</v>
      </c>
      <c r="BQ207" s="14" t="s">
        <v>99</v>
      </c>
      <c r="BR207" s="14" t="s">
        <v>124</v>
      </c>
      <c r="BS207" s="14" t="s">
        <v>4390</v>
      </c>
      <c r="BT207" s="14" t="str">
        <f>HYPERLINK("https%3A%2F%2Fwww.webofscience.com%2Fwos%2Fwoscc%2Ffull-record%2FWOS:000315224500015","View Full Record in Web of Science")</f>
        <v>View Full Record in Web of Science</v>
      </c>
    </row>
    <row r="208" ht="12.75" customHeight="1">
      <c r="A208" s="14" t="s">
        <v>97</v>
      </c>
      <c r="B208" s="14" t="s">
        <v>4391</v>
      </c>
      <c r="C208" s="14" t="s">
        <v>99</v>
      </c>
      <c r="D208" s="14" t="s">
        <v>99</v>
      </c>
      <c r="E208" s="14" t="s">
        <v>99</v>
      </c>
      <c r="F208" s="14" t="s">
        <v>4392</v>
      </c>
      <c r="G208" s="14" t="s">
        <v>99</v>
      </c>
      <c r="H208" s="14" t="s">
        <v>99</v>
      </c>
      <c r="I208" s="14" t="s">
        <v>4393</v>
      </c>
      <c r="J208" s="14" t="s">
        <v>2500</v>
      </c>
      <c r="K208" s="14" t="s">
        <v>99</v>
      </c>
      <c r="L208" s="14" t="s">
        <v>99</v>
      </c>
      <c r="M208" s="14" t="s">
        <v>103</v>
      </c>
      <c r="N208" s="14" t="s">
        <v>104</v>
      </c>
      <c r="O208" s="14" t="s">
        <v>99</v>
      </c>
      <c r="P208" s="14" t="s">
        <v>99</v>
      </c>
      <c r="Q208" s="14" t="s">
        <v>99</v>
      </c>
      <c r="R208" s="14" t="s">
        <v>99</v>
      </c>
      <c r="S208" s="14" t="s">
        <v>99</v>
      </c>
      <c r="T208" s="14" t="s">
        <v>99</v>
      </c>
      <c r="U208" s="14" t="s">
        <v>4394</v>
      </c>
      <c r="V208" s="14" t="s">
        <v>4395</v>
      </c>
      <c r="W208" s="14" t="s">
        <v>4396</v>
      </c>
      <c r="X208" s="14" t="s">
        <v>4397</v>
      </c>
      <c r="Y208" s="14" t="s">
        <v>4398</v>
      </c>
      <c r="Z208" s="14" t="s">
        <v>3757</v>
      </c>
      <c r="AA208" s="14" t="s">
        <v>4399</v>
      </c>
      <c r="AB208" s="14" t="s">
        <v>4400</v>
      </c>
      <c r="AC208" s="14" t="s">
        <v>4401</v>
      </c>
      <c r="AD208" s="14" t="s">
        <v>4402</v>
      </c>
      <c r="AE208" s="14" t="s">
        <v>4403</v>
      </c>
      <c r="AF208" s="14" t="s">
        <v>99</v>
      </c>
      <c r="AG208" s="14">
        <v>53.0</v>
      </c>
      <c r="AH208" s="14">
        <v>63.0</v>
      </c>
      <c r="AI208" s="14">
        <v>70.0</v>
      </c>
      <c r="AJ208" s="14">
        <v>1.0</v>
      </c>
      <c r="AK208" s="14">
        <v>11.0</v>
      </c>
      <c r="AL208" s="14" t="s">
        <v>2512</v>
      </c>
      <c r="AM208" s="14" t="s">
        <v>2513</v>
      </c>
      <c r="AN208" s="14" t="s">
        <v>2514</v>
      </c>
      <c r="AO208" s="14" t="s">
        <v>2515</v>
      </c>
      <c r="AP208" s="14" t="s">
        <v>99</v>
      </c>
      <c r="AQ208" s="14" t="s">
        <v>99</v>
      </c>
      <c r="AR208" s="14" t="s">
        <v>2500</v>
      </c>
      <c r="AS208" s="14" t="s">
        <v>2516</v>
      </c>
      <c r="AT208" s="14" t="s">
        <v>4404</v>
      </c>
      <c r="AU208" s="14">
        <v>2013.0</v>
      </c>
      <c r="AV208" s="14">
        <v>8.0</v>
      </c>
      <c r="AW208" s="14">
        <v>1.0</v>
      </c>
      <c r="AX208" s="14" t="s">
        <v>99</v>
      </c>
      <c r="AY208" s="14" t="s">
        <v>99</v>
      </c>
      <c r="AZ208" s="14" t="s">
        <v>99</v>
      </c>
      <c r="BA208" s="14" t="s">
        <v>99</v>
      </c>
      <c r="BB208" s="14" t="s">
        <v>99</v>
      </c>
      <c r="BC208" s="14" t="s">
        <v>99</v>
      </c>
      <c r="BD208" s="14" t="s">
        <v>4405</v>
      </c>
      <c r="BE208" s="14" t="s">
        <v>4406</v>
      </c>
      <c r="BF208" s="15" t="str">
        <f>HYPERLINK("http://dx.doi.org/10.1371/journal.pone.0055461","http://dx.doi.org/10.1371/journal.pone.0055461")</f>
        <v>http://dx.doi.org/10.1371/journal.pone.0055461</v>
      </c>
      <c r="BG208" s="14" t="s">
        <v>99</v>
      </c>
      <c r="BH208" s="14" t="s">
        <v>99</v>
      </c>
      <c r="BI208" s="14">
        <v>9.0</v>
      </c>
      <c r="BJ208" s="14" t="s">
        <v>799</v>
      </c>
      <c r="BK208" s="14" t="s">
        <v>122</v>
      </c>
      <c r="BL208" s="14" t="s">
        <v>801</v>
      </c>
      <c r="BM208" s="14" t="s">
        <v>4407</v>
      </c>
      <c r="BN208" s="14">
        <v>2.3383196E7</v>
      </c>
      <c r="BO208" s="14" t="s">
        <v>1251</v>
      </c>
      <c r="BP208" s="14" t="s">
        <v>99</v>
      </c>
      <c r="BQ208" s="14" t="s">
        <v>99</v>
      </c>
      <c r="BR208" s="14" t="s">
        <v>124</v>
      </c>
      <c r="BS208" s="14" t="s">
        <v>4408</v>
      </c>
      <c r="BT208" s="14" t="str">
        <f>HYPERLINK("https%3A%2F%2Fwww.webofscience.com%2Fwos%2Fwoscc%2Ffull-record%2FWOS:000315483200052","View Full Record in Web of Science")</f>
        <v>View Full Record in Web of Science</v>
      </c>
    </row>
    <row r="209" ht="12.75" customHeight="1">
      <c r="A209" s="14" t="s">
        <v>97</v>
      </c>
      <c r="B209" s="14" t="s">
        <v>4409</v>
      </c>
      <c r="C209" s="14" t="s">
        <v>99</v>
      </c>
      <c r="D209" s="14" t="s">
        <v>99</v>
      </c>
      <c r="E209" s="14" t="s">
        <v>99</v>
      </c>
      <c r="F209" s="14" t="s">
        <v>4410</v>
      </c>
      <c r="G209" s="14" t="s">
        <v>99</v>
      </c>
      <c r="H209" s="14" t="s">
        <v>99</v>
      </c>
      <c r="I209" s="14" t="s">
        <v>4411</v>
      </c>
      <c r="J209" s="14" t="s">
        <v>2500</v>
      </c>
      <c r="K209" s="14" t="s">
        <v>99</v>
      </c>
      <c r="L209" s="14" t="s">
        <v>99</v>
      </c>
      <c r="M209" s="14" t="s">
        <v>103</v>
      </c>
      <c r="N209" s="14" t="s">
        <v>104</v>
      </c>
      <c r="O209" s="14" t="s">
        <v>99</v>
      </c>
      <c r="P209" s="14" t="s">
        <v>99</v>
      </c>
      <c r="Q209" s="14" t="s">
        <v>99</v>
      </c>
      <c r="R209" s="14" t="s">
        <v>99</v>
      </c>
      <c r="S209" s="14" t="s">
        <v>99</v>
      </c>
      <c r="T209" s="14" t="s">
        <v>99</v>
      </c>
      <c r="U209" s="14" t="s">
        <v>4412</v>
      </c>
      <c r="V209" s="14" t="s">
        <v>4413</v>
      </c>
      <c r="W209" s="14" t="s">
        <v>4414</v>
      </c>
      <c r="X209" s="14" t="s">
        <v>4415</v>
      </c>
      <c r="Y209" s="14" t="s">
        <v>4416</v>
      </c>
      <c r="Z209" s="14" t="s">
        <v>4417</v>
      </c>
      <c r="AA209" s="14" t="s">
        <v>4418</v>
      </c>
      <c r="AB209" s="14" t="s">
        <v>4419</v>
      </c>
      <c r="AC209" s="14" t="s">
        <v>4420</v>
      </c>
      <c r="AD209" s="14" t="s">
        <v>4421</v>
      </c>
      <c r="AE209" s="14" t="s">
        <v>4422</v>
      </c>
      <c r="AF209" s="14" t="s">
        <v>99</v>
      </c>
      <c r="AG209" s="14">
        <v>42.0</v>
      </c>
      <c r="AH209" s="14">
        <v>31.0</v>
      </c>
      <c r="AI209" s="14">
        <v>33.0</v>
      </c>
      <c r="AJ209" s="14">
        <v>0.0</v>
      </c>
      <c r="AK209" s="14">
        <v>116.0</v>
      </c>
      <c r="AL209" s="14" t="s">
        <v>2512</v>
      </c>
      <c r="AM209" s="14" t="s">
        <v>2513</v>
      </c>
      <c r="AN209" s="14" t="s">
        <v>2514</v>
      </c>
      <c r="AO209" s="14" t="s">
        <v>2515</v>
      </c>
      <c r="AP209" s="14" t="s">
        <v>99</v>
      </c>
      <c r="AQ209" s="14" t="s">
        <v>99</v>
      </c>
      <c r="AR209" s="14" t="s">
        <v>2500</v>
      </c>
      <c r="AS209" s="14" t="s">
        <v>2516</v>
      </c>
      <c r="AT209" s="14" t="s">
        <v>4423</v>
      </c>
      <c r="AU209" s="14">
        <v>2013.0</v>
      </c>
      <c r="AV209" s="14">
        <v>8.0</v>
      </c>
      <c r="AW209" s="14">
        <v>1.0</v>
      </c>
      <c r="AX209" s="14" t="s">
        <v>99</v>
      </c>
      <c r="AY209" s="14" t="s">
        <v>99</v>
      </c>
      <c r="AZ209" s="14" t="s">
        <v>99</v>
      </c>
      <c r="BA209" s="14" t="s">
        <v>99</v>
      </c>
      <c r="BB209" s="14" t="s">
        <v>99</v>
      </c>
      <c r="BC209" s="14" t="s">
        <v>99</v>
      </c>
      <c r="BD209" s="14" t="s">
        <v>4424</v>
      </c>
      <c r="BE209" s="14" t="s">
        <v>4425</v>
      </c>
      <c r="BF209" s="15" t="str">
        <f>HYPERLINK("http://dx.doi.org/10.1371/journal.pone.0054818","http://dx.doi.org/10.1371/journal.pone.0054818")</f>
        <v>http://dx.doi.org/10.1371/journal.pone.0054818</v>
      </c>
      <c r="BG209" s="14" t="s">
        <v>99</v>
      </c>
      <c r="BH209" s="14" t="s">
        <v>99</v>
      </c>
      <c r="BI209" s="14">
        <v>7.0</v>
      </c>
      <c r="BJ209" s="14" t="s">
        <v>799</v>
      </c>
      <c r="BK209" s="14" t="s">
        <v>122</v>
      </c>
      <c r="BL209" s="14" t="s">
        <v>801</v>
      </c>
      <c r="BM209" s="14" t="s">
        <v>4426</v>
      </c>
      <c r="BN209" s="14">
        <v>2.3382979E7</v>
      </c>
      <c r="BO209" s="14" t="s">
        <v>1251</v>
      </c>
      <c r="BP209" s="14" t="s">
        <v>99</v>
      </c>
      <c r="BQ209" s="14" t="s">
        <v>99</v>
      </c>
      <c r="BR209" s="14" t="s">
        <v>124</v>
      </c>
      <c r="BS209" s="14" t="s">
        <v>4427</v>
      </c>
      <c r="BT209" s="14" t="str">
        <f>HYPERLINK("https%3A%2F%2Fwww.webofscience.com%2Fwos%2Fwoscc%2Ffull-record%2FWOS:000315211500031","View Full Record in Web of Science")</f>
        <v>View Full Record in Web of Science</v>
      </c>
    </row>
    <row r="210" ht="12.75" customHeight="1">
      <c r="A210" s="14" t="s">
        <v>97</v>
      </c>
      <c r="B210" s="14" t="s">
        <v>4428</v>
      </c>
      <c r="C210" s="14" t="s">
        <v>99</v>
      </c>
      <c r="D210" s="14" t="s">
        <v>99</v>
      </c>
      <c r="E210" s="14" t="s">
        <v>99</v>
      </c>
      <c r="F210" s="14" t="s">
        <v>4429</v>
      </c>
      <c r="G210" s="14" t="s">
        <v>99</v>
      </c>
      <c r="H210" s="14" t="s">
        <v>99</v>
      </c>
      <c r="I210" s="14" t="s">
        <v>4430</v>
      </c>
      <c r="J210" s="14" t="s">
        <v>2500</v>
      </c>
      <c r="K210" s="14" t="s">
        <v>99</v>
      </c>
      <c r="L210" s="14" t="s">
        <v>99</v>
      </c>
      <c r="M210" s="14" t="s">
        <v>103</v>
      </c>
      <c r="N210" s="14" t="s">
        <v>104</v>
      </c>
      <c r="O210" s="14" t="s">
        <v>99</v>
      </c>
      <c r="P210" s="14" t="s">
        <v>99</v>
      </c>
      <c r="Q210" s="14" t="s">
        <v>99</v>
      </c>
      <c r="R210" s="14" t="s">
        <v>99</v>
      </c>
      <c r="S210" s="14" t="s">
        <v>99</v>
      </c>
      <c r="T210" s="14" t="s">
        <v>99</v>
      </c>
      <c r="U210" s="14" t="s">
        <v>4431</v>
      </c>
      <c r="V210" s="14" t="s">
        <v>4432</v>
      </c>
      <c r="W210" s="14" t="s">
        <v>4433</v>
      </c>
      <c r="X210" s="14" t="s">
        <v>4434</v>
      </c>
      <c r="Y210" s="14" t="s">
        <v>4435</v>
      </c>
      <c r="Z210" s="14" t="s">
        <v>4436</v>
      </c>
      <c r="AA210" s="14" t="s">
        <v>4437</v>
      </c>
      <c r="AB210" s="14" t="s">
        <v>4438</v>
      </c>
      <c r="AC210" s="14" t="s">
        <v>4439</v>
      </c>
      <c r="AD210" s="14" t="s">
        <v>4440</v>
      </c>
      <c r="AE210" s="14" t="s">
        <v>4441</v>
      </c>
      <c r="AF210" s="14" t="s">
        <v>99</v>
      </c>
      <c r="AG210" s="14">
        <v>78.0</v>
      </c>
      <c r="AH210" s="14">
        <v>117.0</v>
      </c>
      <c r="AI210" s="14">
        <v>124.0</v>
      </c>
      <c r="AJ210" s="14">
        <v>3.0</v>
      </c>
      <c r="AK210" s="14">
        <v>262.0</v>
      </c>
      <c r="AL210" s="14" t="s">
        <v>2512</v>
      </c>
      <c r="AM210" s="14" t="s">
        <v>2513</v>
      </c>
      <c r="AN210" s="14" t="s">
        <v>2514</v>
      </c>
      <c r="AO210" s="14" t="s">
        <v>2515</v>
      </c>
      <c r="AP210" s="14" t="s">
        <v>99</v>
      </c>
      <c r="AQ210" s="14" t="s">
        <v>99</v>
      </c>
      <c r="AR210" s="14" t="s">
        <v>2500</v>
      </c>
      <c r="AS210" s="14" t="s">
        <v>2516</v>
      </c>
      <c r="AT210" s="14" t="s">
        <v>4442</v>
      </c>
      <c r="AU210" s="14">
        <v>2013.0</v>
      </c>
      <c r="AV210" s="14">
        <v>8.0</v>
      </c>
      <c r="AW210" s="14">
        <v>1.0</v>
      </c>
      <c r="AX210" s="14" t="s">
        <v>99</v>
      </c>
      <c r="AY210" s="14" t="s">
        <v>99</v>
      </c>
      <c r="AZ210" s="14" t="s">
        <v>99</v>
      </c>
      <c r="BA210" s="14" t="s">
        <v>99</v>
      </c>
      <c r="BB210" s="14" t="s">
        <v>99</v>
      </c>
      <c r="BC210" s="14" t="s">
        <v>99</v>
      </c>
      <c r="BD210" s="14" t="s">
        <v>4443</v>
      </c>
      <c r="BE210" s="14" t="s">
        <v>4444</v>
      </c>
      <c r="BF210" s="15" t="str">
        <f>HYPERLINK("http://dx.doi.org/10.1371/journal.pone.0054216","http://dx.doi.org/10.1371/journal.pone.0054216")</f>
        <v>http://dx.doi.org/10.1371/journal.pone.0054216</v>
      </c>
      <c r="BG210" s="14" t="s">
        <v>99</v>
      </c>
      <c r="BH210" s="14" t="s">
        <v>99</v>
      </c>
      <c r="BI210" s="14">
        <v>13.0</v>
      </c>
      <c r="BJ210" s="14" t="s">
        <v>799</v>
      </c>
      <c r="BK210" s="14" t="s">
        <v>122</v>
      </c>
      <c r="BL210" s="14" t="s">
        <v>801</v>
      </c>
      <c r="BM210" s="14" t="s">
        <v>4445</v>
      </c>
      <c r="BN210" s="14">
        <v>2.3349829E7</v>
      </c>
      <c r="BO210" s="14" t="s">
        <v>1251</v>
      </c>
      <c r="BP210" s="14" t="s">
        <v>99</v>
      </c>
      <c r="BQ210" s="14" t="s">
        <v>99</v>
      </c>
      <c r="BR210" s="14" t="s">
        <v>124</v>
      </c>
      <c r="BS210" s="14" t="s">
        <v>4446</v>
      </c>
      <c r="BT210" s="14" t="str">
        <f>HYPERLINK("https%3A%2F%2Fwww.webofscience.com%2Fwos%2Fwoscc%2Ffull-record%2FWOS:000314019100051","View Full Record in Web of Science")</f>
        <v>View Full Record in Web of Science</v>
      </c>
    </row>
    <row r="211" ht="12.75" customHeight="1">
      <c r="A211" s="14" t="s">
        <v>97</v>
      </c>
      <c r="B211" s="14" t="s">
        <v>4447</v>
      </c>
      <c r="C211" s="14" t="s">
        <v>99</v>
      </c>
      <c r="D211" s="14" t="s">
        <v>99</v>
      </c>
      <c r="E211" s="14" t="s">
        <v>99</v>
      </c>
      <c r="F211" s="14" t="s">
        <v>4448</v>
      </c>
      <c r="G211" s="14" t="s">
        <v>99</v>
      </c>
      <c r="H211" s="14" t="s">
        <v>99</v>
      </c>
      <c r="I211" s="14" t="s">
        <v>4449</v>
      </c>
      <c r="J211" s="14" t="s">
        <v>4450</v>
      </c>
      <c r="K211" s="14" t="s">
        <v>99</v>
      </c>
      <c r="L211" s="14" t="s">
        <v>99</v>
      </c>
      <c r="M211" s="14" t="s">
        <v>103</v>
      </c>
      <c r="N211" s="14" t="s">
        <v>104</v>
      </c>
      <c r="O211" s="14" t="s">
        <v>99</v>
      </c>
      <c r="P211" s="14" t="s">
        <v>99</v>
      </c>
      <c r="Q211" s="14" t="s">
        <v>99</v>
      </c>
      <c r="R211" s="14" t="s">
        <v>99</v>
      </c>
      <c r="S211" s="14" t="s">
        <v>99</v>
      </c>
      <c r="T211" s="14" t="s">
        <v>4451</v>
      </c>
      <c r="U211" s="14" t="s">
        <v>4452</v>
      </c>
      <c r="V211" s="14" t="s">
        <v>4453</v>
      </c>
      <c r="W211" s="14" t="s">
        <v>4454</v>
      </c>
      <c r="X211" s="14" t="s">
        <v>99</v>
      </c>
      <c r="Y211" s="14" t="s">
        <v>4455</v>
      </c>
      <c r="Z211" s="14" t="s">
        <v>4456</v>
      </c>
      <c r="AA211" s="14" t="s">
        <v>4457</v>
      </c>
      <c r="AB211" s="14" t="s">
        <v>4458</v>
      </c>
      <c r="AC211" s="14" t="s">
        <v>99</v>
      </c>
      <c r="AD211" s="14" t="s">
        <v>99</v>
      </c>
      <c r="AE211" s="14" t="s">
        <v>99</v>
      </c>
      <c r="AF211" s="14" t="s">
        <v>99</v>
      </c>
      <c r="AG211" s="14">
        <v>21.0</v>
      </c>
      <c r="AH211" s="14">
        <v>3.0</v>
      </c>
      <c r="AI211" s="14">
        <v>4.0</v>
      </c>
      <c r="AJ211" s="14">
        <v>0.0</v>
      </c>
      <c r="AK211" s="14">
        <v>16.0</v>
      </c>
      <c r="AL211" s="14" t="s">
        <v>4459</v>
      </c>
      <c r="AM211" s="14" t="s">
        <v>4460</v>
      </c>
      <c r="AN211" s="14" t="s">
        <v>4461</v>
      </c>
      <c r="AO211" s="14" t="s">
        <v>4462</v>
      </c>
      <c r="AP211" s="14" t="s">
        <v>4463</v>
      </c>
      <c r="AQ211" s="14" t="s">
        <v>99</v>
      </c>
      <c r="AR211" s="14" t="s">
        <v>4464</v>
      </c>
      <c r="AS211" s="14" t="s">
        <v>4465</v>
      </c>
      <c r="AT211" s="14" t="s">
        <v>99</v>
      </c>
      <c r="AU211" s="14">
        <v>2013.0</v>
      </c>
      <c r="AV211" s="14">
        <v>11.0</v>
      </c>
      <c r="AW211" s="14">
        <v>1.0</v>
      </c>
      <c r="AX211" s="14" t="s">
        <v>99</v>
      </c>
      <c r="AY211" s="14" t="s">
        <v>99</v>
      </c>
      <c r="AZ211" s="14" t="s">
        <v>99</v>
      </c>
      <c r="BA211" s="14" t="s">
        <v>99</v>
      </c>
      <c r="BB211" s="14">
        <v>123.0</v>
      </c>
      <c r="BC211" s="14">
        <v>136.0</v>
      </c>
      <c r="BD211" s="14" t="s">
        <v>99</v>
      </c>
      <c r="BE211" s="14" t="s">
        <v>4466</v>
      </c>
      <c r="BF211" s="15" t="str">
        <f>HYPERLINK("http://dx.doi.org/10.15666/aeer/1101_123136","http://dx.doi.org/10.15666/aeer/1101_123136")</f>
        <v>http://dx.doi.org/10.15666/aeer/1101_123136</v>
      </c>
      <c r="BG211" s="14" t="s">
        <v>99</v>
      </c>
      <c r="BH211" s="14" t="s">
        <v>99</v>
      </c>
      <c r="BI211" s="14">
        <v>14.0</v>
      </c>
      <c r="BJ211" s="14" t="s">
        <v>423</v>
      </c>
      <c r="BK211" s="14" t="s">
        <v>122</v>
      </c>
      <c r="BL211" s="14" t="s">
        <v>260</v>
      </c>
      <c r="BM211" s="14" t="s">
        <v>4467</v>
      </c>
      <c r="BN211" s="14" t="s">
        <v>99</v>
      </c>
      <c r="BO211" s="14" t="s">
        <v>238</v>
      </c>
      <c r="BP211" s="14" t="s">
        <v>99</v>
      </c>
      <c r="BQ211" s="14" t="s">
        <v>99</v>
      </c>
      <c r="BR211" s="14" t="s">
        <v>124</v>
      </c>
      <c r="BS211" s="14" t="s">
        <v>4468</v>
      </c>
      <c r="BT211" s="14" t="str">
        <f>HYPERLINK("https%3A%2F%2Fwww.webofscience.com%2Fwos%2Fwoscc%2Ffull-record%2FWOS:000320994600008","View Full Record in Web of Science")</f>
        <v>View Full Record in Web of Science</v>
      </c>
    </row>
    <row r="212" ht="12.75" customHeight="1">
      <c r="A212" s="14" t="s">
        <v>97</v>
      </c>
      <c r="B212" s="14" t="s">
        <v>4469</v>
      </c>
      <c r="C212" s="14" t="s">
        <v>99</v>
      </c>
      <c r="D212" s="14" t="s">
        <v>99</v>
      </c>
      <c r="E212" s="14" t="s">
        <v>99</v>
      </c>
      <c r="F212" s="14" t="s">
        <v>4470</v>
      </c>
      <c r="G212" s="14" t="s">
        <v>99</v>
      </c>
      <c r="H212" s="14" t="s">
        <v>99</v>
      </c>
      <c r="I212" s="14" t="s">
        <v>4471</v>
      </c>
      <c r="J212" s="14" t="s">
        <v>556</v>
      </c>
      <c r="K212" s="14" t="s">
        <v>99</v>
      </c>
      <c r="L212" s="14" t="s">
        <v>99</v>
      </c>
      <c r="M212" s="14" t="s">
        <v>103</v>
      </c>
      <c r="N212" s="14" t="s">
        <v>104</v>
      </c>
      <c r="O212" s="14" t="s">
        <v>99</v>
      </c>
      <c r="P212" s="14" t="s">
        <v>99</v>
      </c>
      <c r="Q212" s="14" t="s">
        <v>99</v>
      </c>
      <c r="R212" s="14" t="s">
        <v>99</v>
      </c>
      <c r="S212" s="14" t="s">
        <v>99</v>
      </c>
      <c r="T212" s="14" t="s">
        <v>4472</v>
      </c>
      <c r="U212" s="14" t="s">
        <v>4473</v>
      </c>
      <c r="V212" s="14" t="s">
        <v>4474</v>
      </c>
      <c r="W212" s="14" t="s">
        <v>4475</v>
      </c>
      <c r="X212" s="14" t="s">
        <v>4476</v>
      </c>
      <c r="Y212" s="14" t="s">
        <v>4477</v>
      </c>
      <c r="Z212" s="14" t="s">
        <v>4478</v>
      </c>
      <c r="AA212" s="14" t="s">
        <v>4479</v>
      </c>
      <c r="AB212" s="14" t="s">
        <v>4480</v>
      </c>
      <c r="AC212" s="14" t="s">
        <v>4481</v>
      </c>
      <c r="AD212" s="14" t="s">
        <v>4482</v>
      </c>
      <c r="AE212" s="14" t="s">
        <v>4483</v>
      </c>
      <c r="AF212" s="14" t="s">
        <v>99</v>
      </c>
      <c r="AG212" s="14">
        <v>33.0</v>
      </c>
      <c r="AH212" s="14">
        <v>426.0</v>
      </c>
      <c r="AI212" s="14">
        <v>462.0</v>
      </c>
      <c r="AJ212" s="14">
        <v>1.0</v>
      </c>
      <c r="AK212" s="14">
        <v>238.0</v>
      </c>
      <c r="AL212" s="14" t="s">
        <v>566</v>
      </c>
      <c r="AM212" s="14" t="s">
        <v>567</v>
      </c>
      <c r="AN212" s="14" t="s">
        <v>568</v>
      </c>
      <c r="AO212" s="14" t="s">
        <v>569</v>
      </c>
      <c r="AP212" s="14" t="s">
        <v>99</v>
      </c>
      <c r="AQ212" s="14" t="s">
        <v>99</v>
      </c>
      <c r="AR212" s="14" t="s">
        <v>570</v>
      </c>
      <c r="AS212" s="14" t="s">
        <v>571</v>
      </c>
      <c r="AT212" s="14" t="s">
        <v>4484</v>
      </c>
      <c r="AU212" s="14">
        <v>2013.0</v>
      </c>
      <c r="AV212" s="14">
        <v>8.0</v>
      </c>
      <c r="AW212" s="14">
        <v>1.0</v>
      </c>
      <c r="AX212" s="14" t="s">
        <v>99</v>
      </c>
      <c r="AY212" s="14" t="s">
        <v>99</v>
      </c>
      <c r="AZ212" s="14" t="s">
        <v>99</v>
      </c>
      <c r="BA212" s="14" t="s">
        <v>99</v>
      </c>
      <c r="BB212" s="14" t="s">
        <v>99</v>
      </c>
      <c r="BC212" s="14" t="s">
        <v>99</v>
      </c>
      <c r="BD212" s="14">
        <v>14003.0</v>
      </c>
      <c r="BE212" s="14" t="s">
        <v>4485</v>
      </c>
      <c r="BF212" s="15" t="str">
        <f>HYPERLINK("http://dx.doi.org/10.1088/1748-9326/8/1/014003","http://dx.doi.org/10.1088/1748-9326/8/1/014003")</f>
        <v>http://dx.doi.org/10.1088/1748-9326/8/1/014003</v>
      </c>
      <c r="BG212" s="14" t="s">
        <v>99</v>
      </c>
      <c r="BH212" s="14" t="s">
        <v>99</v>
      </c>
      <c r="BI212" s="14">
        <v>6.0</v>
      </c>
      <c r="BJ212" s="14" t="s">
        <v>573</v>
      </c>
      <c r="BK212" s="14" t="s">
        <v>122</v>
      </c>
      <c r="BL212" s="14" t="s">
        <v>574</v>
      </c>
      <c r="BM212" s="14" t="s">
        <v>4486</v>
      </c>
      <c r="BN212" s="14" t="s">
        <v>99</v>
      </c>
      <c r="BO212" s="14" t="s">
        <v>1251</v>
      </c>
      <c r="BP212" s="14" t="s">
        <v>99</v>
      </c>
      <c r="BQ212" s="14" t="s">
        <v>99</v>
      </c>
      <c r="BR212" s="14" t="s">
        <v>124</v>
      </c>
      <c r="BS212" s="14" t="s">
        <v>4487</v>
      </c>
      <c r="BT212" s="14" t="str">
        <f>HYPERLINK("https%3A%2F%2Fwww.webofscience.com%2Fwos%2Fwoscc%2Ffull-record%2FWOS:000316998300011","View Full Record in Web of Science")</f>
        <v>View Full Record in Web of Science</v>
      </c>
    </row>
    <row r="213" ht="12.75" customHeight="1">
      <c r="A213" s="14" t="s">
        <v>97</v>
      </c>
      <c r="B213" s="14" t="s">
        <v>4488</v>
      </c>
      <c r="C213" s="14" t="s">
        <v>99</v>
      </c>
      <c r="D213" s="14" t="s">
        <v>99</v>
      </c>
      <c r="E213" s="14" t="s">
        <v>99</v>
      </c>
      <c r="F213" s="14" t="s">
        <v>4489</v>
      </c>
      <c r="G213" s="14" t="s">
        <v>99</v>
      </c>
      <c r="H213" s="14" t="s">
        <v>99</v>
      </c>
      <c r="I213" s="14" t="s">
        <v>4490</v>
      </c>
      <c r="J213" s="14" t="s">
        <v>2500</v>
      </c>
      <c r="K213" s="14" t="s">
        <v>99</v>
      </c>
      <c r="L213" s="14" t="s">
        <v>99</v>
      </c>
      <c r="M213" s="14" t="s">
        <v>103</v>
      </c>
      <c r="N213" s="14" t="s">
        <v>104</v>
      </c>
      <c r="O213" s="14" t="s">
        <v>99</v>
      </c>
      <c r="P213" s="14" t="s">
        <v>99</v>
      </c>
      <c r="Q213" s="14" t="s">
        <v>99</v>
      </c>
      <c r="R213" s="14" t="s">
        <v>99</v>
      </c>
      <c r="S213" s="14" t="s">
        <v>99</v>
      </c>
      <c r="T213" s="14" t="s">
        <v>99</v>
      </c>
      <c r="U213" s="14" t="s">
        <v>4491</v>
      </c>
      <c r="V213" s="14" t="s">
        <v>4492</v>
      </c>
      <c r="W213" s="14" t="s">
        <v>4493</v>
      </c>
      <c r="X213" s="14" t="s">
        <v>4494</v>
      </c>
      <c r="Y213" s="14" t="s">
        <v>4495</v>
      </c>
      <c r="Z213" s="14" t="s">
        <v>4496</v>
      </c>
      <c r="AA213" s="14" t="s">
        <v>4497</v>
      </c>
      <c r="AB213" s="14" t="s">
        <v>4498</v>
      </c>
      <c r="AC213" s="14" t="s">
        <v>4499</v>
      </c>
      <c r="AD213" s="14" t="s">
        <v>4500</v>
      </c>
      <c r="AE213" s="14" t="s">
        <v>4501</v>
      </c>
      <c r="AF213" s="14" t="s">
        <v>99</v>
      </c>
      <c r="AG213" s="14">
        <v>40.0</v>
      </c>
      <c r="AH213" s="14">
        <v>61.0</v>
      </c>
      <c r="AI213" s="14">
        <v>68.0</v>
      </c>
      <c r="AJ213" s="14">
        <v>0.0</v>
      </c>
      <c r="AK213" s="14">
        <v>130.0</v>
      </c>
      <c r="AL213" s="14" t="s">
        <v>2512</v>
      </c>
      <c r="AM213" s="14" t="s">
        <v>2513</v>
      </c>
      <c r="AN213" s="14" t="s">
        <v>2514</v>
      </c>
      <c r="AO213" s="14" t="s">
        <v>2515</v>
      </c>
      <c r="AP213" s="14" t="s">
        <v>99</v>
      </c>
      <c r="AQ213" s="14" t="s">
        <v>99</v>
      </c>
      <c r="AR213" s="14" t="s">
        <v>2500</v>
      </c>
      <c r="AS213" s="14" t="s">
        <v>2516</v>
      </c>
      <c r="AT213" s="14" t="s">
        <v>4502</v>
      </c>
      <c r="AU213" s="14">
        <v>2012.0</v>
      </c>
      <c r="AV213" s="14">
        <v>7.0</v>
      </c>
      <c r="AW213" s="14">
        <v>12.0</v>
      </c>
      <c r="AX213" s="14" t="s">
        <v>99</v>
      </c>
      <c r="AY213" s="14" t="s">
        <v>99</v>
      </c>
      <c r="AZ213" s="14" t="s">
        <v>99</v>
      </c>
      <c r="BA213" s="14" t="s">
        <v>99</v>
      </c>
      <c r="BB213" s="14" t="s">
        <v>99</v>
      </c>
      <c r="BC213" s="14" t="s">
        <v>99</v>
      </c>
      <c r="BD213" s="14" t="s">
        <v>4503</v>
      </c>
      <c r="BE213" s="14" t="s">
        <v>4504</v>
      </c>
      <c r="BF213" s="15" t="str">
        <f>HYPERLINK("http://dx.doi.org/10.1371/journal.pone.0052574","http://dx.doi.org/10.1371/journal.pone.0052574")</f>
        <v>http://dx.doi.org/10.1371/journal.pone.0052574</v>
      </c>
      <c r="BG213" s="14" t="s">
        <v>99</v>
      </c>
      <c r="BH213" s="14" t="s">
        <v>99</v>
      </c>
      <c r="BI213" s="14">
        <v>11.0</v>
      </c>
      <c r="BJ213" s="14" t="s">
        <v>799</v>
      </c>
      <c r="BK213" s="14" t="s">
        <v>122</v>
      </c>
      <c r="BL213" s="14" t="s">
        <v>801</v>
      </c>
      <c r="BM213" s="14" t="s">
        <v>4505</v>
      </c>
      <c r="BN213" s="14">
        <v>2.3285098E7</v>
      </c>
      <c r="BO213" s="14" t="s">
        <v>1508</v>
      </c>
      <c r="BP213" s="14" t="s">
        <v>99</v>
      </c>
      <c r="BQ213" s="14" t="s">
        <v>99</v>
      </c>
      <c r="BR213" s="14" t="s">
        <v>124</v>
      </c>
      <c r="BS213" s="14" t="s">
        <v>4506</v>
      </c>
      <c r="BT213" s="14" t="str">
        <f>HYPERLINK("https%3A%2F%2Fwww.webofscience.com%2Fwos%2Fwoscc%2Ffull-record%2FWOS:000312794500202","View Full Record in Web of Science")</f>
        <v>View Full Record in Web of Science</v>
      </c>
    </row>
    <row r="214" ht="12.75" customHeight="1">
      <c r="A214" s="14" t="s">
        <v>97</v>
      </c>
      <c r="B214" s="14" t="s">
        <v>4507</v>
      </c>
      <c r="C214" s="14" t="s">
        <v>99</v>
      </c>
      <c r="D214" s="14" t="s">
        <v>99</v>
      </c>
      <c r="E214" s="14" t="s">
        <v>99</v>
      </c>
      <c r="F214" s="14" t="s">
        <v>4508</v>
      </c>
      <c r="G214" s="14" t="s">
        <v>99</v>
      </c>
      <c r="H214" s="14" t="s">
        <v>99</v>
      </c>
      <c r="I214" s="14" t="s">
        <v>4509</v>
      </c>
      <c r="J214" s="14" t="s">
        <v>3216</v>
      </c>
      <c r="K214" s="14" t="s">
        <v>99</v>
      </c>
      <c r="L214" s="14" t="s">
        <v>99</v>
      </c>
      <c r="M214" s="14" t="s">
        <v>103</v>
      </c>
      <c r="N214" s="14" t="s">
        <v>104</v>
      </c>
      <c r="O214" s="14" t="s">
        <v>99</v>
      </c>
      <c r="P214" s="14" t="s">
        <v>99</v>
      </c>
      <c r="Q214" s="14" t="s">
        <v>99</v>
      </c>
      <c r="R214" s="14" t="s">
        <v>99</v>
      </c>
      <c r="S214" s="14" t="s">
        <v>99</v>
      </c>
      <c r="T214" s="14" t="s">
        <v>4510</v>
      </c>
      <c r="U214" s="14" t="s">
        <v>4511</v>
      </c>
      <c r="V214" s="14" t="s">
        <v>4512</v>
      </c>
      <c r="W214" s="14" t="s">
        <v>4513</v>
      </c>
      <c r="X214" s="14" t="s">
        <v>4514</v>
      </c>
      <c r="Y214" s="14" t="s">
        <v>4515</v>
      </c>
      <c r="Z214" s="14" t="s">
        <v>4516</v>
      </c>
      <c r="AA214" s="14" t="s">
        <v>4517</v>
      </c>
      <c r="AB214" s="14" t="s">
        <v>4518</v>
      </c>
      <c r="AC214" s="14" t="s">
        <v>99</v>
      </c>
      <c r="AD214" s="14" t="s">
        <v>99</v>
      </c>
      <c r="AE214" s="14" t="s">
        <v>99</v>
      </c>
      <c r="AF214" s="14" t="s">
        <v>99</v>
      </c>
      <c r="AG214" s="14">
        <v>42.0</v>
      </c>
      <c r="AH214" s="14">
        <v>65.0</v>
      </c>
      <c r="AI214" s="14">
        <v>80.0</v>
      </c>
      <c r="AJ214" s="14">
        <v>0.0</v>
      </c>
      <c r="AK214" s="14">
        <v>66.0</v>
      </c>
      <c r="AL214" s="14" t="s">
        <v>441</v>
      </c>
      <c r="AM214" s="14" t="s">
        <v>442</v>
      </c>
      <c r="AN214" s="14" t="s">
        <v>443</v>
      </c>
      <c r="AO214" s="14" t="s">
        <v>3229</v>
      </c>
      <c r="AP214" s="14" t="s">
        <v>3230</v>
      </c>
      <c r="AQ214" s="14" t="s">
        <v>99</v>
      </c>
      <c r="AR214" s="14" t="s">
        <v>3231</v>
      </c>
      <c r="AS214" s="14" t="s">
        <v>3232</v>
      </c>
      <c r="AT214" s="14" t="s">
        <v>4519</v>
      </c>
      <c r="AU214" s="14">
        <v>2012.0</v>
      </c>
      <c r="AV214" s="14">
        <v>166.0</v>
      </c>
      <c r="AW214" s="14" t="s">
        <v>99</v>
      </c>
      <c r="AX214" s="14" t="s">
        <v>99</v>
      </c>
      <c r="AY214" s="14" t="s">
        <v>99</v>
      </c>
      <c r="AZ214" s="14" t="s">
        <v>99</v>
      </c>
      <c r="BA214" s="14" t="s">
        <v>99</v>
      </c>
      <c r="BB214" s="14">
        <v>50.0</v>
      </c>
      <c r="BC214" s="14">
        <v>61.0</v>
      </c>
      <c r="BD214" s="14" t="s">
        <v>99</v>
      </c>
      <c r="BE214" s="14" t="s">
        <v>4520</v>
      </c>
      <c r="BF214" s="15" t="str">
        <f>HYPERLINK("http://dx.doi.org/10.1016/j.agrformet.2012.07.007","http://dx.doi.org/10.1016/j.agrformet.2012.07.007")</f>
        <v>http://dx.doi.org/10.1016/j.agrformet.2012.07.007</v>
      </c>
      <c r="BG214" s="14" t="s">
        <v>99</v>
      </c>
      <c r="BH214" s="14" t="s">
        <v>99</v>
      </c>
      <c r="BI214" s="14">
        <v>12.0</v>
      </c>
      <c r="BJ214" s="14" t="s">
        <v>3235</v>
      </c>
      <c r="BK214" s="14" t="s">
        <v>122</v>
      </c>
      <c r="BL214" s="14" t="s">
        <v>3236</v>
      </c>
      <c r="BM214" s="14" t="s">
        <v>4521</v>
      </c>
      <c r="BN214" s="14" t="s">
        <v>99</v>
      </c>
      <c r="BO214" s="14" t="s">
        <v>99</v>
      </c>
      <c r="BP214" s="14" t="s">
        <v>99</v>
      </c>
      <c r="BQ214" s="14" t="s">
        <v>99</v>
      </c>
      <c r="BR214" s="14" t="s">
        <v>124</v>
      </c>
      <c r="BS214" s="14" t="s">
        <v>4522</v>
      </c>
      <c r="BT214" s="14" t="str">
        <f>HYPERLINK("https%3A%2F%2Fwww.webofscience.com%2Fwos%2Fwoscc%2Ffull-record%2FWOS:000313479100007","View Full Record in Web of Science")</f>
        <v>View Full Record in Web of Science</v>
      </c>
    </row>
    <row r="215" ht="12.75" customHeight="1">
      <c r="A215" s="14" t="s">
        <v>97</v>
      </c>
      <c r="B215" s="14" t="s">
        <v>4523</v>
      </c>
      <c r="C215" s="14" t="s">
        <v>99</v>
      </c>
      <c r="D215" s="14" t="s">
        <v>99</v>
      </c>
      <c r="E215" s="14" t="s">
        <v>99</v>
      </c>
      <c r="F215" s="14" t="s">
        <v>4524</v>
      </c>
      <c r="G215" s="14" t="s">
        <v>99</v>
      </c>
      <c r="H215" s="14" t="s">
        <v>99</v>
      </c>
      <c r="I215" s="14" t="s">
        <v>4525</v>
      </c>
      <c r="J215" s="14" t="s">
        <v>2500</v>
      </c>
      <c r="K215" s="14" t="s">
        <v>99</v>
      </c>
      <c r="L215" s="14" t="s">
        <v>99</v>
      </c>
      <c r="M215" s="14" t="s">
        <v>103</v>
      </c>
      <c r="N215" s="14" t="s">
        <v>104</v>
      </c>
      <c r="O215" s="14" t="s">
        <v>99</v>
      </c>
      <c r="P215" s="14" t="s">
        <v>99</v>
      </c>
      <c r="Q215" s="14" t="s">
        <v>99</v>
      </c>
      <c r="R215" s="14" t="s">
        <v>99</v>
      </c>
      <c r="S215" s="14" t="s">
        <v>99</v>
      </c>
      <c r="T215" s="14" t="s">
        <v>99</v>
      </c>
      <c r="U215" s="14" t="s">
        <v>4526</v>
      </c>
      <c r="V215" s="14" t="s">
        <v>4527</v>
      </c>
      <c r="W215" s="14" t="s">
        <v>4528</v>
      </c>
      <c r="X215" s="14" t="s">
        <v>4529</v>
      </c>
      <c r="Y215" s="14" t="s">
        <v>4530</v>
      </c>
      <c r="Z215" s="14" t="s">
        <v>4531</v>
      </c>
      <c r="AA215" s="14" t="s">
        <v>4532</v>
      </c>
      <c r="AB215" s="14" t="s">
        <v>4533</v>
      </c>
      <c r="AC215" s="14" t="s">
        <v>4534</v>
      </c>
      <c r="AD215" s="14" t="s">
        <v>4535</v>
      </c>
      <c r="AE215" s="14" t="s">
        <v>4536</v>
      </c>
      <c r="AF215" s="14" t="s">
        <v>99</v>
      </c>
      <c r="AG215" s="14">
        <v>50.0</v>
      </c>
      <c r="AH215" s="14">
        <v>26.0</v>
      </c>
      <c r="AI215" s="14">
        <v>29.0</v>
      </c>
      <c r="AJ215" s="14">
        <v>1.0</v>
      </c>
      <c r="AK215" s="14">
        <v>60.0</v>
      </c>
      <c r="AL215" s="14" t="s">
        <v>2512</v>
      </c>
      <c r="AM215" s="14" t="s">
        <v>2513</v>
      </c>
      <c r="AN215" s="14" t="s">
        <v>2514</v>
      </c>
      <c r="AO215" s="14" t="s">
        <v>2515</v>
      </c>
      <c r="AP215" s="14" t="s">
        <v>99</v>
      </c>
      <c r="AQ215" s="14" t="s">
        <v>99</v>
      </c>
      <c r="AR215" s="14" t="s">
        <v>2500</v>
      </c>
      <c r="AS215" s="14" t="s">
        <v>2516</v>
      </c>
      <c r="AT215" s="14" t="s">
        <v>4537</v>
      </c>
      <c r="AU215" s="14">
        <v>2012.0</v>
      </c>
      <c r="AV215" s="14">
        <v>7.0</v>
      </c>
      <c r="AW215" s="14">
        <v>12.0</v>
      </c>
      <c r="AX215" s="14" t="s">
        <v>99</v>
      </c>
      <c r="AY215" s="14" t="s">
        <v>99</v>
      </c>
      <c r="AZ215" s="14" t="s">
        <v>99</v>
      </c>
      <c r="BA215" s="14" t="s">
        <v>99</v>
      </c>
      <c r="BB215" s="14" t="s">
        <v>99</v>
      </c>
      <c r="BC215" s="14" t="s">
        <v>99</v>
      </c>
      <c r="BD215" s="14" t="s">
        <v>4538</v>
      </c>
      <c r="BE215" s="14" t="s">
        <v>4539</v>
      </c>
      <c r="BF215" s="15" t="str">
        <f>HYPERLINK("http://dx.doi.org/10.1371/journal.pone.0051520","http://dx.doi.org/10.1371/journal.pone.0051520")</f>
        <v>http://dx.doi.org/10.1371/journal.pone.0051520</v>
      </c>
      <c r="BG215" s="14" t="s">
        <v>99</v>
      </c>
      <c r="BH215" s="14" t="s">
        <v>99</v>
      </c>
      <c r="BI215" s="14">
        <v>9.0</v>
      </c>
      <c r="BJ215" s="14" t="s">
        <v>799</v>
      </c>
      <c r="BK215" s="14" t="s">
        <v>122</v>
      </c>
      <c r="BL215" s="14" t="s">
        <v>801</v>
      </c>
      <c r="BM215" s="14" t="s">
        <v>4540</v>
      </c>
      <c r="BN215" s="14">
        <v>2.3251563E7</v>
      </c>
      <c r="BO215" s="14" t="s">
        <v>1251</v>
      </c>
      <c r="BP215" s="14" t="s">
        <v>99</v>
      </c>
      <c r="BQ215" s="14" t="s">
        <v>99</v>
      </c>
      <c r="BR215" s="14" t="s">
        <v>124</v>
      </c>
      <c r="BS215" s="14" t="s">
        <v>4541</v>
      </c>
      <c r="BT215" s="14" t="str">
        <f>HYPERLINK("https%3A%2F%2Fwww.webofscience.com%2Fwos%2Fwoscc%2Ffull-record%2FWOS:000313236200129","View Full Record in Web of Science")</f>
        <v>View Full Record in Web of Science</v>
      </c>
    </row>
    <row r="216" ht="12.75" customHeight="1">
      <c r="A216" s="14" t="s">
        <v>97</v>
      </c>
      <c r="B216" s="14" t="s">
        <v>4542</v>
      </c>
      <c r="C216" s="14" t="s">
        <v>99</v>
      </c>
      <c r="D216" s="14" t="s">
        <v>99</v>
      </c>
      <c r="E216" s="14" t="s">
        <v>99</v>
      </c>
      <c r="F216" s="14" t="s">
        <v>4543</v>
      </c>
      <c r="G216" s="14" t="s">
        <v>99</v>
      </c>
      <c r="H216" s="14" t="s">
        <v>99</v>
      </c>
      <c r="I216" s="14" t="s">
        <v>4544</v>
      </c>
      <c r="J216" s="14" t="s">
        <v>2104</v>
      </c>
      <c r="K216" s="14" t="s">
        <v>99</v>
      </c>
      <c r="L216" s="14" t="s">
        <v>99</v>
      </c>
      <c r="M216" s="14" t="s">
        <v>103</v>
      </c>
      <c r="N216" s="14" t="s">
        <v>104</v>
      </c>
      <c r="O216" s="14" t="s">
        <v>99</v>
      </c>
      <c r="P216" s="14" t="s">
        <v>99</v>
      </c>
      <c r="Q216" s="14" t="s">
        <v>99</v>
      </c>
      <c r="R216" s="14" t="s">
        <v>99</v>
      </c>
      <c r="S216" s="14" t="s">
        <v>99</v>
      </c>
      <c r="T216" s="14" t="s">
        <v>4545</v>
      </c>
      <c r="U216" s="14" t="s">
        <v>4546</v>
      </c>
      <c r="V216" s="14" t="s">
        <v>4547</v>
      </c>
      <c r="W216" s="14" t="s">
        <v>4548</v>
      </c>
      <c r="X216" s="14" t="s">
        <v>4549</v>
      </c>
      <c r="Y216" s="14" t="s">
        <v>4550</v>
      </c>
      <c r="Z216" s="14" t="s">
        <v>4551</v>
      </c>
      <c r="AA216" s="14" t="s">
        <v>99</v>
      </c>
      <c r="AB216" s="14" t="s">
        <v>99</v>
      </c>
      <c r="AC216" s="14" t="s">
        <v>4552</v>
      </c>
      <c r="AD216" s="14" t="s">
        <v>4553</v>
      </c>
      <c r="AE216" s="14" t="s">
        <v>4554</v>
      </c>
      <c r="AF216" s="14" t="s">
        <v>99</v>
      </c>
      <c r="AG216" s="14">
        <v>44.0</v>
      </c>
      <c r="AH216" s="14">
        <v>10.0</v>
      </c>
      <c r="AI216" s="14">
        <v>10.0</v>
      </c>
      <c r="AJ216" s="14">
        <v>1.0</v>
      </c>
      <c r="AK216" s="14">
        <v>22.0</v>
      </c>
      <c r="AL216" s="14" t="s">
        <v>493</v>
      </c>
      <c r="AM216" s="14" t="s">
        <v>468</v>
      </c>
      <c r="AN216" s="14" t="s">
        <v>635</v>
      </c>
      <c r="AO216" s="14" t="s">
        <v>2117</v>
      </c>
      <c r="AP216" s="14" t="s">
        <v>99</v>
      </c>
      <c r="AQ216" s="14" t="s">
        <v>99</v>
      </c>
      <c r="AR216" s="14" t="s">
        <v>2118</v>
      </c>
      <c r="AS216" s="14" t="s">
        <v>2119</v>
      </c>
      <c r="AT216" s="14" t="s">
        <v>1058</v>
      </c>
      <c r="AU216" s="14">
        <v>2012.0</v>
      </c>
      <c r="AV216" s="14">
        <v>38.0</v>
      </c>
      <c r="AW216" s="14">
        <v>4.0</v>
      </c>
      <c r="AX216" s="14" t="s">
        <v>99</v>
      </c>
      <c r="AY216" s="14" t="s">
        <v>99</v>
      </c>
      <c r="AZ216" s="14" t="s">
        <v>99</v>
      </c>
      <c r="BA216" s="14" t="s">
        <v>99</v>
      </c>
      <c r="BB216" s="14">
        <v>720.0</v>
      </c>
      <c r="BC216" s="14">
        <v>729.0</v>
      </c>
      <c r="BD216" s="14" t="s">
        <v>99</v>
      </c>
      <c r="BE216" s="14" t="s">
        <v>4555</v>
      </c>
      <c r="BF216" s="15" t="str">
        <f>HYPERLINK("http://dx.doi.org/10.1016/j.jglr.2012.09.022","http://dx.doi.org/10.1016/j.jglr.2012.09.022")</f>
        <v>http://dx.doi.org/10.1016/j.jglr.2012.09.022</v>
      </c>
      <c r="BG216" s="14" t="s">
        <v>99</v>
      </c>
      <c r="BH216" s="14" t="s">
        <v>99</v>
      </c>
      <c r="BI216" s="14">
        <v>10.0</v>
      </c>
      <c r="BJ216" s="14" t="s">
        <v>2121</v>
      </c>
      <c r="BK216" s="14" t="s">
        <v>122</v>
      </c>
      <c r="BL216" s="14" t="s">
        <v>397</v>
      </c>
      <c r="BM216" s="14" t="s">
        <v>4556</v>
      </c>
      <c r="BN216" s="14" t="s">
        <v>99</v>
      </c>
      <c r="BO216" s="14" t="s">
        <v>425</v>
      </c>
      <c r="BP216" s="14" t="s">
        <v>99</v>
      </c>
      <c r="BQ216" s="14" t="s">
        <v>99</v>
      </c>
      <c r="BR216" s="14" t="s">
        <v>124</v>
      </c>
      <c r="BS216" s="14" t="s">
        <v>4557</v>
      </c>
      <c r="BT216" s="14" t="str">
        <f>HYPERLINK("https%3A%2F%2Fwww.webofscience.com%2Fwos%2Fwoscc%2Ffull-record%2FWOS:000312183100013","View Full Record in Web of Science")</f>
        <v>View Full Record in Web of Science</v>
      </c>
    </row>
    <row r="217" ht="12.75" customHeight="1">
      <c r="A217" s="14" t="s">
        <v>97</v>
      </c>
      <c r="B217" s="14" t="s">
        <v>4558</v>
      </c>
      <c r="C217" s="14" t="s">
        <v>99</v>
      </c>
      <c r="D217" s="14" t="s">
        <v>99</v>
      </c>
      <c r="E217" s="14" t="s">
        <v>99</v>
      </c>
      <c r="F217" s="14" t="s">
        <v>4559</v>
      </c>
      <c r="G217" s="14" t="s">
        <v>99</v>
      </c>
      <c r="H217" s="14" t="s">
        <v>99</v>
      </c>
      <c r="I217" s="14" t="s">
        <v>4560</v>
      </c>
      <c r="J217" s="14" t="s">
        <v>1829</v>
      </c>
      <c r="K217" s="14" t="s">
        <v>99</v>
      </c>
      <c r="L217" s="14" t="s">
        <v>99</v>
      </c>
      <c r="M217" s="14" t="s">
        <v>103</v>
      </c>
      <c r="N217" s="14" t="s">
        <v>104</v>
      </c>
      <c r="O217" s="14" t="s">
        <v>99</v>
      </c>
      <c r="P217" s="14" t="s">
        <v>99</v>
      </c>
      <c r="Q217" s="14" t="s">
        <v>99</v>
      </c>
      <c r="R217" s="14" t="s">
        <v>99</v>
      </c>
      <c r="S217" s="14" t="s">
        <v>99</v>
      </c>
      <c r="T217" s="14" t="s">
        <v>4561</v>
      </c>
      <c r="U217" s="14" t="s">
        <v>4562</v>
      </c>
      <c r="V217" s="14" t="s">
        <v>4563</v>
      </c>
      <c r="W217" s="14" t="s">
        <v>4564</v>
      </c>
      <c r="X217" s="14" t="s">
        <v>4565</v>
      </c>
      <c r="Y217" s="14" t="s">
        <v>4566</v>
      </c>
      <c r="Z217" s="14" t="s">
        <v>4567</v>
      </c>
      <c r="AA217" s="14" t="s">
        <v>4568</v>
      </c>
      <c r="AB217" s="14" t="s">
        <v>4569</v>
      </c>
      <c r="AC217" s="14" t="s">
        <v>4570</v>
      </c>
      <c r="AD217" s="14" t="s">
        <v>4571</v>
      </c>
      <c r="AE217" s="14" t="s">
        <v>4572</v>
      </c>
      <c r="AF217" s="14" t="s">
        <v>99</v>
      </c>
      <c r="AG217" s="14">
        <v>43.0</v>
      </c>
      <c r="AH217" s="14">
        <v>33.0</v>
      </c>
      <c r="AI217" s="14">
        <v>35.0</v>
      </c>
      <c r="AJ217" s="14">
        <v>2.0</v>
      </c>
      <c r="AK217" s="14">
        <v>121.0</v>
      </c>
      <c r="AL217" s="14" t="s">
        <v>493</v>
      </c>
      <c r="AM217" s="14" t="s">
        <v>468</v>
      </c>
      <c r="AN217" s="14" t="s">
        <v>635</v>
      </c>
      <c r="AO217" s="14" t="s">
        <v>1842</v>
      </c>
      <c r="AP217" s="14" t="s">
        <v>1843</v>
      </c>
      <c r="AQ217" s="14" t="s">
        <v>99</v>
      </c>
      <c r="AR217" s="14" t="s">
        <v>1844</v>
      </c>
      <c r="AS217" s="14" t="s">
        <v>1845</v>
      </c>
      <c r="AT217" s="14" t="s">
        <v>1058</v>
      </c>
      <c r="AU217" s="14">
        <v>2012.0</v>
      </c>
      <c r="AV217" s="14">
        <v>37.0</v>
      </c>
      <c r="AW217" s="14" t="s">
        <v>99</v>
      </c>
      <c r="AX217" s="14" t="s">
        <v>99</v>
      </c>
      <c r="AY217" s="14" t="s">
        <v>99</v>
      </c>
      <c r="AZ217" s="14" t="s">
        <v>99</v>
      </c>
      <c r="BA217" s="14" t="s">
        <v>99</v>
      </c>
      <c r="BB217" s="14">
        <v>107.0</v>
      </c>
      <c r="BC217" s="14">
        <v>114.0</v>
      </c>
      <c r="BD217" s="14" t="s">
        <v>99</v>
      </c>
      <c r="BE217" s="14" t="s">
        <v>4573</v>
      </c>
      <c r="BF217" s="15" t="str">
        <f>HYPERLINK("http://dx.doi.org/10.1016/j.jclepro.2012.06.016","http://dx.doi.org/10.1016/j.jclepro.2012.06.016")</f>
        <v>http://dx.doi.org/10.1016/j.jclepro.2012.06.016</v>
      </c>
      <c r="BG217" s="14" t="s">
        <v>99</v>
      </c>
      <c r="BH217" s="14" t="s">
        <v>99</v>
      </c>
      <c r="BI217" s="14">
        <v>8.0</v>
      </c>
      <c r="BJ217" s="14" t="s">
        <v>1848</v>
      </c>
      <c r="BK217" s="14" t="s">
        <v>800</v>
      </c>
      <c r="BL217" s="14" t="s">
        <v>1849</v>
      </c>
      <c r="BM217" s="14" t="s">
        <v>4574</v>
      </c>
      <c r="BN217" s="14" t="s">
        <v>99</v>
      </c>
      <c r="BO217" s="14" t="s">
        <v>238</v>
      </c>
      <c r="BP217" s="14" t="s">
        <v>99</v>
      </c>
      <c r="BQ217" s="14" t="s">
        <v>99</v>
      </c>
      <c r="BR217" s="14" t="s">
        <v>124</v>
      </c>
      <c r="BS217" s="14" t="s">
        <v>4575</v>
      </c>
      <c r="BT217" s="14" t="str">
        <f>HYPERLINK("https%3A%2F%2Fwww.webofscience.com%2Fwos%2Fwoscc%2Ffull-record%2FWOS:000309375200010","View Full Record in Web of Science")</f>
        <v>View Full Record in Web of Science</v>
      </c>
    </row>
    <row r="218" ht="12.75" customHeight="1">
      <c r="A218" s="14" t="s">
        <v>97</v>
      </c>
      <c r="B218" s="14" t="s">
        <v>4576</v>
      </c>
      <c r="C218" s="14" t="s">
        <v>99</v>
      </c>
      <c r="D218" s="14" t="s">
        <v>99</v>
      </c>
      <c r="E218" s="14" t="s">
        <v>99</v>
      </c>
      <c r="F218" s="14" t="s">
        <v>4577</v>
      </c>
      <c r="G218" s="14" t="s">
        <v>99</v>
      </c>
      <c r="H218" s="14" t="s">
        <v>99</v>
      </c>
      <c r="I218" s="14" t="s">
        <v>4578</v>
      </c>
      <c r="J218" s="14" t="s">
        <v>2142</v>
      </c>
      <c r="K218" s="14" t="s">
        <v>99</v>
      </c>
      <c r="L218" s="14" t="s">
        <v>99</v>
      </c>
      <c r="M218" s="14" t="s">
        <v>103</v>
      </c>
      <c r="N218" s="14" t="s">
        <v>104</v>
      </c>
      <c r="O218" s="14" t="s">
        <v>99</v>
      </c>
      <c r="P218" s="14" t="s">
        <v>99</v>
      </c>
      <c r="Q218" s="14" t="s">
        <v>99</v>
      </c>
      <c r="R218" s="14" t="s">
        <v>99</v>
      </c>
      <c r="S218" s="14" t="s">
        <v>99</v>
      </c>
      <c r="T218" s="14" t="s">
        <v>4579</v>
      </c>
      <c r="U218" s="14" t="s">
        <v>4580</v>
      </c>
      <c r="V218" s="14" t="s">
        <v>4581</v>
      </c>
      <c r="W218" s="14" t="s">
        <v>4582</v>
      </c>
      <c r="X218" s="14" t="s">
        <v>4583</v>
      </c>
      <c r="Y218" s="14" t="s">
        <v>4584</v>
      </c>
      <c r="Z218" s="14" t="s">
        <v>4585</v>
      </c>
      <c r="AA218" s="14" t="s">
        <v>99</v>
      </c>
      <c r="AB218" s="14" t="s">
        <v>4586</v>
      </c>
      <c r="AC218" s="14" t="s">
        <v>4587</v>
      </c>
      <c r="AD218" s="14" t="s">
        <v>4587</v>
      </c>
      <c r="AE218" s="14" t="s">
        <v>4588</v>
      </c>
      <c r="AF218" s="14" t="s">
        <v>99</v>
      </c>
      <c r="AG218" s="14">
        <v>32.0</v>
      </c>
      <c r="AH218" s="14">
        <v>82.0</v>
      </c>
      <c r="AI218" s="14">
        <v>95.0</v>
      </c>
      <c r="AJ218" s="14">
        <v>0.0</v>
      </c>
      <c r="AK218" s="14">
        <v>80.0</v>
      </c>
      <c r="AL218" s="14" t="s">
        <v>341</v>
      </c>
      <c r="AM218" s="14" t="s">
        <v>342</v>
      </c>
      <c r="AN218" s="14" t="s">
        <v>343</v>
      </c>
      <c r="AO218" s="14" t="s">
        <v>2155</v>
      </c>
      <c r="AP218" s="14" t="s">
        <v>2156</v>
      </c>
      <c r="AQ218" s="14" t="s">
        <v>99</v>
      </c>
      <c r="AR218" s="14" t="s">
        <v>2157</v>
      </c>
      <c r="AS218" s="14" t="s">
        <v>2158</v>
      </c>
      <c r="AT218" s="14" t="s">
        <v>1058</v>
      </c>
      <c r="AU218" s="14">
        <v>2012.0</v>
      </c>
      <c r="AV218" s="14">
        <v>26.0</v>
      </c>
      <c r="AW218" s="14">
        <v>6.0</v>
      </c>
      <c r="AX218" s="14" t="s">
        <v>99</v>
      </c>
      <c r="AY218" s="14" t="s">
        <v>99</v>
      </c>
      <c r="AZ218" s="14" t="s">
        <v>99</v>
      </c>
      <c r="BA218" s="14" t="s">
        <v>99</v>
      </c>
      <c r="BB218" s="14">
        <v>1040.0</v>
      </c>
      <c r="BC218" s="14">
        <v>1051.0</v>
      </c>
      <c r="BD218" s="14" t="s">
        <v>99</v>
      </c>
      <c r="BE218" s="14" t="s">
        <v>4589</v>
      </c>
      <c r="BF218" s="15" t="str">
        <f>HYPERLINK("http://dx.doi.org/10.1111/j.1523-1739.2012.01904.x","http://dx.doi.org/10.1111/j.1523-1739.2012.01904.x")</f>
        <v>http://dx.doi.org/10.1111/j.1523-1739.2012.01904.x</v>
      </c>
      <c r="BG218" s="14" t="s">
        <v>99</v>
      </c>
      <c r="BH218" s="14" t="s">
        <v>99</v>
      </c>
      <c r="BI218" s="14">
        <v>12.0</v>
      </c>
      <c r="BJ218" s="14" t="s">
        <v>351</v>
      </c>
      <c r="BK218" s="14" t="s">
        <v>122</v>
      </c>
      <c r="BL218" s="14" t="s">
        <v>352</v>
      </c>
      <c r="BM218" s="14" t="s">
        <v>4590</v>
      </c>
      <c r="BN218" s="14">
        <v>2.2862688E7</v>
      </c>
      <c r="BO218" s="14" t="s">
        <v>99</v>
      </c>
      <c r="BP218" s="14" t="s">
        <v>99</v>
      </c>
      <c r="BQ218" s="14" t="s">
        <v>99</v>
      </c>
      <c r="BR218" s="14" t="s">
        <v>124</v>
      </c>
      <c r="BS218" s="14" t="s">
        <v>4591</v>
      </c>
      <c r="BT218" s="14" t="str">
        <f>HYPERLINK("https%3A%2F%2Fwww.webofscience.com%2Fwos%2Fwoscc%2Ffull-record%2FWOS:000310798400011","View Full Record in Web of Science")</f>
        <v>View Full Record in Web of Science</v>
      </c>
    </row>
    <row r="219" ht="12.75" customHeight="1">
      <c r="A219" s="14" t="s">
        <v>97</v>
      </c>
      <c r="B219" s="14" t="s">
        <v>4592</v>
      </c>
      <c r="C219" s="14" t="s">
        <v>99</v>
      </c>
      <c r="D219" s="14" t="s">
        <v>99</v>
      </c>
      <c r="E219" s="14" t="s">
        <v>99</v>
      </c>
      <c r="F219" s="14" t="s">
        <v>4593</v>
      </c>
      <c r="G219" s="14" t="s">
        <v>99</v>
      </c>
      <c r="H219" s="14" t="s">
        <v>99</v>
      </c>
      <c r="I219" s="14" t="s">
        <v>4594</v>
      </c>
      <c r="J219" s="14" t="s">
        <v>2793</v>
      </c>
      <c r="K219" s="14" t="s">
        <v>99</v>
      </c>
      <c r="L219" s="14" t="s">
        <v>99</v>
      </c>
      <c r="M219" s="14" t="s">
        <v>103</v>
      </c>
      <c r="N219" s="14" t="s">
        <v>104</v>
      </c>
      <c r="O219" s="14" t="s">
        <v>99</v>
      </c>
      <c r="P219" s="14" t="s">
        <v>99</v>
      </c>
      <c r="Q219" s="14" t="s">
        <v>99</v>
      </c>
      <c r="R219" s="14" t="s">
        <v>99</v>
      </c>
      <c r="S219" s="14" t="s">
        <v>99</v>
      </c>
      <c r="T219" s="14" t="s">
        <v>99</v>
      </c>
      <c r="U219" s="14" t="s">
        <v>4595</v>
      </c>
      <c r="V219" s="14" t="s">
        <v>4596</v>
      </c>
      <c r="W219" s="14" t="s">
        <v>4597</v>
      </c>
      <c r="X219" s="14" t="s">
        <v>4598</v>
      </c>
      <c r="Y219" s="14" t="s">
        <v>4599</v>
      </c>
      <c r="Z219" s="14" t="s">
        <v>4600</v>
      </c>
      <c r="AA219" s="14" t="s">
        <v>99</v>
      </c>
      <c r="AB219" s="14" t="s">
        <v>4601</v>
      </c>
      <c r="AC219" s="14" t="s">
        <v>4602</v>
      </c>
      <c r="AD219" s="14" t="s">
        <v>4602</v>
      </c>
      <c r="AE219" s="14" t="s">
        <v>4603</v>
      </c>
      <c r="AF219" s="14" t="s">
        <v>99</v>
      </c>
      <c r="AG219" s="14">
        <v>30.0</v>
      </c>
      <c r="AH219" s="14">
        <v>584.0</v>
      </c>
      <c r="AI219" s="14">
        <v>650.0</v>
      </c>
      <c r="AJ219" s="14">
        <v>0.0</v>
      </c>
      <c r="AK219" s="14">
        <v>309.0</v>
      </c>
      <c r="AL219" s="14" t="s">
        <v>1326</v>
      </c>
      <c r="AM219" s="14" t="s">
        <v>274</v>
      </c>
      <c r="AN219" s="14" t="s">
        <v>1327</v>
      </c>
      <c r="AO219" s="14" t="s">
        <v>2805</v>
      </c>
      <c r="AP219" s="14" t="s">
        <v>2806</v>
      </c>
      <c r="AQ219" s="14" t="s">
        <v>99</v>
      </c>
      <c r="AR219" s="14" t="s">
        <v>2807</v>
      </c>
      <c r="AS219" s="14" t="s">
        <v>2808</v>
      </c>
      <c r="AT219" s="14" t="s">
        <v>1058</v>
      </c>
      <c r="AU219" s="14">
        <v>2012.0</v>
      </c>
      <c r="AV219" s="14">
        <v>2.0</v>
      </c>
      <c r="AW219" s="14">
        <v>12.0</v>
      </c>
      <c r="AX219" s="14" t="s">
        <v>99</v>
      </c>
      <c r="AY219" s="14" t="s">
        <v>99</v>
      </c>
      <c r="AZ219" s="14" t="s">
        <v>99</v>
      </c>
      <c r="BA219" s="14" t="s">
        <v>99</v>
      </c>
      <c r="BB219" s="14">
        <v>884.0</v>
      </c>
      <c r="BC219" s="14">
        <v>888.0</v>
      </c>
      <c r="BD219" s="14" t="s">
        <v>99</v>
      </c>
      <c r="BE219" s="14" t="s">
        <v>4604</v>
      </c>
      <c r="BF219" s="15" t="str">
        <f>HYPERLINK("http://dx.doi.org/10.1038/NCLIMATE1597","http://dx.doi.org/10.1038/NCLIMATE1597")</f>
        <v>http://dx.doi.org/10.1038/NCLIMATE1597</v>
      </c>
      <c r="BG219" s="14" t="s">
        <v>99</v>
      </c>
      <c r="BH219" s="14" t="s">
        <v>99</v>
      </c>
      <c r="BI219" s="14">
        <v>5.0</v>
      </c>
      <c r="BJ219" s="14" t="s">
        <v>2810</v>
      </c>
      <c r="BK219" s="14" t="s">
        <v>800</v>
      </c>
      <c r="BL219" s="14" t="s">
        <v>574</v>
      </c>
      <c r="BM219" s="14" t="s">
        <v>4605</v>
      </c>
      <c r="BN219" s="14" t="s">
        <v>99</v>
      </c>
      <c r="BO219" s="14" t="s">
        <v>99</v>
      </c>
      <c r="BP219" s="14" t="s">
        <v>99</v>
      </c>
      <c r="BQ219" s="14" t="s">
        <v>99</v>
      </c>
      <c r="BR219" s="14" t="s">
        <v>124</v>
      </c>
      <c r="BS219" s="14" t="s">
        <v>4606</v>
      </c>
      <c r="BT219" s="14" t="str">
        <f>HYPERLINK("https%3A%2F%2Fwww.webofscience.com%2Fwos%2Fwoscc%2Ffull-record%2FWOS:000312433700023","View Full Record in Web of Science")</f>
        <v>View Full Record in Web of Science</v>
      </c>
    </row>
    <row r="220" ht="12.75" customHeight="1">
      <c r="A220" s="14" t="s">
        <v>97</v>
      </c>
      <c r="B220" s="14" t="s">
        <v>4607</v>
      </c>
      <c r="C220" s="14" t="s">
        <v>99</v>
      </c>
      <c r="D220" s="14" t="s">
        <v>99</v>
      </c>
      <c r="E220" s="14" t="s">
        <v>99</v>
      </c>
      <c r="F220" s="14" t="s">
        <v>4608</v>
      </c>
      <c r="G220" s="14" t="s">
        <v>99</v>
      </c>
      <c r="H220" s="14" t="s">
        <v>99</v>
      </c>
      <c r="I220" s="14" t="s">
        <v>4609</v>
      </c>
      <c r="J220" s="14" t="s">
        <v>4610</v>
      </c>
      <c r="K220" s="14" t="s">
        <v>99</v>
      </c>
      <c r="L220" s="14" t="s">
        <v>99</v>
      </c>
      <c r="M220" s="14" t="s">
        <v>103</v>
      </c>
      <c r="N220" s="14" t="s">
        <v>104</v>
      </c>
      <c r="O220" s="14" t="s">
        <v>99</v>
      </c>
      <c r="P220" s="14" t="s">
        <v>99</v>
      </c>
      <c r="Q220" s="14" t="s">
        <v>99</v>
      </c>
      <c r="R220" s="14" t="s">
        <v>99</v>
      </c>
      <c r="S220" s="14" t="s">
        <v>99</v>
      </c>
      <c r="T220" s="14" t="s">
        <v>4611</v>
      </c>
      <c r="U220" s="14" t="s">
        <v>4612</v>
      </c>
      <c r="V220" s="14" t="s">
        <v>4613</v>
      </c>
      <c r="W220" s="14" t="s">
        <v>4614</v>
      </c>
      <c r="X220" s="14" t="s">
        <v>4615</v>
      </c>
      <c r="Y220" s="14" t="s">
        <v>4616</v>
      </c>
      <c r="Z220" s="14" t="s">
        <v>4617</v>
      </c>
      <c r="AA220" s="14" t="s">
        <v>99</v>
      </c>
      <c r="AB220" s="14" t="s">
        <v>99</v>
      </c>
      <c r="AC220" s="14" t="s">
        <v>4618</v>
      </c>
      <c r="AD220" s="14" t="s">
        <v>4619</v>
      </c>
      <c r="AE220" s="14" t="s">
        <v>4620</v>
      </c>
      <c r="AF220" s="14" t="s">
        <v>99</v>
      </c>
      <c r="AG220" s="14">
        <v>71.0</v>
      </c>
      <c r="AH220" s="14">
        <v>33.0</v>
      </c>
      <c r="AI220" s="14">
        <v>43.0</v>
      </c>
      <c r="AJ220" s="14">
        <v>0.0</v>
      </c>
      <c r="AK220" s="14">
        <v>81.0</v>
      </c>
      <c r="AL220" s="14" t="s">
        <v>4621</v>
      </c>
      <c r="AM220" s="14" t="s">
        <v>4622</v>
      </c>
      <c r="AN220" s="14" t="s">
        <v>4623</v>
      </c>
      <c r="AO220" s="14" t="s">
        <v>4624</v>
      </c>
      <c r="AP220" s="14" t="s">
        <v>4625</v>
      </c>
      <c r="AQ220" s="14" t="s">
        <v>99</v>
      </c>
      <c r="AR220" s="14" t="s">
        <v>4626</v>
      </c>
      <c r="AS220" s="14" t="s">
        <v>4627</v>
      </c>
      <c r="AT220" s="14" t="s">
        <v>1058</v>
      </c>
      <c r="AU220" s="14">
        <v>2012.0</v>
      </c>
      <c r="AV220" s="14">
        <v>17.0</v>
      </c>
      <c r="AW220" s="14">
        <v>6.0</v>
      </c>
      <c r="AX220" s="14" t="s">
        <v>99</v>
      </c>
      <c r="AY220" s="14" t="s">
        <v>99</v>
      </c>
      <c r="AZ220" s="14" t="s">
        <v>99</v>
      </c>
      <c r="BA220" s="14" t="s">
        <v>99</v>
      </c>
      <c r="BB220" s="14">
        <v>468.0</v>
      </c>
      <c r="BC220" s="14">
        <v>478.0</v>
      </c>
      <c r="BD220" s="14" t="s">
        <v>99</v>
      </c>
      <c r="BE220" s="14" t="s">
        <v>4628</v>
      </c>
      <c r="BF220" s="15" t="str">
        <f>HYPERLINK("http://dx.doi.org/10.1007/s10310-011-0316-z","http://dx.doi.org/10.1007/s10310-011-0316-z")</f>
        <v>http://dx.doi.org/10.1007/s10310-011-0316-z</v>
      </c>
      <c r="BG220" s="14" t="s">
        <v>99</v>
      </c>
      <c r="BH220" s="14" t="s">
        <v>99</v>
      </c>
      <c r="BI220" s="14">
        <v>11.0</v>
      </c>
      <c r="BJ220" s="14" t="s">
        <v>281</v>
      </c>
      <c r="BK220" s="14" t="s">
        <v>122</v>
      </c>
      <c r="BL220" s="14" t="s">
        <v>281</v>
      </c>
      <c r="BM220" s="14" t="s">
        <v>4629</v>
      </c>
      <c r="BN220" s="14" t="s">
        <v>99</v>
      </c>
      <c r="BO220" s="14" t="s">
        <v>99</v>
      </c>
      <c r="BP220" s="14" t="s">
        <v>99</v>
      </c>
      <c r="BQ220" s="14" t="s">
        <v>99</v>
      </c>
      <c r="BR220" s="14" t="s">
        <v>124</v>
      </c>
      <c r="BS220" s="14" t="s">
        <v>4630</v>
      </c>
      <c r="BT220" s="14" t="str">
        <f>HYPERLINK("https%3A%2F%2Fwww.webofscience.com%2Fwos%2Fwoscc%2Ffull-record%2FWOS:000310957800003","View Full Record in Web of Science")</f>
        <v>View Full Record in Web of Science</v>
      </c>
    </row>
    <row r="221" ht="12.75" customHeight="1">
      <c r="A221" s="14" t="s">
        <v>97</v>
      </c>
      <c r="B221" s="14" t="s">
        <v>4631</v>
      </c>
      <c r="C221" s="14" t="s">
        <v>99</v>
      </c>
      <c r="D221" s="14" t="s">
        <v>99</v>
      </c>
      <c r="E221" s="14" t="s">
        <v>99</v>
      </c>
      <c r="F221" s="14" t="s">
        <v>4632</v>
      </c>
      <c r="G221" s="14" t="s">
        <v>99</v>
      </c>
      <c r="H221" s="14" t="s">
        <v>99</v>
      </c>
      <c r="I221" s="14" t="s">
        <v>4633</v>
      </c>
      <c r="J221" s="14" t="s">
        <v>4634</v>
      </c>
      <c r="K221" s="14" t="s">
        <v>99</v>
      </c>
      <c r="L221" s="14" t="s">
        <v>99</v>
      </c>
      <c r="M221" s="14" t="s">
        <v>103</v>
      </c>
      <c r="N221" s="14" t="s">
        <v>104</v>
      </c>
      <c r="O221" s="14" t="s">
        <v>99</v>
      </c>
      <c r="P221" s="14" t="s">
        <v>99</v>
      </c>
      <c r="Q221" s="14" t="s">
        <v>99</v>
      </c>
      <c r="R221" s="14" t="s">
        <v>99</v>
      </c>
      <c r="S221" s="14" t="s">
        <v>99</v>
      </c>
      <c r="T221" s="14" t="s">
        <v>4635</v>
      </c>
      <c r="U221" s="14" t="s">
        <v>4636</v>
      </c>
      <c r="V221" s="14" t="s">
        <v>4637</v>
      </c>
      <c r="W221" s="14" t="s">
        <v>4638</v>
      </c>
      <c r="X221" s="14" t="s">
        <v>4639</v>
      </c>
      <c r="Y221" s="14" t="s">
        <v>4640</v>
      </c>
      <c r="Z221" s="14" t="s">
        <v>4641</v>
      </c>
      <c r="AA221" s="14" t="s">
        <v>4642</v>
      </c>
      <c r="AB221" s="14" t="s">
        <v>4643</v>
      </c>
      <c r="AC221" s="14" t="s">
        <v>4644</v>
      </c>
      <c r="AD221" s="14" t="s">
        <v>4645</v>
      </c>
      <c r="AE221" s="14" t="s">
        <v>4646</v>
      </c>
      <c r="AF221" s="14" t="s">
        <v>99</v>
      </c>
      <c r="AG221" s="14">
        <v>31.0</v>
      </c>
      <c r="AH221" s="14">
        <v>135.0</v>
      </c>
      <c r="AI221" s="14">
        <v>160.0</v>
      </c>
      <c r="AJ221" s="14">
        <v>0.0</v>
      </c>
      <c r="AK221" s="14">
        <v>109.0</v>
      </c>
      <c r="AL221" s="14" t="s">
        <v>341</v>
      </c>
      <c r="AM221" s="14" t="s">
        <v>342</v>
      </c>
      <c r="AN221" s="14" t="s">
        <v>343</v>
      </c>
      <c r="AO221" s="14" t="s">
        <v>4647</v>
      </c>
      <c r="AP221" s="14" t="s">
        <v>4648</v>
      </c>
      <c r="AQ221" s="14" t="s">
        <v>99</v>
      </c>
      <c r="AR221" s="14" t="s">
        <v>4649</v>
      </c>
      <c r="AS221" s="14" t="s">
        <v>4650</v>
      </c>
      <c r="AT221" s="14" t="s">
        <v>348</v>
      </c>
      <c r="AU221" s="14">
        <v>2012.0</v>
      </c>
      <c r="AV221" s="14">
        <v>4.0</v>
      </c>
      <c r="AW221" s="14">
        <v>6.0</v>
      </c>
      <c r="AX221" s="14" t="s">
        <v>99</v>
      </c>
      <c r="AY221" s="14" t="s">
        <v>99</v>
      </c>
      <c r="AZ221" s="14" t="s">
        <v>99</v>
      </c>
      <c r="BA221" s="14" t="s">
        <v>99</v>
      </c>
      <c r="BB221" s="14">
        <v>908.0</v>
      </c>
      <c r="BC221" s="14">
        <v>918.0</v>
      </c>
      <c r="BD221" s="14" t="s">
        <v>99</v>
      </c>
      <c r="BE221" s="14" t="s">
        <v>4651</v>
      </c>
      <c r="BF221" s="15" t="str">
        <f>HYPERLINK("http://dx.doi.org/10.1111/j.1757-1707.2012.01172.x","http://dx.doi.org/10.1111/j.1757-1707.2012.01172.x")</f>
        <v>http://dx.doi.org/10.1111/j.1757-1707.2012.01172.x</v>
      </c>
      <c r="BG221" s="14" t="s">
        <v>99</v>
      </c>
      <c r="BH221" s="14" t="s">
        <v>99</v>
      </c>
      <c r="BI221" s="14">
        <v>11.0</v>
      </c>
      <c r="BJ221" s="14" t="s">
        <v>4652</v>
      </c>
      <c r="BK221" s="14" t="s">
        <v>122</v>
      </c>
      <c r="BL221" s="14" t="s">
        <v>4653</v>
      </c>
      <c r="BM221" s="14" t="s">
        <v>4654</v>
      </c>
      <c r="BN221" s="14" t="s">
        <v>99</v>
      </c>
      <c r="BO221" s="14" t="s">
        <v>1118</v>
      </c>
      <c r="BP221" s="14" t="s">
        <v>99</v>
      </c>
      <c r="BQ221" s="14" t="s">
        <v>99</v>
      </c>
      <c r="BR221" s="14" t="s">
        <v>124</v>
      </c>
      <c r="BS221" s="14" t="s">
        <v>4655</v>
      </c>
      <c r="BT221" s="14" t="str">
        <f>HYPERLINK("https%3A%2F%2Fwww.webofscience.com%2Fwos%2Fwoscc%2Ffull-record%2FWOS:000309450100028","View Full Record in Web of Science")</f>
        <v>View Full Record in Web of Science</v>
      </c>
    </row>
    <row r="222" ht="12.75" customHeight="1">
      <c r="A222" s="14" t="s">
        <v>97</v>
      </c>
      <c r="B222" s="14" t="s">
        <v>4656</v>
      </c>
      <c r="C222" s="14" t="s">
        <v>99</v>
      </c>
      <c r="D222" s="14" t="s">
        <v>99</v>
      </c>
      <c r="E222" s="14" t="s">
        <v>99</v>
      </c>
      <c r="F222" s="14" t="s">
        <v>4657</v>
      </c>
      <c r="G222" s="14" t="s">
        <v>99</v>
      </c>
      <c r="H222" s="14" t="s">
        <v>99</v>
      </c>
      <c r="I222" s="14" t="s">
        <v>4658</v>
      </c>
      <c r="J222" s="14" t="s">
        <v>1580</v>
      </c>
      <c r="K222" s="14" t="s">
        <v>99</v>
      </c>
      <c r="L222" s="14" t="s">
        <v>99</v>
      </c>
      <c r="M222" s="14" t="s">
        <v>103</v>
      </c>
      <c r="N222" s="14" t="s">
        <v>104</v>
      </c>
      <c r="O222" s="14" t="s">
        <v>99</v>
      </c>
      <c r="P222" s="14" t="s">
        <v>99</v>
      </c>
      <c r="Q222" s="14" t="s">
        <v>99</v>
      </c>
      <c r="R222" s="14" t="s">
        <v>99</v>
      </c>
      <c r="S222" s="14" t="s">
        <v>99</v>
      </c>
      <c r="T222" s="14" t="s">
        <v>4659</v>
      </c>
      <c r="U222" s="14" t="s">
        <v>4660</v>
      </c>
      <c r="V222" s="14" t="s">
        <v>4661</v>
      </c>
      <c r="W222" s="14" t="s">
        <v>4662</v>
      </c>
      <c r="X222" s="14" t="s">
        <v>4663</v>
      </c>
      <c r="Y222" s="14" t="s">
        <v>4664</v>
      </c>
      <c r="Z222" s="14" t="s">
        <v>4665</v>
      </c>
      <c r="AA222" s="14" t="s">
        <v>99</v>
      </c>
      <c r="AB222" s="14" t="s">
        <v>99</v>
      </c>
      <c r="AC222" s="14" t="s">
        <v>4666</v>
      </c>
      <c r="AD222" s="14" t="s">
        <v>4666</v>
      </c>
      <c r="AE222" s="14" t="s">
        <v>4667</v>
      </c>
      <c r="AF222" s="14" t="s">
        <v>99</v>
      </c>
      <c r="AG222" s="14">
        <v>68.0</v>
      </c>
      <c r="AH222" s="14">
        <v>31.0</v>
      </c>
      <c r="AI222" s="14">
        <v>39.0</v>
      </c>
      <c r="AJ222" s="14">
        <v>0.0</v>
      </c>
      <c r="AK222" s="14">
        <v>53.0</v>
      </c>
      <c r="AL222" s="14" t="s">
        <v>1593</v>
      </c>
      <c r="AM222" s="14" t="s">
        <v>2726</v>
      </c>
      <c r="AN222" s="14" t="s">
        <v>4668</v>
      </c>
      <c r="AO222" s="14" t="s">
        <v>1596</v>
      </c>
      <c r="AP222" s="14" t="s">
        <v>1597</v>
      </c>
      <c r="AQ222" s="14" t="s">
        <v>99</v>
      </c>
      <c r="AR222" s="14" t="s">
        <v>1580</v>
      </c>
      <c r="AS222" s="14" t="s">
        <v>1598</v>
      </c>
      <c r="AT222" s="14" t="s">
        <v>2372</v>
      </c>
      <c r="AU222" s="14">
        <v>2012.0</v>
      </c>
      <c r="AV222" s="14">
        <v>46.0</v>
      </c>
      <c r="AW222" s="14">
        <v>4.0</v>
      </c>
      <c r="AX222" s="14" t="s">
        <v>99</v>
      </c>
      <c r="AY222" s="14" t="s">
        <v>99</v>
      </c>
      <c r="AZ222" s="14" t="s">
        <v>99</v>
      </c>
      <c r="BA222" s="14" t="s">
        <v>99</v>
      </c>
      <c r="BB222" s="14">
        <v>544.0</v>
      </c>
      <c r="BC222" s="14">
        <v>553.0</v>
      </c>
      <c r="BD222" s="14" t="s">
        <v>99</v>
      </c>
      <c r="BE222" s="14" t="s">
        <v>4669</v>
      </c>
      <c r="BF222" s="15" t="str">
        <f>HYPERLINK("http://dx.doi.org/10.1017/S0030605311000937","http://dx.doi.org/10.1017/S0030605311000937")</f>
        <v>http://dx.doi.org/10.1017/S0030605311000937</v>
      </c>
      <c r="BG222" s="14" t="s">
        <v>99</v>
      </c>
      <c r="BH222" s="14" t="s">
        <v>99</v>
      </c>
      <c r="BI222" s="14">
        <v>10.0</v>
      </c>
      <c r="BJ222" s="14" t="s">
        <v>550</v>
      </c>
      <c r="BK222" s="14" t="s">
        <v>122</v>
      </c>
      <c r="BL222" s="14" t="s">
        <v>352</v>
      </c>
      <c r="BM222" s="14" t="s">
        <v>4670</v>
      </c>
      <c r="BN222" s="14" t="s">
        <v>99</v>
      </c>
      <c r="BO222" s="14" t="s">
        <v>238</v>
      </c>
      <c r="BP222" s="14" t="s">
        <v>99</v>
      </c>
      <c r="BQ222" s="14" t="s">
        <v>99</v>
      </c>
      <c r="BR222" s="14" t="s">
        <v>124</v>
      </c>
      <c r="BS222" s="14" t="s">
        <v>4671</v>
      </c>
      <c r="BT222" s="14" t="str">
        <f>HYPERLINK("https%3A%2F%2Fwww.webofscience.com%2Fwos%2Fwoscc%2Ffull-record%2FWOS:000309472600015","View Full Record in Web of Science")</f>
        <v>View Full Record in Web of Science</v>
      </c>
    </row>
    <row r="223" ht="12.75" customHeight="1">
      <c r="A223" s="14" t="s">
        <v>97</v>
      </c>
      <c r="B223" s="14" t="s">
        <v>4672</v>
      </c>
      <c r="C223" s="14" t="s">
        <v>99</v>
      </c>
      <c r="D223" s="14" t="s">
        <v>99</v>
      </c>
      <c r="E223" s="14" t="s">
        <v>99</v>
      </c>
      <c r="F223" s="14" t="s">
        <v>4673</v>
      </c>
      <c r="G223" s="14" t="s">
        <v>99</v>
      </c>
      <c r="H223" s="14" t="s">
        <v>99</v>
      </c>
      <c r="I223" s="14" t="s">
        <v>4674</v>
      </c>
      <c r="J223" s="14" t="s">
        <v>556</v>
      </c>
      <c r="K223" s="14" t="s">
        <v>99</v>
      </c>
      <c r="L223" s="14" t="s">
        <v>99</v>
      </c>
      <c r="M223" s="14" t="s">
        <v>103</v>
      </c>
      <c r="N223" s="14" t="s">
        <v>104</v>
      </c>
      <c r="O223" s="14" t="s">
        <v>99</v>
      </c>
      <c r="P223" s="14" t="s">
        <v>99</v>
      </c>
      <c r="Q223" s="14" t="s">
        <v>99</v>
      </c>
      <c r="R223" s="14" t="s">
        <v>99</v>
      </c>
      <c r="S223" s="14" t="s">
        <v>99</v>
      </c>
      <c r="T223" s="14" t="s">
        <v>4675</v>
      </c>
      <c r="U223" s="14" t="s">
        <v>4676</v>
      </c>
      <c r="V223" s="14" t="s">
        <v>4677</v>
      </c>
      <c r="W223" s="14" t="s">
        <v>4678</v>
      </c>
      <c r="X223" s="14" t="s">
        <v>4679</v>
      </c>
      <c r="Y223" s="14" t="s">
        <v>99</v>
      </c>
      <c r="Z223" s="14" t="s">
        <v>4680</v>
      </c>
      <c r="AA223" s="14" t="s">
        <v>4681</v>
      </c>
      <c r="AB223" s="14" t="s">
        <v>4682</v>
      </c>
      <c r="AC223" s="14" t="s">
        <v>4683</v>
      </c>
      <c r="AD223" s="14" t="s">
        <v>4684</v>
      </c>
      <c r="AE223" s="14" t="s">
        <v>4685</v>
      </c>
      <c r="AF223" s="14" t="s">
        <v>99</v>
      </c>
      <c r="AG223" s="14">
        <v>25.0</v>
      </c>
      <c r="AH223" s="14">
        <v>845.0</v>
      </c>
      <c r="AI223" s="14">
        <v>1024.0</v>
      </c>
      <c r="AJ223" s="14">
        <v>6.0</v>
      </c>
      <c r="AK223" s="14">
        <v>384.0</v>
      </c>
      <c r="AL223" s="14" t="s">
        <v>2493</v>
      </c>
      <c r="AM223" s="14" t="s">
        <v>567</v>
      </c>
      <c r="AN223" s="14" t="s">
        <v>568</v>
      </c>
      <c r="AO223" s="14" t="s">
        <v>569</v>
      </c>
      <c r="AP223" s="14" t="s">
        <v>99</v>
      </c>
      <c r="AQ223" s="14" t="s">
        <v>99</v>
      </c>
      <c r="AR223" s="14" t="s">
        <v>570</v>
      </c>
      <c r="AS223" s="14" t="s">
        <v>571</v>
      </c>
      <c r="AT223" s="14" t="s">
        <v>145</v>
      </c>
      <c r="AU223" s="14">
        <v>2012.0</v>
      </c>
      <c r="AV223" s="14">
        <v>7.0</v>
      </c>
      <c r="AW223" s="14">
        <v>4.0</v>
      </c>
      <c r="AX223" s="14" t="s">
        <v>99</v>
      </c>
      <c r="AY223" s="14" t="s">
        <v>99</v>
      </c>
      <c r="AZ223" s="14" t="s">
        <v>99</v>
      </c>
      <c r="BA223" s="14" t="s">
        <v>99</v>
      </c>
      <c r="BB223" s="14" t="s">
        <v>99</v>
      </c>
      <c r="BC223" s="14" t="s">
        <v>99</v>
      </c>
      <c r="BD223" s="14">
        <v>44009.0</v>
      </c>
      <c r="BE223" s="14" t="s">
        <v>4686</v>
      </c>
      <c r="BF223" s="15" t="str">
        <f>HYPERLINK("http://dx.doi.org/10.1088/1748-9326/7/4/044009","http://dx.doi.org/10.1088/1748-9326/7/4/044009")</f>
        <v>http://dx.doi.org/10.1088/1748-9326/7/4/044009</v>
      </c>
      <c r="BG223" s="14" t="s">
        <v>99</v>
      </c>
      <c r="BH223" s="14" t="s">
        <v>99</v>
      </c>
      <c r="BI223" s="14">
        <v>12.0</v>
      </c>
      <c r="BJ223" s="14" t="s">
        <v>573</v>
      </c>
      <c r="BK223" s="14" t="s">
        <v>800</v>
      </c>
      <c r="BL223" s="14" t="s">
        <v>574</v>
      </c>
      <c r="BM223" s="14" t="s">
        <v>4687</v>
      </c>
      <c r="BN223" s="14" t="s">
        <v>99</v>
      </c>
      <c r="BO223" s="14" t="s">
        <v>1251</v>
      </c>
      <c r="BP223" s="14" t="s">
        <v>99</v>
      </c>
      <c r="BQ223" s="14" t="s">
        <v>99</v>
      </c>
      <c r="BR223" s="14" t="s">
        <v>124</v>
      </c>
      <c r="BS223" s="14" t="s">
        <v>4688</v>
      </c>
      <c r="BT223" s="14" t="str">
        <f>HYPERLINK("https%3A%2F%2Fwww.webofscience.com%2Fwos%2Fwoscc%2Ffull-record%2FWOS:000312696400013","View Full Record in Web of Science")</f>
        <v>View Full Record in Web of Science</v>
      </c>
    </row>
    <row r="224" ht="12.75" customHeight="1">
      <c r="A224" s="14" t="s">
        <v>97</v>
      </c>
      <c r="B224" s="14" t="s">
        <v>4689</v>
      </c>
      <c r="C224" s="14" t="s">
        <v>99</v>
      </c>
      <c r="D224" s="14" t="s">
        <v>99</v>
      </c>
      <c r="E224" s="14" t="s">
        <v>99</v>
      </c>
      <c r="F224" s="14" t="s">
        <v>4690</v>
      </c>
      <c r="G224" s="14" t="s">
        <v>99</v>
      </c>
      <c r="H224" s="14" t="s">
        <v>99</v>
      </c>
      <c r="I224" s="14" t="s">
        <v>4691</v>
      </c>
      <c r="J224" s="14" t="s">
        <v>430</v>
      </c>
      <c r="K224" s="14" t="s">
        <v>99</v>
      </c>
      <c r="L224" s="14" t="s">
        <v>99</v>
      </c>
      <c r="M224" s="14" t="s">
        <v>103</v>
      </c>
      <c r="N224" s="14" t="s">
        <v>104</v>
      </c>
      <c r="O224" s="14" t="s">
        <v>99</v>
      </c>
      <c r="P224" s="14" t="s">
        <v>99</v>
      </c>
      <c r="Q224" s="14" t="s">
        <v>99</v>
      </c>
      <c r="R224" s="14" t="s">
        <v>99</v>
      </c>
      <c r="S224" s="14" t="s">
        <v>99</v>
      </c>
      <c r="T224" s="14" t="s">
        <v>4692</v>
      </c>
      <c r="U224" s="14" t="s">
        <v>4693</v>
      </c>
      <c r="V224" s="14" t="s">
        <v>4694</v>
      </c>
      <c r="W224" s="14" t="s">
        <v>4695</v>
      </c>
      <c r="X224" s="14" t="s">
        <v>4696</v>
      </c>
      <c r="Y224" s="14" t="s">
        <v>4697</v>
      </c>
      <c r="Z224" s="14" t="s">
        <v>4698</v>
      </c>
      <c r="AA224" s="14" t="s">
        <v>4699</v>
      </c>
      <c r="AB224" s="14" t="s">
        <v>4700</v>
      </c>
      <c r="AC224" s="14" t="s">
        <v>4701</v>
      </c>
      <c r="AD224" s="14" t="s">
        <v>4701</v>
      </c>
      <c r="AE224" s="14" t="s">
        <v>4702</v>
      </c>
      <c r="AF224" s="14" t="s">
        <v>99</v>
      </c>
      <c r="AG224" s="14">
        <v>80.0</v>
      </c>
      <c r="AH224" s="14">
        <v>36.0</v>
      </c>
      <c r="AI224" s="14">
        <v>41.0</v>
      </c>
      <c r="AJ224" s="14">
        <v>2.0</v>
      </c>
      <c r="AK224" s="14">
        <v>95.0</v>
      </c>
      <c r="AL224" s="14" t="s">
        <v>441</v>
      </c>
      <c r="AM224" s="14" t="s">
        <v>442</v>
      </c>
      <c r="AN224" s="14" t="s">
        <v>443</v>
      </c>
      <c r="AO224" s="14" t="s">
        <v>444</v>
      </c>
      <c r="AP224" s="14" t="s">
        <v>445</v>
      </c>
      <c r="AQ224" s="14" t="s">
        <v>99</v>
      </c>
      <c r="AR224" s="14" t="s">
        <v>446</v>
      </c>
      <c r="AS224" s="14" t="s">
        <v>447</v>
      </c>
      <c r="AT224" s="14" t="s">
        <v>1160</v>
      </c>
      <c r="AU224" s="14">
        <v>2012.0</v>
      </c>
      <c r="AV224" s="14">
        <v>280.0</v>
      </c>
      <c r="AW224" s="14" t="s">
        <v>99</v>
      </c>
      <c r="AX224" s="14" t="s">
        <v>99</v>
      </c>
      <c r="AY224" s="14" t="s">
        <v>99</v>
      </c>
      <c r="AZ224" s="14" t="s">
        <v>99</v>
      </c>
      <c r="BA224" s="14" t="s">
        <v>99</v>
      </c>
      <c r="BB224" s="14">
        <v>71.0</v>
      </c>
      <c r="BC224" s="14">
        <v>81.0</v>
      </c>
      <c r="BD224" s="14" t="s">
        <v>99</v>
      </c>
      <c r="BE224" s="14" t="s">
        <v>4703</v>
      </c>
      <c r="BF224" s="15" t="str">
        <f>HYPERLINK("http://dx.doi.org/10.1016/j.foreco.2012.05.027","http://dx.doi.org/10.1016/j.foreco.2012.05.027")</f>
        <v>http://dx.doi.org/10.1016/j.foreco.2012.05.027</v>
      </c>
      <c r="BG224" s="14" t="s">
        <v>99</v>
      </c>
      <c r="BH224" s="14" t="s">
        <v>99</v>
      </c>
      <c r="BI224" s="14">
        <v>11.0</v>
      </c>
      <c r="BJ224" s="14" t="s">
        <v>281</v>
      </c>
      <c r="BK224" s="14" t="s">
        <v>122</v>
      </c>
      <c r="BL224" s="14" t="s">
        <v>281</v>
      </c>
      <c r="BM224" s="14" t="s">
        <v>4704</v>
      </c>
      <c r="BN224" s="14" t="s">
        <v>99</v>
      </c>
      <c r="BO224" s="14" t="s">
        <v>425</v>
      </c>
      <c r="BP224" s="14" t="s">
        <v>99</v>
      </c>
      <c r="BQ224" s="14" t="s">
        <v>99</v>
      </c>
      <c r="BR224" s="14" t="s">
        <v>124</v>
      </c>
      <c r="BS224" s="14" t="s">
        <v>4705</v>
      </c>
      <c r="BT224" s="14" t="str">
        <f>HYPERLINK("https%3A%2F%2Fwww.webofscience.com%2Fwos%2Fwoscc%2Ffull-record%2FWOS:000307693400009","View Full Record in Web of Science")</f>
        <v>View Full Record in Web of Science</v>
      </c>
    </row>
    <row r="225" ht="12.75" customHeight="1">
      <c r="A225" s="14" t="s">
        <v>97</v>
      </c>
      <c r="B225" s="14" t="s">
        <v>4706</v>
      </c>
      <c r="C225" s="14" t="s">
        <v>99</v>
      </c>
      <c r="D225" s="14" t="s">
        <v>99</v>
      </c>
      <c r="E225" s="14" t="s">
        <v>99</v>
      </c>
      <c r="F225" s="14" t="s">
        <v>4707</v>
      </c>
      <c r="G225" s="14" t="s">
        <v>99</v>
      </c>
      <c r="H225" s="14" t="s">
        <v>99</v>
      </c>
      <c r="I225" s="14" t="s">
        <v>4708</v>
      </c>
      <c r="J225" s="14" t="s">
        <v>4709</v>
      </c>
      <c r="K225" s="14" t="s">
        <v>99</v>
      </c>
      <c r="L225" s="14" t="s">
        <v>99</v>
      </c>
      <c r="M225" s="14" t="s">
        <v>103</v>
      </c>
      <c r="N225" s="14" t="s">
        <v>104</v>
      </c>
      <c r="O225" s="14" t="s">
        <v>99</v>
      </c>
      <c r="P225" s="14" t="s">
        <v>99</v>
      </c>
      <c r="Q225" s="14" t="s">
        <v>99</v>
      </c>
      <c r="R225" s="14" t="s">
        <v>99</v>
      </c>
      <c r="S225" s="14" t="s">
        <v>99</v>
      </c>
      <c r="T225" s="14" t="s">
        <v>4710</v>
      </c>
      <c r="U225" s="14" t="s">
        <v>4711</v>
      </c>
      <c r="V225" s="14" t="s">
        <v>4712</v>
      </c>
      <c r="W225" s="14" t="s">
        <v>4713</v>
      </c>
      <c r="X225" s="14" t="s">
        <v>4714</v>
      </c>
      <c r="Y225" s="14" t="s">
        <v>4715</v>
      </c>
      <c r="Z225" s="14" t="s">
        <v>4716</v>
      </c>
      <c r="AA225" s="14" t="s">
        <v>4717</v>
      </c>
      <c r="AB225" s="14" t="s">
        <v>4718</v>
      </c>
      <c r="AC225" s="14" t="s">
        <v>4719</v>
      </c>
      <c r="AD225" s="14" t="s">
        <v>4720</v>
      </c>
      <c r="AE225" s="14" t="s">
        <v>4721</v>
      </c>
      <c r="AF225" s="14" t="s">
        <v>99</v>
      </c>
      <c r="AG225" s="14">
        <v>85.0</v>
      </c>
      <c r="AH225" s="14">
        <v>269.0</v>
      </c>
      <c r="AI225" s="14">
        <v>306.0</v>
      </c>
      <c r="AJ225" s="14">
        <v>7.0</v>
      </c>
      <c r="AK225" s="14">
        <v>270.0</v>
      </c>
      <c r="AL225" s="14" t="s">
        <v>4722</v>
      </c>
      <c r="AM225" s="14" t="s">
        <v>1594</v>
      </c>
      <c r="AN225" s="14" t="s">
        <v>4723</v>
      </c>
      <c r="AO225" s="14" t="s">
        <v>4724</v>
      </c>
      <c r="AP225" s="14" t="s">
        <v>4725</v>
      </c>
      <c r="AQ225" s="14" t="s">
        <v>99</v>
      </c>
      <c r="AR225" s="14" t="s">
        <v>4726</v>
      </c>
      <c r="AS225" s="14" t="s">
        <v>4727</v>
      </c>
      <c r="AT225" s="14" t="s">
        <v>421</v>
      </c>
      <c r="AU225" s="14">
        <v>2012.0</v>
      </c>
      <c r="AV225" s="14">
        <v>124.0</v>
      </c>
      <c r="AW225" s="14" t="s">
        <v>99</v>
      </c>
      <c r="AX225" s="14" t="s">
        <v>99</v>
      </c>
      <c r="AY225" s="14" t="s">
        <v>99</v>
      </c>
      <c r="AZ225" s="14" t="s">
        <v>99</v>
      </c>
      <c r="BA225" s="14" t="s">
        <v>99</v>
      </c>
      <c r="BB225" s="14">
        <v>334.0</v>
      </c>
      <c r="BC225" s="14">
        <v>347.0</v>
      </c>
      <c r="BD225" s="14" t="s">
        <v>99</v>
      </c>
      <c r="BE225" s="14" t="s">
        <v>4728</v>
      </c>
      <c r="BF225" s="15" t="str">
        <f>HYPERLINK("http://dx.doi.org/10.1016/j.rse.2012.05.019","http://dx.doi.org/10.1016/j.rse.2012.05.019")</f>
        <v>http://dx.doi.org/10.1016/j.rse.2012.05.019</v>
      </c>
      <c r="BG225" s="14" t="s">
        <v>99</v>
      </c>
      <c r="BH225" s="14" t="s">
        <v>99</v>
      </c>
      <c r="BI225" s="14">
        <v>14.0</v>
      </c>
      <c r="BJ225" s="14" t="s">
        <v>4729</v>
      </c>
      <c r="BK225" s="14" t="s">
        <v>122</v>
      </c>
      <c r="BL225" s="14" t="s">
        <v>4730</v>
      </c>
      <c r="BM225" s="14" t="s">
        <v>4731</v>
      </c>
      <c r="BN225" s="14" t="s">
        <v>99</v>
      </c>
      <c r="BO225" s="14" t="s">
        <v>425</v>
      </c>
      <c r="BP225" s="14" t="s">
        <v>99</v>
      </c>
      <c r="BQ225" s="14" t="s">
        <v>99</v>
      </c>
      <c r="BR225" s="14" t="s">
        <v>124</v>
      </c>
      <c r="BS225" s="14" t="s">
        <v>4732</v>
      </c>
      <c r="BT225" s="14" t="str">
        <f>HYPERLINK("https%3A%2F%2Fwww.webofscience.com%2Fwos%2Fwoscc%2Ffull-record%2FWOS:000311247700029","View Full Record in Web of Science")</f>
        <v>View Full Record in Web of Science</v>
      </c>
    </row>
    <row r="226" ht="12.75" customHeight="1">
      <c r="A226" s="14" t="s">
        <v>97</v>
      </c>
      <c r="B226" s="14" t="s">
        <v>4733</v>
      </c>
      <c r="C226" s="14" t="s">
        <v>99</v>
      </c>
      <c r="D226" s="14" t="s">
        <v>99</v>
      </c>
      <c r="E226" s="14" t="s">
        <v>99</v>
      </c>
      <c r="F226" s="14" t="s">
        <v>4734</v>
      </c>
      <c r="G226" s="14" t="s">
        <v>99</v>
      </c>
      <c r="H226" s="14" t="s">
        <v>99</v>
      </c>
      <c r="I226" s="14" t="s">
        <v>4735</v>
      </c>
      <c r="J226" s="14" t="s">
        <v>4736</v>
      </c>
      <c r="K226" s="14" t="s">
        <v>99</v>
      </c>
      <c r="L226" s="14" t="s">
        <v>99</v>
      </c>
      <c r="M226" s="14" t="s">
        <v>103</v>
      </c>
      <c r="N226" s="14" t="s">
        <v>104</v>
      </c>
      <c r="O226" s="14" t="s">
        <v>99</v>
      </c>
      <c r="P226" s="14" t="s">
        <v>99</v>
      </c>
      <c r="Q226" s="14" t="s">
        <v>99</v>
      </c>
      <c r="R226" s="14" t="s">
        <v>99</v>
      </c>
      <c r="S226" s="14" t="s">
        <v>99</v>
      </c>
      <c r="T226" s="14" t="s">
        <v>4737</v>
      </c>
      <c r="U226" s="14" t="s">
        <v>4738</v>
      </c>
      <c r="V226" s="14" t="s">
        <v>4739</v>
      </c>
      <c r="W226" s="14" t="s">
        <v>4740</v>
      </c>
      <c r="X226" s="14" t="s">
        <v>4741</v>
      </c>
      <c r="Y226" s="14" t="s">
        <v>4742</v>
      </c>
      <c r="Z226" s="14" t="s">
        <v>4743</v>
      </c>
      <c r="AA226" s="14" t="s">
        <v>4744</v>
      </c>
      <c r="AB226" s="14" t="s">
        <v>4745</v>
      </c>
      <c r="AC226" s="14" t="s">
        <v>4746</v>
      </c>
      <c r="AD226" s="14" t="s">
        <v>3686</v>
      </c>
      <c r="AE226" s="14" t="s">
        <v>4747</v>
      </c>
      <c r="AF226" s="14" t="s">
        <v>99</v>
      </c>
      <c r="AG226" s="14">
        <v>73.0</v>
      </c>
      <c r="AH226" s="14">
        <v>67.0</v>
      </c>
      <c r="AI226" s="14">
        <v>72.0</v>
      </c>
      <c r="AJ226" s="14">
        <v>0.0</v>
      </c>
      <c r="AK226" s="14">
        <v>96.0</v>
      </c>
      <c r="AL226" s="14" t="s">
        <v>1731</v>
      </c>
      <c r="AM226" s="14" t="s">
        <v>1732</v>
      </c>
      <c r="AN226" s="14" t="s">
        <v>1733</v>
      </c>
      <c r="AO226" s="14" t="s">
        <v>4748</v>
      </c>
      <c r="AP226" s="14" t="s">
        <v>4749</v>
      </c>
      <c r="AQ226" s="14" t="s">
        <v>99</v>
      </c>
      <c r="AR226" s="14" t="s">
        <v>4750</v>
      </c>
      <c r="AS226" s="14" t="s">
        <v>4751</v>
      </c>
      <c r="AT226" s="14" t="s">
        <v>421</v>
      </c>
      <c r="AU226" s="14">
        <v>2012.0</v>
      </c>
      <c r="AV226" s="14">
        <v>213.0</v>
      </c>
      <c r="AW226" s="14">
        <v>9.0</v>
      </c>
      <c r="AX226" s="14" t="s">
        <v>99</v>
      </c>
      <c r="AY226" s="14" t="s">
        <v>99</v>
      </c>
      <c r="AZ226" s="14" t="s">
        <v>99</v>
      </c>
      <c r="BA226" s="14" t="s">
        <v>99</v>
      </c>
      <c r="BB226" s="14">
        <v>1413.0</v>
      </c>
      <c r="BC226" s="14">
        <v>1424.0</v>
      </c>
      <c r="BD226" s="14" t="s">
        <v>99</v>
      </c>
      <c r="BE226" s="14" t="s">
        <v>4752</v>
      </c>
      <c r="BF226" s="15" t="str">
        <f>HYPERLINK("http://dx.doi.org/10.1007/s11258-012-0100-y","http://dx.doi.org/10.1007/s11258-012-0100-y")</f>
        <v>http://dx.doi.org/10.1007/s11258-012-0100-y</v>
      </c>
      <c r="BG226" s="14" t="s">
        <v>99</v>
      </c>
      <c r="BH226" s="14" t="s">
        <v>99</v>
      </c>
      <c r="BI226" s="14">
        <v>12.0</v>
      </c>
      <c r="BJ226" s="14" t="s">
        <v>1141</v>
      </c>
      <c r="BK226" s="14" t="s">
        <v>122</v>
      </c>
      <c r="BL226" s="14" t="s">
        <v>1142</v>
      </c>
      <c r="BM226" s="14" t="s">
        <v>4753</v>
      </c>
      <c r="BN226" s="14" t="s">
        <v>99</v>
      </c>
      <c r="BO226" s="14" t="s">
        <v>99</v>
      </c>
      <c r="BP226" s="14" t="s">
        <v>99</v>
      </c>
      <c r="BQ226" s="14" t="s">
        <v>99</v>
      </c>
      <c r="BR226" s="14" t="s">
        <v>124</v>
      </c>
      <c r="BS226" s="14" t="s">
        <v>4754</v>
      </c>
      <c r="BT226" s="14" t="str">
        <f>HYPERLINK("https%3A%2F%2Fwww.webofscience.com%2Fwos%2Fwoscc%2Ffull-record%2FWOS:000307718300004","View Full Record in Web of Science")</f>
        <v>View Full Record in Web of Science</v>
      </c>
    </row>
    <row r="227" ht="12.75" customHeight="1">
      <c r="A227" s="14" t="s">
        <v>97</v>
      </c>
      <c r="B227" s="14" t="s">
        <v>4755</v>
      </c>
      <c r="C227" s="14" t="s">
        <v>99</v>
      </c>
      <c r="D227" s="14" t="s">
        <v>99</v>
      </c>
      <c r="E227" s="14" t="s">
        <v>99</v>
      </c>
      <c r="F227" s="14" t="s">
        <v>4756</v>
      </c>
      <c r="G227" s="14" t="s">
        <v>99</v>
      </c>
      <c r="H227" s="14" t="s">
        <v>99</v>
      </c>
      <c r="I227" s="14" t="s">
        <v>4757</v>
      </c>
      <c r="J227" s="14" t="s">
        <v>2793</v>
      </c>
      <c r="K227" s="14" t="s">
        <v>99</v>
      </c>
      <c r="L227" s="14" t="s">
        <v>99</v>
      </c>
      <c r="M227" s="14" t="s">
        <v>103</v>
      </c>
      <c r="N227" s="14" t="s">
        <v>104</v>
      </c>
      <c r="O227" s="14" t="s">
        <v>99</v>
      </c>
      <c r="P227" s="14" t="s">
        <v>99</v>
      </c>
      <c r="Q227" s="14" t="s">
        <v>99</v>
      </c>
      <c r="R227" s="14" t="s">
        <v>99</v>
      </c>
      <c r="S227" s="14" t="s">
        <v>99</v>
      </c>
      <c r="T227" s="14" t="s">
        <v>99</v>
      </c>
      <c r="U227" s="14" t="s">
        <v>4758</v>
      </c>
      <c r="V227" s="14" t="s">
        <v>4759</v>
      </c>
      <c r="W227" s="14" t="s">
        <v>4760</v>
      </c>
      <c r="X227" s="14" t="s">
        <v>4761</v>
      </c>
      <c r="Y227" s="14" t="s">
        <v>4762</v>
      </c>
      <c r="Z227" s="14" t="s">
        <v>4763</v>
      </c>
      <c r="AA227" s="14" t="s">
        <v>4764</v>
      </c>
      <c r="AB227" s="14" t="s">
        <v>4765</v>
      </c>
      <c r="AC227" s="14" t="s">
        <v>4766</v>
      </c>
      <c r="AD227" s="14" t="s">
        <v>4767</v>
      </c>
      <c r="AE227" s="14" t="s">
        <v>4768</v>
      </c>
      <c r="AF227" s="14" t="s">
        <v>99</v>
      </c>
      <c r="AG227" s="14">
        <v>30.0</v>
      </c>
      <c r="AH227" s="14">
        <v>628.0</v>
      </c>
      <c r="AI227" s="14">
        <v>692.0</v>
      </c>
      <c r="AJ227" s="14">
        <v>9.0</v>
      </c>
      <c r="AK227" s="14">
        <v>491.0</v>
      </c>
      <c r="AL227" s="14" t="s">
        <v>1326</v>
      </c>
      <c r="AM227" s="14" t="s">
        <v>274</v>
      </c>
      <c r="AN227" s="14" t="s">
        <v>1327</v>
      </c>
      <c r="AO227" s="14" t="s">
        <v>2805</v>
      </c>
      <c r="AP227" s="14" t="s">
        <v>2806</v>
      </c>
      <c r="AQ227" s="14" t="s">
        <v>99</v>
      </c>
      <c r="AR227" s="14" t="s">
        <v>2807</v>
      </c>
      <c r="AS227" s="14" t="s">
        <v>2808</v>
      </c>
      <c r="AT227" s="14" t="s">
        <v>474</v>
      </c>
      <c r="AU227" s="14">
        <v>2012.0</v>
      </c>
      <c r="AV227" s="14">
        <v>2.0</v>
      </c>
      <c r="AW227" s="14">
        <v>8.0</v>
      </c>
      <c r="AX227" s="14" t="s">
        <v>99</v>
      </c>
      <c r="AY227" s="14" t="s">
        <v>99</v>
      </c>
      <c r="AZ227" s="14" t="s">
        <v>99</v>
      </c>
      <c r="BA227" s="14" t="s">
        <v>99</v>
      </c>
      <c r="BB227" s="14">
        <v>619.0</v>
      </c>
      <c r="BC227" s="14">
        <v>622.0</v>
      </c>
      <c r="BD227" s="14" t="s">
        <v>99</v>
      </c>
      <c r="BE227" s="14" t="s">
        <v>4769</v>
      </c>
      <c r="BF227" s="15" t="str">
        <f>HYPERLINK("http://dx.doi.org/10.1038/NCLIMATE1514","http://dx.doi.org/10.1038/NCLIMATE1514")</f>
        <v>http://dx.doi.org/10.1038/NCLIMATE1514</v>
      </c>
      <c r="BG227" s="14" t="s">
        <v>99</v>
      </c>
      <c r="BH227" s="14" t="s">
        <v>99</v>
      </c>
      <c r="BI227" s="14">
        <v>4.0</v>
      </c>
      <c r="BJ227" s="14" t="s">
        <v>2810</v>
      </c>
      <c r="BK227" s="14" t="s">
        <v>800</v>
      </c>
      <c r="BL227" s="14" t="s">
        <v>574</v>
      </c>
      <c r="BM227" s="14" t="s">
        <v>4770</v>
      </c>
      <c r="BN227" s="14" t="s">
        <v>99</v>
      </c>
      <c r="BO227" s="14" t="s">
        <v>99</v>
      </c>
      <c r="BP227" s="14" t="s">
        <v>99</v>
      </c>
      <c r="BQ227" s="14" t="s">
        <v>99</v>
      </c>
      <c r="BR227" s="14" t="s">
        <v>124</v>
      </c>
      <c r="BS227" s="14" t="s">
        <v>4771</v>
      </c>
      <c r="BT227" s="14" t="str">
        <f>HYPERLINK("https%3A%2F%2Fwww.webofscience.com%2Fwos%2Fwoscc%2Ffull-record%2FWOS:000307369300020","View Full Record in Web of Science")</f>
        <v>View Full Record in Web of Science</v>
      </c>
    </row>
    <row r="228" ht="12.75" customHeight="1">
      <c r="A228" s="14" t="s">
        <v>97</v>
      </c>
      <c r="B228" s="14" t="s">
        <v>4772</v>
      </c>
      <c r="C228" s="14" t="s">
        <v>99</v>
      </c>
      <c r="D228" s="14" t="s">
        <v>99</v>
      </c>
      <c r="E228" s="14" t="s">
        <v>99</v>
      </c>
      <c r="F228" s="14" t="s">
        <v>4773</v>
      </c>
      <c r="G228" s="14" t="s">
        <v>99</v>
      </c>
      <c r="H228" s="14" t="s">
        <v>99</v>
      </c>
      <c r="I228" s="14" t="s">
        <v>4774</v>
      </c>
      <c r="J228" s="14" t="s">
        <v>430</v>
      </c>
      <c r="K228" s="14" t="s">
        <v>99</v>
      </c>
      <c r="L228" s="14" t="s">
        <v>99</v>
      </c>
      <c r="M228" s="14" t="s">
        <v>103</v>
      </c>
      <c r="N228" s="14" t="s">
        <v>104</v>
      </c>
      <c r="O228" s="14" t="s">
        <v>99</v>
      </c>
      <c r="P228" s="14" t="s">
        <v>99</v>
      </c>
      <c r="Q228" s="14" t="s">
        <v>99</v>
      </c>
      <c r="R228" s="14" t="s">
        <v>99</v>
      </c>
      <c r="S228" s="14" t="s">
        <v>99</v>
      </c>
      <c r="T228" s="14" t="s">
        <v>4775</v>
      </c>
      <c r="U228" s="14" t="s">
        <v>4776</v>
      </c>
      <c r="V228" s="14" t="s">
        <v>4777</v>
      </c>
      <c r="W228" s="14" t="s">
        <v>4778</v>
      </c>
      <c r="X228" s="14" t="s">
        <v>4779</v>
      </c>
      <c r="Y228" s="14" t="s">
        <v>4780</v>
      </c>
      <c r="Z228" s="14" t="s">
        <v>4781</v>
      </c>
      <c r="AA228" s="14" t="s">
        <v>4782</v>
      </c>
      <c r="AB228" s="14" t="s">
        <v>4783</v>
      </c>
      <c r="AC228" s="14" t="s">
        <v>4784</v>
      </c>
      <c r="AD228" s="14" t="s">
        <v>4785</v>
      </c>
      <c r="AE228" s="14" t="s">
        <v>4786</v>
      </c>
      <c r="AF228" s="14" t="s">
        <v>99</v>
      </c>
      <c r="AG228" s="14">
        <v>63.0</v>
      </c>
      <c r="AH228" s="14">
        <v>18.0</v>
      </c>
      <c r="AI228" s="14">
        <v>19.0</v>
      </c>
      <c r="AJ228" s="14">
        <v>0.0</v>
      </c>
      <c r="AK228" s="14">
        <v>67.0</v>
      </c>
      <c r="AL228" s="14" t="s">
        <v>1033</v>
      </c>
      <c r="AM228" s="14" t="s">
        <v>442</v>
      </c>
      <c r="AN228" s="14" t="s">
        <v>1034</v>
      </c>
      <c r="AO228" s="14" t="s">
        <v>444</v>
      </c>
      <c r="AP228" s="14" t="s">
        <v>99</v>
      </c>
      <c r="AQ228" s="14" t="s">
        <v>99</v>
      </c>
      <c r="AR228" s="14" t="s">
        <v>446</v>
      </c>
      <c r="AS228" s="14" t="s">
        <v>447</v>
      </c>
      <c r="AT228" s="14" t="s">
        <v>4787</v>
      </c>
      <c r="AU228" s="14">
        <v>2012.0</v>
      </c>
      <c r="AV228" s="14">
        <v>277.0</v>
      </c>
      <c r="AW228" s="14" t="s">
        <v>99</v>
      </c>
      <c r="AX228" s="14" t="s">
        <v>99</v>
      </c>
      <c r="AY228" s="14" t="s">
        <v>99</v>
      </c>
      <c r="AZ228" s="14" t="s">
        <v>99</v>
      </c>
      <c r="BA228" s="14" t="s">
        <v>99</v>
      </c>
      <c r="BB228" s="14">
        <v>38.0</v>
      </c>
      <c r="BC228" s="14">
        <v>45.0</v>
      </c>
      <c r="BD228" s="14" t="s">
        <v>99</v>
      </c>
      <c r="BE228" s="14" t="s">
        <v>4788</v>
      </c>
      <c r="BF228" s="15" t="str">
        <f>HYPERLINK("http://dx.doi.org/10.1016/j.foreco.2012.04.021","http://dx.doi.org/10.1016/j.foreco.2012.04.021")</f>
        <v>http://dx.doi.org/10.1016/j.foreco.2012.04.021</v>
      </c>
      <c r="BG228" s="14" t="s">
        <v>99</v>
      </c>
      <c r="BH228" s="14" t="s">
        <v>99</v>
      </c>
      <c r="BI228" s="14">
        <v>8.0</v>
      </c>
      <c r="BJ228" s="14" t="s">
        <v>281</v>
      </c>
      <c r="BK228" s="14" t="s">
        <v>122</v>
      </c>
      <c r="BL228" s="14" t="s">
        <v>281</v>
      </c>
      <c r="BM228" s="14" t="s">
        <v>4789</v>
      </c>
      <c r="BN228" s="14" t="s">
        <v>99</v>
      </c>
      <c r="BO228" s="14" t="s">
        <v>99</v>
      </c>
      <c r="BP228" s="14" t="s">
        <v>99</v>
      </c>
      <c r="BQ228" s="14" t="s">
        <v>99</v>
      </c>
      <c r="BR228" s="14" t="s">
        <v>124</v>
      </c>
      <c r="BS228" s="14" t="s">
        <v>4790</v>
      </c>
      <c r="BT228" s="14" t="str">
        <f>HYPERLINK("https%3A%2F%2Fwww.webofscience.com%2Fwos%2Fwoscc%2Ffull-record%2FWOS:000305860200004","View Full Record in Web of Science")</f>
        <v>View Full Record in Web of Science</v>
      </c>
    </row>
    <row r="229" ht="12.75" customHeight="1">
      <c r="A229" s="14" t="s">
        <v>97</v>
      </c>
      <c r="B229" s="14" t="s">
        <v>4791</v>
      </c>
      <c r="C229" s="14" t="s">
        <v>99</v>
      </c>
      <c r="D229" s="14" t="s">
        <v>99</v>
      </c>
      <c r="E229" s="14" t="s">
        <v>99</v>
      </c>
      <c r="F229" s="14" t="s">
        <v>4792</v>
      </c>
      <c r="G229" s="14" t="s">
        <v>99</v>
      </c>
      <c r="H229" s="14" t="s">
        <v>99</v>
      </c>
      <c r="I229" s="14" t="s">
        <v>4793</v>
      </c>
      <c r="J229" s="14" t="s">
        <v>2500</v>
      </c>
      <c r="K229" s="14" t="s">
        <v>99</v>
      </c>
      <c r="L229" s="14" t="s">
        <v>99</v>
      </c>
      <c r="M229" s="14" t="s">
        <v>103</v>
      </c>
      <c r="N229" s="14" t="s">
        <v>104</v>
      </c>
      <c r="O229" s="14" t="s">
        <v>99</v>
      </c>
      <c r="P229" s="14" t="s">
        <v>99</v>
      </c>
      <c r="Q229" s="14" t="s">
        <v>99</v>
      </c>
      <c r="R229" s="14" t="s">
        <v>99</v>
      </c>
      <c r="S229" s="14" t="s">
        <v>99</v>
      </c>
      <c r="T229" s="14" t="s">
        <v>99</v>
      </c>
      <c r="U229" s="14" t="s">
        <v>4794</v>
      </c>
      <c r="V229" s="14" t="s">
        <v>4795</v>
      </c>
      <c r="W229" s="14" t="s">
        <v>4796</v>
      </c>
      <c r="X229" s="14" t="s">
        <v>4797</v>
      </c>
      <c r="Y229" s="14" t="s">
        <v>4798</v>
      </c>
      <c r="Z229" s="14" t="s">
        <v>4799</v>
      </c>
      <c r="AA229" s="14" t="s">
        <v>4800</v>
      </c>
      <c r="AB229" s="14" t="s">
        <v>4801</v>
      </c>
      <c r="AC229" s="14" t="s">
        <v>4802</v>
      </c>
      <c r="AD229" s="14" t="s">
        <v>4802</v>
      </c>
      <c r="AE229" s="14" t="s">
        <v>4803</v>
      </c>
      <c r="AF229" s="14" t="s">
        <v>99</v>
      </c>
      <c r="AG229" s="14">
        <v>159.0</v>
      </c>
      <c r="AH229" s="14">
        <v>54.0</v>
      </c>
      <c r="AI229" s="14">
        <v>68.0</v>
      </c>
      <c r="AJ229" s="14">
        <v>0.0</v>
      </c>
      <c r="AK229" s="14">
        <v>99.0</v>
      </c>
      <c r="AL229" s="14" t="s">
        <v>2512</v>
      </c>
      <c r="AM229" s="14" t="s">
        <v>2513</v>
      </c>
      <c r="AN229" s="14" t="s">
        <v>2514</v>
      </c>
      <c r="AO229" s="14" t="s">
        <v>2515</v>
      </c>
      <c r="AP229" s="14" t="s">
        <v>99</v>
      </c>
      <c r="AQ229" s="14" t="s">
        <v>99</v>
      </c>
      <c r="AR229" s="14" t="s">
        <v>2500</v>
      </c>
      <c r="AS229" s="14" t="s">
        <v>2516</v>
      </c>
      <c r="AT229" s="14" t="s">
        <v>4804</v>
      </c>
      <c r="AU229" s="14">
        <v>2012.0</v>
      </c>
      <c r="AV229" s="14">
        <v>7.0</v>
      </c>
      <c r="AW229" s="14">
        <v>7.0</v>
      </c>
      <c r="AX229" s="14" t="s">
        <v>99</v>
      </c>
      <c r="AY229" s="14" t="s">
        <v>99</v>
      </c>
      <c r="AZ229" s="14" t="s">
        <v>99</v>
      </c>
      <c r="BA229" s="14" t="s">
        <v>99</v>
      </c>
      <c r="BB229" s="14" t="s">
        <v>99</v>
      </c>
      <c r="BC229" s="14" t="s">
        <v>99</v>
      </c>
      <c r="BD229" s="14" t="s">
        <v>4805</v>
      </c>
      <c r="BE229" s="14" t="s">
        <v>4806</v>
      </c>
      <c r="BF229" s="15" t="str">
        <f>HYPERLINK("http://dx.doi.org/10.1371/journal.pone.0039825","http://dx.doi.org/10.1371/journal.pone.0039825")</f>
        <v>http://dx.doi.org/10.1371/journal.pone.0039825</v>
      </c>
      <c r="BG229" s="14" t="s">
        <v>99</v>
      </c>
      <c r="BH229" s="14" t="s">
        <v>99</v>
      </c>
      <c r="BI229" s="14">
        <v>13.0</v>
      </c>
      <c r="BJ229" s="14" t="s">
        <v>799</v>
      </c>
      <c r="BK229" s="14" t="s">
        <v>122</v>
      </c>
      <c r="BL229" s="14" t="s">
        <v>801</v>
      </c>
      <c r="BM229" s="14" t="s">
        <v>4807</v>
      </c>
      <c r="BN229" s="14">
        <v>2.2808066E7</v>
      </c>
      <c r="BO229" s="14" t="s">
        <v>1251</v>
      </c>
      <c r="BP229" s="14" t="s">
        <v>99</v>
      </c>
      <c r="BQ229" s="14" t="s">
        <v>99</v>
      </c>
      <c r="BR229" s="14" t="s">
        <v>124</v>
      </c>
      <c r="BS229" s="14" t="s">
        <v>4808</v>
      </c>
      <c r="BT229" s="14" t="str">
        <f>HYPERLINK("https%3A%2F%2Fwww.webofscience.com%2Fwos%2Fwoscc%2Ffull-record%2FWOS:000306362400022","View Full Record in Web of Science")</f>
        <v>View Full Record in Web of Science</v>
      </c>
    </row>
    <row r="230" ht="12.75" customHeight="1">
      <c r="A230" s="14" t="s">
        <v>97</v>
      </c>
      <c r="B230" s="14" t="s">
        <v>4809</v>
      </c>
      <c r="C230" s="14" t="s">
        <v>99</v>
      </c>
      <c r="D230" s="14" t="s">
        <v>99</v>
      </c>
      <c r="E230" s="14" t="s">
        <v>99</v>
      </c>
      <c r="F230" s="14" t="s">
        <v>4810</v>
      </c>
      <c r="G230" s="14" t="s">
        <v>99</v>
      </c>
      <c r="H230" s="14" t="s">
        <v>99</v>
      </c>
      <c r="I230" s="14" t="s">
        <v>4811</v>
      </c>
      <c r="J230" s="14" t="s">
        <v>4812</v>
      </c>
      <c r="K230" s="14" t="s">
        <v>99</v>
      </c>
      <c r="L230" s="14" t="s">
        <v>99</v>
      </c>
      <c r="M230" s="14" t="s">
        <v>103</v>
      </c>
      <c r="N230" s="14" t="s">
        <v>104</v>
      </c>
      <c r="O230" s="14" t="s">
        <v>99</v>
      </c>
      <c r="P230" s="14" t="s">
        <v>99</v>
      </c>
      <c r="Q230" s="14" t="s">
        <v>99</v>
      </c>
      <c r="R230" s="14" t="s">
        <v>99</v>
      </c>
      <c r="S230" s="14" t="s">
        <v>99</v>
      </c>
      <c r="T230" s="14" t="s">
        <v>4813</v>
      </c>
      <c r="U230" s="14" t="s">
        <v>4814</v>
      </c>
      <c r="V230" s="14" t="s">
        <v>4815</v>
      </c>
      <c r="W230" s="14" t="s">
        <v>4816</v>
      </c>
      <c r="X230" s="14" t="s">
        <v>4817</v>
      </c>
      <c r="Y230" s="14" t="s">
        <v>4818</v>
      </c>
      <c r="Z230" s="14" t="s">
        <v>4819</v>
      </c>
      <c r="AA230" s="14" t="s">
        <v>4820</v>
      </c>
      <c r="AB230" s="14" t="s">
        <v>4821</v>
      </c>
      <c r="AC230" s="14" t="s">
        <v>4822</v>
      </c>
      <c r="AD230" s="14" t="s">
        <v>4823</v>
      </c>
      <c r="AE230" s="14" t="s">
        <v>4824</v>
      </c>
      <c r="AF230" s="14" t="s">
        <v>99</v>
      </c>
      <c r="AG230" s="14">
        <v>97.0</v>
      </c>
      <c r="AH230" s="14">
        <v>11.0</v>
      </c>
      <c r="AI230" s="14">
        <v>12.0</v>
      </c>
      <c r="AJ230" s="14">
        <v>1.0</v>
      </c>
      <c r="AK230" s="14">
        <v>21.0</v>
      </c>
      <c r="AL230" s="14" t="s">
        <v>1731</v>
      </c>
      <c r="AM230" s="14" t="s">
        <v>1594</v>
      </c>
      <c r="AN230" s="14" t="s">
        <v>3448</v>
      </c>
      <c r="AO230" s="14" t="s">
        <v>4825</v>
      </c>
      <c r="AP230" s="14" t="s">
        <v>4826</v>
      </c>
      <c r="AQ230" s="14" t="s">
        <v>99</v>
      </c>
      <c r="AR230" s="14" t="s">
        <v>4827</v>
      </c>
      <c r="AS230" s="14" t="s">
        <v>4828</v>
      </c>
      <c r="AT230" s="14" t="s">
        <v>525</v>
      </c>
      <c r="AU230" s="14">
        <v>2012.0</v>
      </c>
      <c r="AV230" s="14">
        <v>35.0</v>
      </c>
      <c r="AW230" s="14">
        <v>4.0</v>
      </c>
      <c r="AX230" s="14" t="s">
        <v>99</v>
      </c>
      <c r="AY230" s="14" t="s">
        <v>99</v>
      </c>
      <c r="AZ230" s="14" t="s">
        <v>99</v>
      </c>
      <c r="BA230" s="14" t="s">
        <v>99</v>
      </c>
      <c r="BB230" s="14">
        <v>1082.0</v>
      </c>
      <c r="BC230" s="14">
        <v>1099.0</v>
      </c>
      <c r="BD230" s="14" t="s">
        <v>99</v>
      </c>
      <c r="BE230" s="14" t="s">
        <v>4829</v>
      </c>
      <c r="BF230" s="15" t="str">
        <f>HYPERLINK("http://dx.doi.org/10.1007/s12237-012-9506-y","http://dx.doi.org/10.1007/s12237-012-9506-y")</f>
        <v>http://dx.doi.org/10.1007/s12237-012-9506-y</v>
      </c>
      <c r="BG230" s="14" t="s">
        <v>99</v>
      </c>
      <c r="BH230" s="14" t="s">
        <v>99</v>
      </c>
      <c r="BI230" s="14">
        <v>18.0</v>
      </c>
      <c r="BJ230" s="14" t="s">
        <v>396</v>
      </c>
      <c r="BK230" s="14" t="s">
        <v>122</v>
      </c>
      <c r="BL230" s="14" t="s">
        <v>397</v>
      </c>
      <c r="BM230" s="14" t="s">
        <v>4830</v>
      </c>
      <c r="BN230" s="14" t="s">
        <v>99</v>
      </c>
      <c r="BO230" s="14" t="s">
        <v>99</v>
      </c>
      <c r="BP230" s="14" t="s">
        <v>99</v>
      </c>
      <c r="BQ230" s="14" t="s">
        <v>99</v>
      </c>
      <c r="BR230" s="14" t="s">
        <v>124</v>
      </c>
      <c r="BS230" s="14" t="s">
        <v>4831</v>
      </c>
      <c r="BT230" s="14" t="str">
        <f>HYPERLINK("https%3A%2F%2Fwww.webofscience.com%2Fwos%2Fwoscc%2Ffull-record%2FWOS:000304697600014","View Full Record in Web of Science")</f>
        <v>View Full Record in Web of Science</v>
      </c>
    </row>
    <row r="231" ht="12.75" customHeight="1">
      <c r="A231" s="14" t="s">
        <v>97</v>
      </c>
      <c r="B231" s="14" t="s">
        <v>4832</v>
      </c>
      <c r="C231" s="14" t="s">
        <v>99</v>
      </c>
      <c r="D231" s="14" t="s">
        <v>99</v>
      </c>
      <c r="E231" s="14" t="s">
        <v>99</v>
      </c>
      <c r="F231" s="14" t="s">
        <v>4833</v>
      </c>
      <c r="G231" s="14" t="s">
        <v>99</v>
      </c>
      <c r="H231" s="14" t="s">
        <v>99</v>
      </c>
      <c r="I231" s="14" t="s">
        <v>4834</v>
      </c>
      <c r="J231" s="14" t="s">
        <v>3065</v>
      </c>
      <c r="K231" s="14" t="s">
        <v>99</v>
      </c>
      <c r="L231" s="14" t="s">
        <v>99</v>
      </c>
      <c r="M231" s="14" t="s">
        <v>103</v>
      </c>
      <c r="N231" s="14" t="s">
        <v>104</v>
      </c>
      <c r="O231" s="14" t="s">
        <v>99</v>
      </c>
      <c r="P231" s="14" t="s">
        <v>99</v>
      </c>
      <c r="Q231" s="14" t="s">
        <v>99</v>
      </c>
      <c r="R231" s="14" t="s">
        <v>99</v>
      </c>
      <c r="S231" s="14" t="s">
        <v>99</v>
      </c>
      <c r="T231" s="14" t="s">
        <v>4835</v>
      </c>
      <c r="U231" s="14" t="s">
        <v>4836</v>
      </c>
      <c r="V231" s="14" t="s">
        <v>4837</v>
      </c>
      <c r="W231" s="14" t="s">
        <v>4838</v>
      </c>
      <c r="X231" s="14" t="s">
        <v>4839</v>
      </c>
      <c r="Y231" s="14" t="s">
        <v>4840</v>
      </c>
      <c r="Z231" s="14" t="s">
        <v>4841</v>
      </c>
      <c r="AA231" s="14" t="s">
        <v>4842</v>
      </c>
      <c r="AB231" s="14" t="s">
        <v>4843</v>
      </c>
      <c r="AC231" s="14" t="s">
        <v>4844</v>
      </c>
      <c r="AD231" s="14" t="s">
        <v>4844</v>
      </c>
      <c r="AE231" s="14" t="s">
        <v>4845</v>
      </c>
      <c r="AF231" s="14" t="s">
        <v>99</v>
      </c>
      <c r="AG231" s="14">
        <v>59.0</v>
      </c>
      <c r="AH231" s="14">
        <v>65.0</v>
      </c>
      <c r="AI231" s="14">
        <v>66.0</v>
      </c>
      <c r="AJ231" s="14">
        <v>2.0</v>
      </c>
      <c r="AK231" s="14">
        <v>73.0</v>
      </c>
      <c r="AL231" s="14" t="s">
        <v>3078</v>
      </c>
      <c r="AM231" s="14" t="s">
        <v>468</v>
      </c>
      <c r="AN231" s="14" t="s">
        <v>3079</v>
      </c>
      <c r="AO231" s="14" t="s">
        <v>3080</v>
      </c>
      <c r="AP231" s="14" t="s">
        <v>3081</v>
      </c>
      <c r="AQ231" s="14" t="s">
        <v>99</v>
      </c>
      <c r="AR231" s="14" t="s">
        <v>3082</v>
      </c>
      <c r="AS231" s="14" t="s">
        <v>3083</v>
      </c>
      <c r="AT231" s="14" t="s">
        <v>525</v>
      </c>
      <c r="AU231" s="14">
        <v>2012.0</v>
      </c>
      <c r="AV231" s="14">
        <v>69.0</v>
      </c>
      <c r="AW231" s="14">
        <v>6.0</v>
      </c>
      <c r="AX231" s="14" t="s">
        <v>99</v>
      </c>
      <c r="AY231" s="14" t="s">
        <v>99</v>
      </c>
      <c r="AZ231" s="14" t="s">
        <v>99</v>
      </c>
      <c r="BA231" s="14" t="s">
        <v>99</v>
      </c>
      <c r="BB231" s="14">
        <v>961.0</v>
      </c>
      <c r="BC231" s="14">
        <v>970.0</v>
      </c>
      <c r="BD231" s="14" t="s">
        <v>99</v>
      </c>
      <c r="BE231" s="14" t="s">
        <v>4846</v>
      </c>
      <c r="BF231" s="15" t="str">
        <f>HYPERLINK("http://dx.doi.org/10.1093/icesjms/fss072","http://dx.doi.org/10.1093/icesjms/fss072")</f>
        <v>http://dx.doi.org/10.1093/icesjms/fss072</v>
      </c>
      <c r="BG231" s="14" t="s">
        <v>99</v>
      </c>
      <c r="BH231" s="14" t="s">
        <v>99</v>
      </c>
      <c r="BI231" s="14">
        <v>10.0</v>
      </c>
      <c r="BJ231" s="14" t="s">
        <v>3086</v>
      </c>
      <c r="BK231" s="14" t="s">
        <v>122</v>
      </c>
      <c r="BL231" s="14" t="s">
        <v>3086</v>
      </c>
      <c r="BM231" s="14" t="s">
        <v>4847</v>
      </c>
      <c r="BN231" s="14" t="s">
        <v>99</v>
      </c>
      <c r="BO231" s="14" t="s">
        <v>238</v>
      </c>
      <c r="BP231" s="14" t="s">
        <v>99</v>
      </c>
      <c r="BQ231" s="14" t="s">
        <v>99</v>
      </c>
      <c r="BR231" s="14" t="s">
        <v>124</v>
      </c>
      <c r="BS231" s="14" t="s">
        <v>4848</v>
      </c>
      <c r="BT231" s="14" t="str">
        <f>HYPERLINK("https%3A%2F%2Fwww.webofscience.com%2Fwos%2Fwoscc%2Ffull-record%2FWOS:000305461200004","View Full Record in Web of Science")</f>
        <v>View Full Record in Web of Science</v>
      </c>
    </row>
    <row r="232" ht="12.75" customHeight="1">
      <c r="A232" s="14" t="s">
        <v>97</v>
      </c>
      <c r="B232" s="14" t="s">
        <v>4849</v>
      </c>
      <c r="C232" s="14" t="s">
        <v>99</v>
      </c>
      <c r="D232" s="14" t="s">
        <v>99</v>
      </c>
      <c r="E232" s="14" t="s">
        <v>99</v>
      </c>
      <c r="F232" s="14" t="s">
        <v>4850</v>
      </c>
      <c r="G232" s="14" t="s">
        <v>99</v>
      </c>
      <c r="H232" s="14" t="s">
        <v>99</v>
      </c>
      <c r="I232" s="14" t="s">
        <v>4851</v>
      </c>
      <c r="J232" s="14" t="s">
        <v>328</v>
      </c>
      <c r="K232" s="14" t="s">
        <v>99</v>
      </c>
      <c r="L232" s="14" t="s">
        <v>99</v>
      </c>
      <c r="M232" s="14" t="s">
        <v>103</v>
      </c>
      <c r="N232" s="14" t="s">
        <v>104</v>
      </c>
      <c r="O232" s="14" t="s">
        <v>99</v>
      </c>
      <c r="P232" s="14" t="s">
        <v>99</v>
      </c>
      <c r="Q232" s="14" t="s">
        <v>99</v>
      </c>
      <c r="R232" s="14" t="s">
        <v>99</v>
      </c>
      <c r="S232" s="14" t="s">
        <v>99</v>
      </c>
      <c r="T232" s="14" t="s">
        <v>4852</v>
      </c>
      <c r="U232" s="14" t="s">
        <v>4853</v>
      </c>
      <c r="V232" s="14" t="s">
        <v>4854</v>
      </c>
      <c r="W232" s="14" t="s">
        <v>4855</v>
      </c>
      <c r="X232" s="14" t="s">
        <v>4856</v>
      </c>
      <c r="Y232" s="14" t="s">
        <v>4857</v>
      </c>
      <c r="Z232" s="14" t="s">
        <v>4858</v>
      </c>
      <c r="AA232" s="14" t="s">
        <v>4859</v>
      </c>
      <c r="AB232" s="14" t="s">
        <v>4860</v>
      </c>
      <c r="AC232" s="14" t="s">
        <v>4861</v>
      </c>
      <c r="AD232" s="14" t="s">
        <v>4862</v>
      </c>
      <c r="AE232" s="14" t="s">
        <v>4863</v>
      </c>
      <c r="AF232" s="14" t="s">
        <v>99</v>
      </c>
      <c r="AG232" s="14">
        <v>64.0</v>
      </c>
      <c r="AH232" s="14">
        <v>99.0</v>
      </c>
      <c r="AI232" s="14">
        <v>107.0</v>
      </c>
      <c r="AJ232" s="14">
        <v>0.0</v>
      </c>
      <c r="AK232" s="14">
        <v>176.0</v>
      </c>
      <c r="AL232" s="14" t="s">
        <v>341</v>
      </c>
      <c r="AM232" s="14" t="s">
        <v>342</v>
      </c>
      <c r="AN232" s="14" t="s">
        <v>343</v>
      </c>
      <c r="AO232" s="14" t="s">
        <v>344</v>
      </c>
      <c r="AP232" s="14" t="s">
        <v>345</v>
      </c>
      <c r="AQ232" s="14" t="s">
        <v>99</v>
      </c>
      <c r="AR232" s="14" t="s">
        <v>346</v>
      </c>
      <c r="AS232" s="14" t="s">
        <v>347</v>
      </c>
      <c r="AT232" s="14" t="s">
        <v>525</v>
      </c>
      <c r="AU232" s="14">
        <v>2012.0</v>
      </c>
      <c r="AV232" s="14">
        <v>18.0</v>
      </c>
      <c r="AW232" s="14">
        <v>7.0</v>
      </c>
      <c r="AX232" s="14" t="s">
        <v>99</v>
      </c>
      <c r="AY232" s="14" t="s">
        <v>99</v>
      </c>
      <c r="AZ232" s="14" t="s">
        <v>99</v>
      </c>
      <c r="BA232" s="14" t="s">
        <v>99</v>
      </c>
      <c r="BB232" s="14">
        <v>2184.0</v>
      </c>
      <c r="BC232" s="14">
        <v>2194.0</v>
      </c>
      <c r="BD232" s="14" t="s">
        <v>99</v>
      </c>
      <c r="BE232" s="14" t="s">
        <v>4864</v>
      </c>
      <c r="BF232" s="15" t="str">
        <f>HYPERLINK("http://dx.doi.org/10.1111/j.1365-2486.2012.02662.x","http://dx.doi.org/10.1111/j.1365-2486.2012.02662.x")</f>
        <v>http://dx.doi.org/10.1111/j.1365-2486.2012.02662.x</v>
      </c>
      <c r="BG232" s="14" t="s">
        <v>99</v>
      </c>
      <c r="BH232" s="14" t="s">
        <v>99</v>
      </c>
      <c r="BI232" s="14">
        <v>11.0</v>
      </c>
      <c r="BJ232" s="14" t="s">
        <v>351</v>
      </c>
      <c r="BK232" s="14" t="s">
        <v>122</v>
      </c>
      <c r="BL232" s="14" t="s">
        <v>352</v>
      </c>
      <c r="BM232" s="14" t="s">
        <v>4865</v>
      </c>
      <c r="BN232" s="14" t="s">
        <v>99</v>
      </c>
      <c r="BO232" s="14" t="s">
        <v>99</v>
      </c>
      <c r="BP232" s="14" t="s">
        <v>99</v>
      </c>
      <c r="BQ232" s="14" t="s">
        <v>99</v>
      </c>
      <c r="BR232" s="14" t="s">
        <v>124</v>
      </c>
      <c r="BS232" s="14" t="s">
        <v>4866</v>
      </c>
      <c r="BT232" s="14" t="str">
        <f>HYPERLINK("https%3A%2F%2Fwww.webofscience.com%2Fwos%2Fwoscc%2Ffull-record%2FWOS:000304820300009","View Full Record in Web of Science")</f>
        <v>View Full Record in Web of Science</v>
      </c>
    </row>
    <row r="233" ht="12.75" customHeight="1">
      <c r="A233" s="14" t="s">
        <v>97</v>
      </c>
      <c r="B233" s="14" t="s">
        <v>4867</v>
      </c>
      <c r="C233" s="14" t="s">
        <v>99</v>
      </c>
      <c r="D233" s="14" t="s">
        <v>99</v>
      </c>
      <c r="E233" s="14" t="s">
        <v>99</v>
      </c>
      <c r="F233" s="14" t="s">
        <v>4868</v>
      </c>
      <c r="G233" s="14" t="s">
        <v>99</v>
      </c>
      <c r="H233" s="14" t="s">
        <v>99</v>
      </c>
      <c r="I233" s="14" t="s">
        <v>4869</v>
      </c>
      <c r="J233" s="14" t="s">
        <v>4870</v>
      </c>
      <c r="K233" s="14" t="s">
        <v>99</v>
      </c>
      <c r="L233" s="14" t="s">
        <v>99</v>
      </c>
      <c r="M233" s="14" t="s">
        <v>103</v>
      </c>
      <c r="N233" s="14" t="s">
        <v>104</v>
      </c>
      <c r="O233" s="14" t="s">
        <v>99</v>
      </c>
      <c r="P233" s="14" t="s">
        <v>99</v>
      </c>
      <c r="Q233" s="14" t="s">
        <v>99</v>
      </c>
      <c r="R233" s="14" t="s">
        <v>99</v>
      </c>
      <c r="S233" s="14" t="s">
        <v>99</v>
      </c>
      <c r="T233" s="14" t="s">
        <v>99</v>
      </c>
      <c r="U233" s="14" t="s">
        <v>4871</v>
      </c>
      <c r="V233" s="14" t="s">
        <v>4872</v>
      </c>
      <c r="W233" s="14" t="s">
        <v>4873</v>
      </c>
      <c r="X233" s="14" t="s">
        <v>4874</v>
      </c>
      <c r="Y233" s="14" t="s">
        <v>4875</v>
      </c>
      <c r="Z233" s="14" t="s">
        <v>4876</v>
      </c>
      <c r="AA233" s="14" t="s">
        <v>4877</v>
      </c>
      <c r="AB233" s="14" t="s">
        <v>4878</v>
      </c>
      <c r="AC233" s="14" t="s">
        <v>4879</v>
      </c>
      <c r="AD233" s="14" t="s">
        <v>4880</v>
      </c>
      <c r="AE233" s="14" t="s">
        <v>4881</v>
      </c>
      <c r="AF233" s="14" t="s">
        <v>99</v>
      </c>
      <c r="AG233" s="14">
        <v>84.0</v>
      </c>
      <c r="AH233" s="14">
        <v>53.0</v>
      </c>
      <c r="AI233" s="14">
        <v>63.0</v>
      </c>
      <c r="AJ233" s="14">
        <v>0.0</v>
      </c>
      <c r="AK233" s="14">
        <v>7.0</v>
      </c>
      <c r="AL233" s="14" t="s">
        <v>982</v>
      </c>
      <c r="AM233" s="14" t="s">
        <v>789</v>
      </c>
      <c r="AN233" s="14" t="s">
        <v>983</v>
      </c>
      <c r="AO233" s="14" t="s">
        <v>4882</v>
      </c>
      <c r="AP233" s="14" t="s">
        <v>4883</v>
      </c>
      <c r="AQ233" s="14" t="s">
        <v>99</v>
      </c>
      <c r="AR233" s="14" t="s">
        <v>4884</v>
      </c>
      <c r="AS233" s="14" t="s">
        <v>4885</v>
      </c>
      <c r="AT233" s="14" t="s">
        <v>1328</v>
      </c>
      <c r="AU233" s="14">
        <v>2012.0</v>
      </c>
      <c r="AV233" s="14">
        <v>117.0</v>
      </c>
      <c r="AW233" s="14" t="s">
        <v>99</v>
      </c>
      <c r="AX233" s="14" t="s">
        <v>99</v>
      </c>
      <c r="AY233" s="14" t="s">
        <v>99</v>
      </c>
      <c r="AZ233" s="14" t="s">
        <v>99</v>
      </c>
      <c r="BA233" s="14" t="s">
        <v>99</v>
      </c>
      <c r="BB233" s="14" t="s">
        <v>99</v>
      </c>
      <c r="BC233" s="14" t="s">
        <v>99</v>
      </c>
      <c r="BD233" s="14" t="s">
        <v>4886</v>
      </c>
      <c r="BE233" s="14" t="s">
        <v>4887</v>
      </c>
      <c r="BF233" s="15" t="str">
        <f>HYPERLINK("http://dx.doi.org/10.1029/2011JG001930","http://dx.doi.org/10.1029/2011JG001930")</f>
        <v>http://dx.doi.org/10.1029/2011JG001930</v>
      </c>
      <c r="BG233" s="14" t="s">
        <v>99</v>
      </c>
      <c r="BH233" s="14" t="s">
        <v>99</v>
      </c>
      <c r="BI233" s="14">
        <v>18.0</v>
      </c>
      <c r="BJ233" s="14" t="s">
        <v>4888</v>
      </c>
      <c r="BK233" s="14" t="s">
        <v>122</v>
      </c>
      <c r="BL233" s="14" t="s">
        <v>1397</v>
      </c>
      <c r="BM233" s="14" t="s">
        <v>4889</v>
      </c>
      <c r="BN233" s="14" t="s">
        <v>99</v>
      </c>
      <c r="BO233" s="14" t="s">
        <v>99</v>
      </c>
      <c r="BP233" s="14" t="s">
        <v>99</v>
      </c>
      <c r="BQ233" s="14" t="s">
        <v>99</v>
      </c>
      <c r="BR233" s="14" t="s">
        <v>124</v>
      </c>
      <c r="BS233" s="14" t="s">
        <v>4890</v>
      </c>
      <c r="BT233" s="14" t="str">
        <f>HYPERLINK("https%3A%2F%2Fwww.webofscience.com%2Fwos%2Fwoscc%2Ffull-record%2FWOS:000305154000001","View Full Record in Web of Science")</f>
        <v>View Full Record in Web of Science</v>
      </c>
    </row>
    <row r="234" ht="12.75" customHeight="1">
      <c r="A234" s="14" t="s">
        <v>97</v>
      </c>
      <c r="B234" s="14" t="s">
        <v>4891</v>
      </c>
      <c r="C234" s="14" t="s">
        <v>99</v>
      </c>
      <c r="D234" s="14" t="s">
        <v>99</v>
      </c>
      <c r="E234" s="14" t="s">
        <v>99</v>
      </c>
      <c r="F234" s="14" t="s">
        <v>4892</v>
      </c>
      <c r="G234" s="14" t="s">
        <v>99</v>
      </c>
      <c r="H234" s="14" t="s">
        <v>99</v>
      </c>
      <c r="I234" s="14" t="s">
        <v>4893</v>
      </c>
      <c r="J234" s="14" t="s">
        <v>328</v>
      </c>
      <c r="K234" s="14" t="s">
        <v>99</v>
      </c>
      <c r="L234" s="14" t="s">
        <v>99</v>
      </c>
      <c r="M234" s="14" t="s">
        <v>103</v>
      </c>
      <c r="N234" s="14" t="s">
        <v>104</v>
      </c>
      <c r="O234" s="14" t="s">
        <v>99</v>
      </c>
      <c r="P234" s="14" t="s">
        <v>99</v>
      </c>
      <c r="Q234" s="14" t="s">
        <v>99</v>
      </c>
      <c r="R234" s="14" t="s">
        <v>99</v>
      </c>
      <c r="S234" s="14" t="s">
        <v>99</v>
      </c>
      <c r="T234" s="14" t="s">
        <v>4894</v>
      </c>
      <c r="U234" s="14" t="s">
        <v>4895</v>
      </c>
      <c r="V234" s="14" t="s">
        <v>4896</v>
      </c>
      <c r="W234" s="14" t="s">
        <v>4897</v>
      </c>
      <c r="X234" s="14" t="s">
        <v>4898</v>
      </c>
      <c r="Y234" s="14" t="s">
        <v>4899</v>
      </c>
      <c r="Z234" s="14" t="s">
        <v>4900</v>
      </c>
      <c r="AA234" s="14" t="s">
        <v>4901</v>
      </c>
      <c r="AB234" s="14" t="s">
        <v>4902</v>
      </c>
      <c r="AC234" s="14" t="s">
        <v>4903</v>
      </c>
      <c r="AD234" s="14" t="s">
        <v>4904</v>
      </c>
      <c r="AE234" s="14" t="s">
        <v>4905</v>
      </c>
      <c r="AF234" s="14" t="s">
        <v>99</v>
      </c>
      <c r="AG234" s="14">
        <v>66.0</v>
      </c>
      <c r="AH234" s="14">
        <v>63.0</v>
      </c>
      <c r="AI234" s="14">
        <v>75.0</v>
      </c>
      <c r="AJ234" s="14">
        <v>0.0</v>
      </c>
      <c r="AK234" s="14">
        <v>110.0</v>
      </c>
      <c r="AL234" s="14" t="s">
        <v>341</v>
      </c>
      <c r="AM234" s="14" t="s">
        <v>342</v>
      </c>
      <c r="AN234" s="14" t="s">
        <v>343</v>
      </c>
      <c r="AO234" s="14" t="s">
        <v>344</v>
      </c>
      <c r="AP234" s="14" t="s">
        <v>345</v>
      </c>
      <c r="AQ234" s="14" t="s">
        <v>99</v>
      </c>
      <c r="AR234" s="14" t="s">
        <v>346</v>
      </c>
      <c r="AS234" s="14" t="s">
        <v>347</v>
      </c>
      <c r="AT234" s="14" t="s">
        <v>616</v>
      </c>
      <c r="AU234" s="14">
        <v>2012.0</v>
      </c>
      <c r="AV234" s="14">
        <v>18.0</v>
      </c>
      <c r="AW234" s="14">
        <v>6.0</v>
      </c>
      <c r="AX234" s="14" t="s">
        <v>99</v>
      </c>
      <c r="AY234" s="14" t="s">
        <v>99</v>
      </c>
      <c r="AZ234" s="14" t="s">
        <v>99</v>
      </c>
      <c r="BA234" s="14" t="s">
        <v>99</v>
      </c>
      <c r="BB234" s="14">
        <v>1854.0</v>
      </c>
      <c r="BC234" s="14">
        <v>1865.0</v>
      </c>
      <c r="BD234" s="14" t="s">
        <v>99</v>
      </c>
      <c r="BE234" s="14" t="s">
        <v>4906</v>
      </c>
      <c r="BF234" s="15" t="str">
        <f>HYPERLINK("http://dx.doi.org/10.1111/j.1365-2486.2012.02641.x","http://dx.doi.org/10.1111/j.1365-2486.2012.02641.x")</f>
        <v>http://dx.doi.org/10.1111/j.1365-2486.2012.02641.x</v>
      </c>
      <c r="BG234" s="14" t="s">
        <v>99</v>
      </c>
      <c r="BH234" s="14" t="s">
        <v>99</v>
      </c>
      <c r="BI234" s="14">
        <v>12.0</v>
      </c>
      <c r="BJ234" s="14" t="s">
        <v>351</v>
      </c>
      <c r="BK234" s="14" t="s">
        <v>122</v>
      </c>
      <c r="BL234" s="14" t="s">
        <v>352</v>
      </c>
      <c r="BM234" s="14" t="s">
        <v>4907</v>
      </c>
      <c r="BN234" s="14" t="s">
        <v>99</v>
      </c>
      <c r="BO234" s="14" t="s">
        <v>99</v>
      </c>
      <c r="BP234" s="14" t="s">
        <v>99</v>
      </c>
      <c r="BQ234" s="14" t="s">
        <v>99</v>
      </c>
      <c r="BR234" s="14" t="s">
        <v>124</v>
      </c>
      <c r="BS234" s="14" t="s">
        <v>4908</v>
      </c>
      <c r="BT234" s="14" t="str">
        <f>HYPERLINK("https%3A%2F%2Fwww.webofscience.com%2Fwos%2Fwoscc%2Ffull-record%2FWOS:000303763600008","View Full Record in Web of Science")</f>
        <v>View Full Record in Web of Science</v>
      </c>
    </row>
    <row r="235" ht="12.75" customHeight="1">
      <c r="A235" s="14" t="s">
        <v>97</v>
      </c>
      <c r="B235" s="14" t="s">
        <v>4909</v>
      </c>
      <c r="C235" s="14" t="s">
        <v>99</v>
      </c>
      <c r="D235" s="14" t="s">
        <v>99</v>
      </c>
      <c r="E235" s="14" t="s">
        <v>99</v>
      </c>
      <c r="F235" s="14" t="s">
        <v>4910</v>
      </c>
      <c r="G235" s="14" t="s">
        <v>99</v>
      </c>
      <c r="H235" s="14" t="s">
        <v>99</v>
      </c>
      <c r="I235" s="14" t="s">
        <v>4911</v>
      </c>
      <c r="J235" s="14" t="s">
        <v>532</v>
      </c>
      <c r="K235" s="14" t="s">
        <v>99</v>
      </c>
      <c r="L235" s="14" t="s">
        <v>99</v>
      </c>
      <c r="M235" s="14" t="s">
        <v>103</v>
      </c>
      <c r="N235" s="14" t="s">
        <v>104</v>
      </c>
      <c r="O235" s="14" t="s">
        <v>99</v>
      </c>
      <c r="P235" s="14" t="s">
        <v>99</v>
      </c>
      <c r="Q235" s="14" t="s">
        <v>99</v>
      </c>
      <c r="R235" s="14" t="s">
        <v>99</v>
      </c>
      <c r="S235" s="14" t="s">
        <v>99</v>
      </c>
      <c r="T235" s="14" t="s">
        <v>4912</v>
      </c>
      <c r="U235" s="14" t="s">
        <v>4913</v>
      </c>
      <c r="V235" s="14" t="s">
        <v>4914</v>
      </c>
      <c r="W235" s="14" t="s">
        <v>4915</v>
      </c>
      <c r="X235" s="14" t="s">
        <v>4916</v>
      </c>
      <c r="Y235" s="14" t="s">
        <v>4917</v>
      </c>
      <c r="Z235" s="14" t="s">
        <v>4918</v>
      </c>
      <c r="AA235" s="14" t="s">
        <v>4919</v>
      </c>
      <c r="AB235" s="14" t="s">
        <v>4920</v>
      </c>
      <c r="AC235" s="14" t="s">
        <v>4921</v>
      </c>
      <c r="AD235" s="14" t="s">
        <v>4922</v>
      </c>
      <c r="AE235" s="14" t="s">
        <v>4923</v>
      </c>
      <c r="AF235" s="14" t="s">
        <v>99</v>
      </c>
      <c r="AG235" s="14">
        <v>40.0</v>
      </c>
      <c r="AH235" s="14">
        <v>212.0</v>
      </c>
      <c r="AI235" s="14">
        <v>240.0</v>
      </c>
      <c r="AJ235" s="14">
        <v>3.0</v>
      </c>
      <c r="AK235" s="14">
        <v>388.0</v>
      </c>
      <c r="AL235" s="14" t="s">
        <v>341</v>
      </c>
      <c r="AM235" s="14" t="s">
        <v>342</v>
      </c>
      <c r="AN235" s="14" t="s">
        <v>343</v>
      </c>
      <c r="AO235" s="14" t="s">
        <v>545</v>
      </c>
      <c r="AP235" s="14" t="s">
        <v>546</v>
      </c>
      <c r="AQ235" s="14" t="s">
        <v>99</v>
      </c>
      <c r="AR235" s="14" t="s">
        <v>547</v>
      </c>
      <c r="AS235" s="14" t="s">
        <v>548</v>
      </c>
      <c r="AT235" s="14" t="s">
        <v>616</v>
      </c>
      <c r="AU235" s="14">
        <v>2012.0</v>
      </c>
      <c r="AV235" s="14">
        <v>49.0</v>
      </c>
      <c r="AW235" s="14">
        <v>3.0</v>
      </c>
      <c r="AX235" s="14" t="s">
        <v>99</v>
      </c>
      <c r="AY235" s="14" t="s">
        <v>99</v>
      </c>
      <c r="AZ235" s="14" t="s">
        <v>99</v>
      </c>
      <c r="BA235" s="14" t="s">
        <v>99</v>
      </c>
      <c r="BB235" s="14">
        <v>723.0</v>
      </c>
      <c r="BC235" s="14">
        <v>732.0</v>
      </c>
      <c r="BD235" s="14" t="s">
        <v>99</v>
      </c>
      <c r="BE235" s="14" t="s">
        <v>4924</v>
      </c>
      <c r="BF235" s="15" t="str">
        <f>HYPERLINK("http://dx.doi.org/10.1111/j.1365-2664.2012.02144.x","http://dx.doi.org/10.1111/j.1365-2664.2012.02144.x")</f>
        <v>http://dx.doi.org/10.1111/j.1365-2664.2012.02144.x</v>
      </c>
      <c r="BG235" s="14" t="s">
        <v>99</v>
      </c>
      <c r="BH235" s="14" t="s">
        <v>99</v>
      </c>
      <c r="BI235" s="14">
        <v>10.0</v>
      </c>
      <c r="BJ235" s="14" t="s">
        <v>550</v>
      </c>
      <c r="BK235" s="14" t="s">
        <v>122</v>
      </c>
      <c r="BL235" s="14" t="s">
        <v>352</v>
      </c>
      <c r="BM235" s="14" t="s">
        <v>4925</v>
      </c>
      <c r="BN235" s="14" t="s">
        <v>99</v>
      </c>
      <c r="BO235" s="14" t="s">
        <v>238</v>
      </c>
      <c r="BP235" s="14" t="s">
        <v>99</v>
      </c>
      <c r="BQ235" s="14" t="s">
        <v>99</v>
      </c>
      <c r="BR235" s="14" t="s">
        <v>124</v>
      </c>
      <c r="BS235" s="14" t="s">
        <v>4926</v>
      </c>
      <c r="BT235" s="14" t="str">
        <f>HYPERLINK("https%3A%2F%2Fwww.webofscience.com%2Fwos%2Fwoscc%2Ffull-record%2FWOS:000304660500023","View Full Record in Web of Science")</f>
        <v>View Full Record in Web of Science</v>
      </c>
    </row>
    <row r="236" ht="12.75" customHeight="1">
      <c r="A236" s="14" t="s">
        <v>97</v>
      </c>
      <c r="B236" s="14" t="s">
        <v>4927</v>
      </c>
      <c r="C236" s="14" t="s">
        <v>99</v>
      </c>
      <c r="D236" s="14" t="s">
        <v>99</v>
      </c>
      <c r="E236" s="14" t="s">
        <v>99</v>
      </c>
      <c r="F236" s="14" t="s">
        <v>4928</v>
      </c>
      <c r="G236" s="14" t="s">
        <v>99</v>
      </c>
      <c r="H236" s="14" t="s">
        <v>99</v>
      </c>
      <c r="I236" s="14" t="s">
        <v>4929</v>
      </c>
      <c r="J236" s="14" t="s">
        <v>581</v>
      </c>
      <c r="K236" s="14" t="s">
        <v>99</v>
      </c>
      <c r="L236" s="14" t="s">
        <v>99</v>
      </c>
      <c r="M236" s="14" t="s">
        <v>103</v>
      </c>
      <c r="N236" s="14" t="s">
        <v>104</v>
      </c>
      <c r="O236" s="14" t="s">
        <v>99</v>
      </c>
      <c r="P236" s="14" t="s">
        <v>99</v>
      </c>
      <c r="Q236" s="14" t="s">
        <v>99</v>
      </c>
      <c r="R236" s="14" t="s">
        <v>99</v>
      </c>
      <c r="S236" s="14" t="s">
        <v>99</v>
      </c>
      <c r="T236" s="14" t="s">
        <v>4930</v>
      </c>
      <c r="U236" s="14" t="s">
        <v>4931</v>
      </c>
      <c r="V236" s="14" t="s">
        <v>4932</v>
      </c>
      <c r="W236" s="14" t="s">
        <v>4933</v>
      </c>
      <c r="X236" s="14" t="s">
        <v>4934</v>
      </c>
      <c r="Y236" s="14" t="s">
        <v>4935</v>
      </c>
      <c r="Z236" s="14" t="s">
        <v>4936</v>
      </c>
      <c r="AA236" s="14" t="s">
        <v>99</v>
      </c>
      <c r="AB236" s="14" t="s">
        <v>4937</v>
      </c>
      <c r="AC236" s="14" t="s">
        <v>4938</v>
      </c>
      <c r="AD236" s="14" t="s">
        <v>4938</v>
      </c>
      <c r="AE236" s="14" t="s">
        <v>4939</v>
      </c>
      <c r="AF236" s="14" t="s">
        <v>99</v>
      </c>
      <c r="AG236" s="14">
        <v>43.0</v>
      </c>
      <c r="AH236" s="14">
        <v>143.0</v>
      </c>
      <c r="AI236" s="14">
        <v>171.0</v>
      </c>
      <c r="AJ236" s="14">
        <v>1.0</v>
      </c>
      <c r="AK236" s="14">
        <v>70.0</v>
      </c>
      <c r="AL236" s="14" t="s">
        <v>1033</v>
      </c>
      <c r="AM236" s="14" t="s">
        <v>442</v>
      </c>
      <c r="AN236" s="14" t="s">
        <v>1034</v>
      </c>
      <c r="AO236" s="14" t="s">
        <v>593</v>
      </c>
      <c r="AP236" s="14" t="s">
        <v>99</v>
      </c>
      <c r="AQ236" s="14" t="s">
        <v>99</v>
      </c>
      <c r="AR236" s="14" t="s">
        <v>595</v>
      </c>
      <c r="AS236" s="14" t="s">
        <v>596</v>
      </c>
      <c r="AT236" s="14" t="s">
        <v>616</v>
      </c>
      <c r="AU236" s="14">
        <v>2012.0</v>
      </c>
      <c r="AV236" s="14">
        <v>17.0</v>
      </c>
      <c r="AW236" s="14" t="s">
        <v>99</v>
      </c>
      <c r="AX236" s="14" t="s">
        <v>99</v>
      </c>
      <c r="AY236" s="14" t="s">
        <v>99</v>
      </c>
      <c r="AZ236" s="14" t="s">
        <v>1738</v>
      </c>
      <c r="BA236" s="14" t="s">
        <v>99</v>
      </c>
      <c r="BB236" s="14">
        <v>108.0</v>
      </c>
      <c r="BC236" s="14">
        <v>119.0</v>
      </c>
      <c r="BD236" s="14" t="s">
        <v>99</v>
      </c>
      <c r="BE236" s="14" t="s">
        <v>4940</v>
      </c>
      <c r="BF236" s="15" t="str">
        <f>HYPERLINK("http://dx.doi.org/10.1016/j.ecolind.2011.04.023","http://dx.doi.org/10.1016/j.ecolind.2011.04.023")</f>
        <v>http://dx.doi.org/10.1016/j.ecolind.2011.04.023</v>
      </c>
      <c r="BG236" s="14" t="s">
        <v>99</v>
      </c>
      <c r="BH236" s="14" t="s">
        <v>99</v>
      </c>
      <c r="BI236" s="14">
        <v>12.0</v>
      </c>
      <c r="BJ236" s="14" t="s">
        <v>598</v>
      </c>
      <c r="BK236" s="14" t="s">
        <v>122</v>
      </c>
      <c r="BL236" s="14" t="s">
        <v>352</v>
      </c>
      <c r="BM236" s="14" t="s">
        <v>4941</v>
      </c>
      <c r="BN236" s="14" t="s">
        <v>99</v>
      </c>
      <c r="BO236" s="14" t="s">
        <v>99</v>
      </c>
      <c r="BP236" s="14" t="s">
        <v>99</v>
      </c>
      <c r="BQ236" s="14" t="s">
        <v>99</v>
      </c>
      <c r="BR236" s="14" t="s">
        <v>124</v>
      </c>
      <c r="BS236" s="14" t="s">
        <v>4942</v>
      </c>
      <c r="BT236" s="14" t="str">
        <f>HYPERLINK("https%3A%2F%2Fwww.webofscience.com%2Fwos%2Fwoscc%2Ffull-record%2FWOS:000300208400013","View Full Record in Web of Science")</f>
        <v>View Full Record in Web of Science</v>
      </c>
    </row>
    <row r="237" ht="12.75" customHeight="1">
      <c r="A237" s="14" t="s">
        <v>97</v>
      </c>
      <c r="B237" s="14" t="s">
        <v>4943</v>
      </c>
      <c r="C237" s="14" t="s">
        <v>99</v>
      </c>
      <c r="D237" s="14" t="s">
        <v>99</v>
      </c>
      <c r="E237" s="14" t="s">
        <v>99</v>
      </c>
      <c r="F237" s="14" t="s">
        <v>4944</v>
      </c>
      <c r="G237" s="14" t="s">
        <v>99</v>
      </c>
      <c r="H237" s="14" t="s">
        <v>99</v>
      </c>
      <c r="I237" s="14" t="s">
        <v>4945</v>
      </c>
      <c r="J237" s="14" t="s">
        <v>4946</v>
      </c>
      <c r="K237" s="14" t="s">
        <v>99</v>
      </c>
      <c r="L237" s="14" t="s">
        <v>99</v>
      </c>
      <c r="M237" s="14" t="s">
        <v>103</v>
      </c>
      <c r="N237" s="14" t="s">
        <v>104</v>
      </c>
      <c r="O237" s="14" t="s">
        <v>99</v>
      </c>
      <c r="P237" s="14" t="s">
        <v>99</v>
      </c>
      <c r="Q237" s="14" t="s">
        <v>99</v>
      </c>
      <c r="R237" s="14" t="s">
        <v>99</v>
      </c>
      <c r="S237" s="14" t="s">
        <v>99</v>
      </c>
      <c r="T237" s="14" t="s">
        <v>4947</v>
      </c>
      <c r="U237" s="14" t="s">
        <v>4948</v>
      </c>
      <c r="V237" s="14" t="s">
        <v>4949</v>
      </c>
      <c r="W237" s="14" t="s">
        <v>4950</v>
      </c>
      <c r="X237" s="14" t="s">
        <v>4951</v>
      </c>
      <c r="Y237" s="14" t="s">
        <v>4952</v>
      </c>
      <c r="Z237" s="14" t="s">
        <v>4953</v>
      </c>
      <c r="AA237" s="14" t="s">
        <v>99</v>
      </c>
      <c r="AB237" s="14" t="s">
        <v>4954</v>
      </c>
      <c r="AC237" s="14" t="s">
        <v>4955</v>
      </c>
      <c r="AD237" s="14" t="s">
        <v>4956</v>
      </c>
      <c r="AE237" s="14" t="s">
        <v>4957</v>
      </c>
      <c r="AF237" s="14" t="s">
        <v>99</v>
      </c>
      <c r="AG237" s="14">
        <v>47.0</v>
      </c>
      <c r="AH237" s="14">
        <v>25.0</v>
      </c>
      <c r="AI237" s="14">
        <v>28.0</v>
      </c>
      <c r="AJ237" s="14">
        <v>0.0</v>
      </c>
      <c r="AK237" s="14">
        <v>46.0</v>
      </c>
      <c r="AL237" s="14" t="s">
        <v>4958</v>
      </c>
      <c r="AM237" s="14" t="s">
        <v>4959</v>
      </c>
      <c r="AN237" s="14" t="s">
        <v>4960</v>
      </c>
      <c r="AO237" s="14" t="s">
        <v>4961</v>
      </c>
      <c r="AP237" s="14" t="s">
        <v>4962</v>
      </c>
      <c r="AQ237" s="14" t="s">
        <v>99</v>
      </c>
      <c r="AR237" s="14" t="s">
        <v>4963</v>
      </c>
      <c r="AS237" s="14" t="s">
        <v>4964</v>
      </c>
      <c r="AT237" s="14" t="s">
        <v>616</v>
      </c>
      <c r="AU237" s="14">
        <v>2012.0</v>
      </c>
      <c r="AV237" s="14">
        <v>7.0</v>
      </c>
      <c r="AW237" s="14">
        <v>2.0</v>
      </c>
      <c r="AX237" s="14" t="s">
        <v>99</v>
      </c>
      <c r="AY237" s="14" t="s">
        <v>99</v>
      </c>
      <c r="AZ237" s="14" t="s">
        <v>99</v>
      </c>
      <c r="BA237" s="14" t="s">
        <v>99</v>
      </c>
      <c r="BB237" s="14">
        <v>163.0</v>
      </c>
      <c r="BC237" s="14">
        <v>169.0</v>
      </c>
      <c r="BD237" s="14" t="s">
        <v>99</v>
      </c>
      <c r="BE237" s="14" t="s">
        <v>4965</v>
      </c>
      <c r="BF237" s="15" t="str">
        <f>HYPERLINK("http://dx.doi.org/10.3391/ai.2012.7.2.002","http://dx.doi.org/10.3391/ai.2012.7.2.002")</f>
        <v>http://dx.doi.org/10.3391/ai.2012.7.2.002</v>
      </c>
      <c r="BG237" s="14" t="s">
        <v>99</v>
      </c>
      <c r="BH237" s="14" t="s">
        <v>99</v>
      </c>
      <c r="BI237" s="14">
        <v>7.0</v>
      </c>
      <c r="BJ237" s="14" t="s">
        <v>1274</v>
      </c>
      <c r="BK237" s="14" t="s">
        <v>122</v>
      </c>
      <c r="BL237" s="14" t="s">
        <v>397</v>
      </c>
      <c r="BM237" s="14" t="s">
        <v>4966</v>
      </c>
      <c r="BN237" s="14" t="s">
        <v>99</v>
      </c>
      <c r="BO237" s="14" t="s">
        <v>399</v>
      </c>
      <c r="BP237" s="14" t="s">
        <v>99</v>
      </c>
      <c r="BQ237" s="14" t="s">
        <v>99</v>
      </c>
      <c r="BR237" s="14" t="s">
        <v>124</v>
      </c>
      <c r="BS237" s="14" t="s">
        <v>4967</v>
      </c>
      <c r="BT237" s="14" t="str">
        <f>HYPERLINK("https%3A%2F%2Fwww.webofscience.com%2Fwos%2Fwoscc%2Ffull-record%2FWOS:000306278500002","View Full Record in Web of Science")</f>
        <v>View Full Record in Web of Science</v>
      </c>
    </row>
    <row r="238" ht="12.75" customHeight="1">
      <c r="A238" s="14" t="s">
        <v>97</v>
      </c>
      <c r="B238" s="14" t="s">
        <v>4968</v>
      </c>
      <c r="C238" s="14" t="s">
        <v>99</v>
      </c>
      <c r="D238" s="14" t="s">
        <v>99</v>
      </c>
      <c r="E238" s="14" t="s">
        <v>99</v>
      </c>
      <c r="F238" s="14" t="s">
        <v>4969</v>
      </c>
      <c r="G238" s="14" t="s">
        <v>99</v>
      </c>
      <c r="H238" s="14" t="s">
        <v>99</v>
      </c>
      <c r="I238" s="14" t="s">
        <v>4970</v>
      </c>
      <c r="J238" s="14" t="s">
        <v>776</v>
      </c>
      <c r="K238" s="14" t="s">
        <v>99</v>
      </c>
      <c r="L238" s="14" t="s">
        <v>99</v>
      </c>
      <c r="M238" s="14" t="s">
        <v>103</v>
      </c>
      <c r="N238" s="14" t="s">
        <v>104</v>
      </c>
      <c r="O238" s="14" t="s">
        <v>99</v>
      </c>
      <c r="P238" s="14" t="s">
        <v>99</v>
      </c>
      <c r="Q238" s="14" t="s">
        <v>99</v>
      </c>
      <c r="R238" s="14" t="s">
        <v>99</v>
      </c>
      <c r="S238" s="14" t="s">
        <v>99</v>
      </c>
      <c r="T238" s="14" t="s">
        <v>99</v>
      </c>
      <c r="U238" s="14" t="s">
        <v>4971</v>
      </c>
      <c r="V238" s="14" t="s">
        <v>4972</v>
      </c>
      <c r="W238" s="14" t="s">
        <v>4973</v>
      </c>
      <c r="X238" s="14" t="s">
        <v>4974</v>
      </c>
      <c r="Y238" s="14" t="s">
        <v>4975</v>
      </c>
      <c r="Z238" s="14" t="s">
        <v>4976</v>
      </c>
      <c r="AA238" s="14" t="s">
        <v>99</v>
      </c>
      <c r="AB238" s="14" t="s">
        <v>4977</v>
      </c>
      <c r="AC238" s="14" t="s">
        <v>99</v>
      </c>
      <c r="AD238" s="14" t="s">
        <v>99</v>
      </c>
      <c r="AE238" s="14" t="s">
        <v>99</v>
      </c>
      <c r="AF238" s="14" t="s">
        <v>99</v>
      </c>
      <c r="AG238" s="14">
        <v>35.0</v>
      </c>
      <c r="AH238" s="14">
        <v>464.0</v>
      </c>
      <c r="AI238" s="14">
        <v>531.0</v>
      </c>
      <c r="AJ238" s="14">
        <v>3.0</v>
      </c>
      <c r="AK238" s="14">
        <v>225.0</v>
      </c>
      <c r="AL238" s="14" t="s">
        <v>788</v>
      </c>
      <c r="AM238" s="14" t="s">
        <v>789</v>
      </c>
      <c r="AN238" s="14" t="s">
        <v>790</v>
      </c>
      <c r="AO238" s="14" t="s">
        <v>791</v>
      </c>
      <c r="AP238" s="14" t="s">
        <v>792</v>
      </c>
      <c r="AQ238" s="14" t="s">
        <v>99</v>
      </c>
      <c r="AR238" s="14" t="s">
        <v>793</v>
      </c>
      <c r="AS238" s="14" t="s">
        <v>794</v>
      </c>
      <c r="AT238" s="14" t="s">
        <v>4978</v>
      </c>
      <c r="AU238" s="14">
        <v>2012.0</v>
      </c>
      <c r="AV238" s="14">
        <v>109.0</v>
      </c>
      <c r="AW238" s="14">
        <v>22.0</v>
      </c>
      <c r="AX238" s="14" t="s">
        <v>99</v>
      </c>
      <c r="AY238" s="14" t="s">
        <v>99</v>
      </c>
      <c r="AZ238" s="14" t="s">
        <v>99</v>
      </c>
      <c r="BA238" s="14" t="s">
        <v>99</v>
      </c>
      <c r="BB238" s="14">
        <v>8606.0</v>
      </c>
      <c r="BC238" s="14">
        <v>8611.0</v>
      </c>
      <c r="BD238" s="14" t="s">
        <v>99</v>
      </c>
      <c r="BE238" s="14" t="s">
        <v>4979</v>
      </c>
      <c r="BF238" s="15" t="str">
        <f>HYPERLINK("http://dx.doi.org/10.1073/pnas.1116791109","http://dx.doi.org/10.1073/pnas.1116791109")</f>
        <v>http://dx.doi.org/10.1073/pnas.1116791109</v>
      </c>
      <c r="BG238" s="14" t="s">
        <v>99</v>
      </c>
      <c r="BH238" s="14" t="s">
        <v>99</v>
      </c>
      <c r="BI238" s="14">
        <v>6.0</v>
      </c>
      <c r="BJ238" s="14" t="s">
        <v>799</v>
      </c>
      <c r="BK238" s="14" t="s">
        <v>122</v>
      </c>
      <c r="BL238" s="14" t="s">
        <v>801</v>
      </c>
      <c r="BM238" s="14" t="s">
        <v>4980</v>
      </c>
      <c r="BN238" s="14">
        <v>2.2586104E7</v>
      </c>
      <c r="BO238" s="14" t="s">
        <v>4981</v>
      </c>
      <c r="BP238" s="14" t="s">
        <v>99</v>
      </c>
      <c r="BQ238" s="14" t="s">
        <v>99</v>
      </c>
      <c r="BR238" s="14" t="s">
        <v>124</v>
      </c>
      <c r="BS238" s="14" t="s">
        <v>4982</v>
      </c>
      <c r="BT238" s="14" t="str">
        <f>HYPERLINK("https%3A%2F%2Fwww.webofscience.com%2Fwos%2Fwoscc%2Ffull-record%2FWOS:000304881700053","View Full Record in Web of Science")</f>
        <v>View Full Record in Web of Science</v>
      </c>
    </row>
    <row r="239" ht="12.75" customHeight="1">
      <c r="A239" s="14" t="s">
        <v>97</v>
      </c>
      <c r="B239" s="14" t="s">
        <v>4983</v>
      </c>
      <c r="C239" s="14" t="s">
        <v>99</v>
      </c>
      <c r="D239" s="14" t="s">
        <v>99</v>
      </c>
      <c r="E239" s="14" t="s">
        <v>99</v>
      </c>
      <c r="F239" s="14" t="s">
        <v>4984</v>
      </c>
      <c r="G239" s="14" t="s">
        <v>99</v>
      </c>
      <c r="H239" s="14" t="s">
        <v>99</v>
      </c>
      <c r="I239" s="14" t="s">
        <v>4985</v>
      </c>
      <c r="J239" s="14" t="s">
        <v>328</v>
      </c>
      <c r="K239" s="14" t="s">
        <v>99</v>
      </c>
      <c r="L239" s="14" t="s">
        <v>99</v>
      </c>
      <c r="M239" s="14" t="s">
        <v>103</v>
      </c>
      <c r="N239" s="14" t="s">
        <v>104</v>
      </c>
      <c r="O239" s="14" t="s">
        <v>99</v>
      </c>
      <c r="P239" s="14" t="s">
        <v>99</v>
      </c>
      <c r="Q239" s="14" t="s">
        <v>99</v>
      </c>
      <c r="R239" s="14" t="s">
        <v>99</v>
      </c>
      <c r="S239" s="14" t="s">
        <v>99</v>
      </c>
      <c r="T239" s="14" t="s">
        <v>4986</v>
      </c>
      <c r="U239" s="14" t="s">
        <v>4987</v>
      </c>
      <c r="V239" s="14" t="s">
        <v>4988</v>
      </c>
      <c r="W239" s="14" t="s">
        <v>4989</v>
      </c>
      <c r="X239" s="14" t="s">
        <v>4990</v>
      </c>
      <c r="Y239" s="14" t="s">
        <v>4991</v>
      </c>
      <c r="Z239" s="14" t="s">
        <v>4992</v>
      </c>
      <c r="AA239" s="14" t="s">
        <v>4993</v>
      </c>
      <c r="AB239" s="14" t="s">
        <v>4994</v>
      </c>
      <c r="AC239" s="14" t="s">
        <v>99</v>
      </c>
      <c r="AD239" s="14" t="s">
        <v>99</v>
      </c>
      <c r="AE239" s="14" t="s">
        <v>99</v>
      </c>
      <c r="AF239" s="14" t="s">
        <v>99</v>
      </c>
      <c r="AG239" s="14">
        <v>75.0</v>
      </c>
      <c r="AH239" s="14">
        <v>114.0</v>
      </c>
      <c r="AI239" s="14">
        <v>127.0</v>
      </c>
      <c r="AJ239" s="14">
        <v>4.0</v>
      </c>
      <c r="AK239" s="14">
        <v>183.0</v>
      </c>
      <c r="AL239" s="14" t="s">
        <v>341</v>
      </c>
      <c r="AM239" s="14" t="s">
        <v>342</v>
      </c>
      <c r="AN239" s="14" t="s">
        <v>343</v>
      </c>
      <c r="AO239" s="14" t="s">
        <v>344</v>
      </c>
      <c r="AP239" s="14" t="s">
        <v>345</v>
      </c>
      <c r="AQ239" s="14" t="s">
        <v>99</v>
      </c>
      <c r="AR239" s="14" t="s">
        <v>346</v>
      </c>
      <c r="AS239" s="14" t="s">
        <v>347</v>
      </c>
      <c r="AT239" s="14" t="s">
        <v>640</v>
      </c>
      <c r="AU239" s="14">
        <v>2012.0</v>
      </c>
      <c r="AV239" s="14">
        <v>18.0</v>
      </c>
      <c r="AW239" s="14">
        <v>5.0</v>
      </c>
      <c r="AX239" s="14" t="s">
        <v>99</v>
      </c>
      <c r="AY239" s="14" t="s">
        <v>99</v>
      </c>
      <c r="AZ239" s="14" t="s">
        <v>99</v>
      </c>
      <c r="BA239" s="14" t="s">
        <v>99</v>
      </c>
      <c r="BB239" s="14">
        <v>1520.0</v>
      </c>
      <c r="BC239" s="14">
        <v>1530.0</v>
      </c>
      <c r="BD239" s="14" t="s">
        <v>99</v>
      </c>
      <c r="BE239" s="14" t="s">
        <v>4995</v>
      </c>
      <c r="BF239" s="15" t="str">
        <f>HYPERLINK("http://dx.doi.org/10.1111/j.1365-2486.2011.02623.x","http://dx.doi.org/10.1111/j.1365-2486.2011.02623.x")</f>
        <v>http://dx.doi.org/10.1111/j.1365-2486.2011.02623.x</v>
      </c>
      <c r="BG239" s="14" t="s">
        <v>99</v>
      </c>
      <c r="BH239" s="14" t="s">
        <v>99</v>
      </c>
      <c r="BI239" s="14">
        <v>11.0</v>
      </c>
      <c r="BJ239" s="14" t="s">
        <v>351</v>
      </c>
      <c r="BK239" s="14" t="s">
        <v>122</v>
      </c>
      <c r="BL239" s="14" t="s">
        <v>352</v>
      </c>
      <c r="BM239" s="14" t="s">
        <v>4996</v>
      </c>
      <c r="BN239" s="14" t="s">
        <v>99</v>
      </c>
      <c r="BO239" s="14" t="s">
        <v>99</v>
      </c>
      <c r="BP239" s="14" t="s">
        <v>99</v>
      </c>
      <c r="BQ239" s="14" t="s">
        <v>99</v>
      </c>
      <c r="BR239" s="14" t="s">
        <v>124</v>
      </c>
      <c r="BS239" s="14" t="s">
        <v>4997</v>
      </c>
      <c r="BT239" s="14" t="str">
        <f>HYPERLINK("https%3A%2F%2Fwww.webofscience.com%2Fwos%2Fwoscc%2Ffull-record%2FWOS:000302543500005","View Full Record in Web of Science")</f>
        <v>View Full Record in Web of Science</v>
      </c>
    </row>
    <row r="240" ht="12.75" customHeight="1">
      <c r="A240" s="14" t="s">
        <v>97</v>
      </c>
      <c r="B240" s="14" t="s">
        <v>4998</v>
      </c>
      <c r="C240" s="14" t="s">
        <v>99</v>
      </c>
      <c r="D240" s="14" t="s">
        <v>99</v>
      </c>
      <c r="E240" s="14" t="s">
        <v>99</v>
      </c>
      <c r="F240" s="14" t="s">
        <v>4999</v>
      </c>
      <c r="G240" s="14" t="s">
        <v>99</v>
      </c>
      <c r="H240" s="14" t="s">
        <v>99</v>
      </c>
      <c r="I240" s="14" t="s">
        <v>5000</v>
      </c>
      <c r="J240" s="14" t="s">
        <v>2332</v>
      </c>
      <c r="K240" s="14" t="s">
        <v>99</v>
      </c>
      <c r="L240" s="14" t="s">
        <v>99</v>
      </c>
      <c r="M240" s="14" t="s">
        <v>103</v>
      </c>
      <c r="N240" s="14" t="s">
        <v>104</v>
      </c>
      <c r="O240" s="14" t="s">
        <v>99</v>
      </c>
      <c r="P240" s="14" t="s">
        <v>99</v>
      </c>
      <c r="Q240" s="14" t="s">
        <v>99</v>
      </c>
      <c r="R240" s="14" t="s">
        <v>99</v>
      </c>
      <c r="S240" s="14" t="s">
        <v>99</v>
      </c>
      <c r="T240" s="14" t="s">
        <v>5001</v>
      </c>
      <c r="U240" s="14" t="s">
        <v>5002</v>
      </c>
      <c r="V240" s="14" t="s">
        <v>5003</v>
      </c>
      <c r="W240" s="14" t="s">
        <v>5004</v>
      </c>
      <c r="X240" s="14" t="s">
        <v>5005</v>
      </c>
      <c r="Y240" s="14" t="s">
        <v>5006</v>
      </c>
      <c r="Z240" s="14" t="s">
        <v>5007</v>
      </c>
      <c r="AA240" s="14" t="s">
        <v>5008</v>
      </c>
      <c r="AB240" s="14" t="s">
        <v>5009</v>
      </c>
      <c r="AC240" s="14" t="s">
        <v>5010</v>
      </c>
      <c r="AD240" s="14" t="s">
        <v>5011</v>
      </c>
      <c r="AE240" s="14" t="s">
        <v>5012</v>
      </c>
      <c r="AF240" s="14" t="s">
        <v>99</v>
      </c>
      <c r="AG240" s="14">
        <v>135.0</v>
      </c>
      <c r="AH240" s="14">
        <v>465.0</v>
      </c>
      <c r="AI240" s="14">
        <v>526.0</v>
      </c>
      <c r="AJ240" s="14">
        <v>3.0</v>
      </c>
      <c r="AK240" s="14">
        <v>380.0</v>
      </c>
      <c r="AL240" s="14" t="s">
        <v>493</v>
      </c>
      <c r="AM240" s="14" t="s">
        <v>468</v>
      </c>
      <c r="AN240" s="14" t="s">
        <v>635</v>
      </c>
      <c r="AO240" s="14" t="s">
        <v>2345</v>
      </c>
      <c r="AP240" s="14" t="s">
        <v>2346</v>
      </c>
      <c r="AQ240" s="14" t="s">
        <v>99</v>
      </c>
      <c r="AR240" s="14" t="s">
        <v>2347</v>
      </c>
      <c r="AS240" s="14" t="s">
        <v>2348</v>
      </c>
      <c r="AT240" s="14" t="s">
        <v>640</v>
      </c>
      <c r="AU240" s="14">
        <v>2012.0</v>
      </c>
      <c r="AV240" s="14">
        <v>22.0</v>
      </c>
      <c r="AW240" s="14">
        <v>2.0</v>
      </c>
      <c r="AX240" s="14" t="s">
        <v>99</v>
      </c>
      <c r="AY240" s="14" t="s">
        <v>99</v>
      </c>
      <c r="AZ240" s="14" t="s">
        <v>99</v>
      </c>
      <c r="BA240" s="14" t="s">
        <v>99</v>
      </c>
      <c r="BB240" s="14">
        <v>418.0</v>
      </c>
      <c r="BC240" s="14">
        <v>429.0</v>
      </c>
      <c r="BD240" s="14" t="s">
        <v>99</v>
      </c>
      <c r="BE240" s="14" t="s">
        <v>5013</v>
      </c>
      <c r="BF240" s="15" t="str">
        <f>HYPERLINK("http://dx.doi.org/10.1016/j.gloenvcha.2011.10.009","http://dx.doi.org/10.1016/j.gloenvcha.2011.10.009")</f>
        <v>http://dx.doi.org/10.1016/j.gloenvcha.2011.10.009</v>
      </c>
      <c r="BG240" s="14" t="s">
        <v>99</v>
      </c>
      <c r="BH240" s="14" t="s">
        <v>99</v>
      </c>
      <c r="BI240" s="14">
        <v>12.0</v>
      </c>
      <c r="BJ240" s="14" t="s">
        <v>2350</v>
      </c>
      <c r="BK240" s="14" t="s">
        <v>800</v>
      </c>
      <c r="BL240" s="14" t="s">
        <v>2351</v>
      </c>
      <c r="BM240" s="14" t="s">
        <v>5014</v>
      </c>
      <c r="BN240" s="14" t="s">
        <v>99</v>
      </c>
      <c r="BO240" s="14" t="s">
        <v>5015</v>
      </c>
      <c r="BP240" s="14" t="s">
        <v>99</v>
      </c>
      <c r="BQ240" s="14" t="s">
        <v>99</v>
      </c>
      <c r="BR240" s="14" t="s">
        <v>124</v>
      </c>
      <c r="BS240" s="14" t="s">
        <v>5016</v>
      </c>
      <c r="BT240" s="14" t="str">
        <f>HYPERLINK("https%3A%2F%2Fwww.webofscience.com%2Fwos%2Fwoscc%2Ffull-record%2FWOS:000304290100012","View Full Record in Web of Science")</f>
        <v>View Full Record in Web of Science</v>
      </c>
    </row>
    <row r="241" ht="12.75" customHeight="1">
      <c r="A241" s="14" t="s">
        <v>97</v>
      </c>
      <c r="B241" s="14" t="s">
        <v>5017</v>
      </c>
      <c r="C241" s="14" t="s">
        <v>99</v>
      </c>
      <c r="D241" s="14" t="s">
        <v>99</v>
      </c>
      <c r="E241" s="14" t="s">
        <v>99</v>
      </c>
      <c r="F241" s="14" t="s">
        <v>5018</v>
      </c>
      <c r="G241" s="14" t="s">
        <v>99</v>
      </c>
      <c r="H241" s="14" t="s">
        <v>99</v>
      </c>
      <c r="I241" s="14" t="s">
        <v>5019</v>
      </c>
      <c r="J241" s="14" t="s">
        <v>328</v>
      </c>
      <c r="K241" s="14" t="s">
        <v>99</v>
      </c>
      <c r="L241" s="14" t="s">
        <v>99</v>
      </c>
      <c r="M241" s="14" t="s">
        <v>103</v>
      </c>
      <c r="N241" s="14" t="s">
        <v>104</v>
      </c>
      <c r="O241" s="14" t="s">
        <v>99</v>
      </c>
      <c r="P241" s="14" t="s">
        <v>99</v>
      </c>
      <c r="Q241" s="14" t="s">
        <v>99</v>
      </c>
      <c r="R241" s="14" t="s">
        <v>99</v>
      </c>
      <c r="S241" s="14" t="s">
        <v>99</v>
      </c>
      <c r="T241" s="14" t="s">
        <v>5020</v>
      </c>
      <c r="U241" s="14" t="s">
        <v>5021</v>
      </c>
      <c r="V241" s="14" t="s">
        <v>5022</v>
      </c>
      <c r="W241" s="14" t="s">
        <v>5023</v>
      </c>
      <c r="X241" s="14" t="s">
        <v>5024</v>
      </c>
      <c r="Y241" s="14" t="s">
        <v>5025</v>
      </c>
      <c r="Z241" s="14" t="s">
        <v>3717</v>
      </c>
      <c r="AA241" s="14" t="s">
        <v>5026</v>
      </c>
      <c r="AB241" s="14" t="s">
        <v>5027</v>
      </c>
      <c r="AC241" s="14" t="s">
        <v>5028</v>
      </c>
      <c r="AD241" s="14" t="s">
        <v>5029</v>
      </c>
      <c r="AE241" s="14" t="s">
        <v>5030</v>
      </c>
      <c r="AF241" s="14" t="s">
        <v>99</v>
      </c>
      <c r="AG241" s="14">
        <v>63.0</v>
      </c>
      <c r="AH241" s="14">
        <v>194.0</v>
      </c>
      <c r="AI241" s="14">
        <v>232.0</v>
      </c>
      <c r="AJ241" s="14">
        <v>2.0</v>
      </c>
      <c r="AK241" s="14">
        <v>255.0</v>
      </c>
      <c r="AL241" s="14" t="s">
        <v>341</v>
      </c>
      <c r="AM241" s="14" t="s">
        <v>342</v>
      </c>
      <c r="AN241" s="14" t="s">
        <v>343</v>
      </c>
      <c r="AO241" s="14" t="s">
        <v>344</v>
      </c>
      <c r="AP241" s="14" t="s">
        <v>345</v>
      </c>
      <c r="AQ241" s="14" t="s">
        <v>99</v>
      </c>
      <c r="AR241" s="14" t="s">
        <v>346</v>
      </c>
      <c r="AS241" s="14" t="s">
        <v>347</v>
      </c>
      <c r="AT241" s="14" t="s">
        <v>718</v>
      </c>
      <c r="AU241" s="14">
        <v>2012.0</v>
      </c>
      <c r="AV241" s="14">
        <v>18.0</v>
      </c>
      <c r="AW241" s="14">
        <v>4.0</v>
      </c>
      <c r="AX241" s="14" t="s">
        <v>99</v>
      </c>
      <c r="AY241" s="14" t="s">
        <v>99</v>
      </c>
      <c r="AZ241" s="14" t="s">
        <v>99</v>
      </c>
      <c r="BA241" s="14" t="s">
        <v>99</v>
      </c>
      <c r="BB241" s="14">
        <v>1357.0</v>
      </c>
      <c r="BC241" s="14">
        <v>1371.0</v>
      </c>
      <c r="BD241" s="14" t="s">
        <v>99</v>
      </c>
      <c r="BE241" s="14" t="s">
        <v>5031</v>
      </c>
      <c r="BF241" s="15" t="str">
        <f>HYPERLINK("http://dx.doi.org/10.1111/j.1365-2486.2011.02614.x","http://dx.doi.org/10.1111/j.1365-2486.2011.02614.x")</f>
        <v>http://dx.doi.org/10.1111/j.1365-2486.2011.02614.x</v>
      </c>
      <c r="BG241" s="14" t="s">
        <v>99</v>
      </c>
      <c r="BH241" s="14" t="s">
        <v>99</v>
      </c>
      <c r="BI241" s="14">
        <v>15.0</v>
      </c>
      <c r="BJ241" s="14" t="s">
        <v>351</v>
      </c>
      <c r="BK241" s="14" t="s">
        <v>122</v>
      </c>
      <c r="BL241" s="14" t="s">
        <v>352</v>
      </c>
      <c r="BM241" s="14" t="s">
        <v>5032</v>
      </c>
      <c r="BN241" s="14" t="s">
        <v>99</v>
      </c>
      <c r="BO241" s="14" t="s">
        <v>99</v>
      </c>
      <c r="BP241" s="14" t="s">
        <v>99</v>
      </c>
      <c r="BQ241" s="14" t="s">
        <v>99</v>
      </c>
      <c r="BR241" s="14" t="s">
        <v>124</v>
      </c>
      <c r="BS241" s="14" t="s">
        <v>5033</v>
      </c>
      <c r="BT241" s="14" t="str">
        <f>HYPERLINK("https%3A%2F%2Fwww.webofscience.com%2Fwos%2Fwoscc%2Ffull-record%2FWOS:000301533100013","View Full Record in Web of Science")</f>
        <v>View Full Record in Web of Science</v>
      </c>
    </row>
    <row r="242" ht="12.75" customHeight="1">
      <c r="A242" s="14" t="s">
        <v>97</v>
      </c>
      <c r="B242" s="14" t="s">
        <v>5034</v>
      </c>
      <c r="C242" s="14" t="s">
        <v>99</v>
      </c>
      <c r="D242" s="14" t="s">
        <v>99</v>
      </c>
      <c r="E242" s="14" t="s">
        <v>99</v>
      </c>
      <c r="F242" s="14" t="s">
        <v>5035</v>
      </c>
      <c r="G242" s="14" t="s">
        <v>99</v>
      </c>
      <c r="H242" s="14" t="s">
        <v>99</v>
      </c>
      <c r="I242" s="14" t="s">
        <v>5036</v>
      </c>
      <c r="J242" s="14" t="s">
        <v>1102</v>
      </c>
      <c r="K242" s="14" t="s">
        <v>99</v>
      </c>
      <c r="L242" s="14" t="s">
        <v>99</v>
      </c>
      <c r="M242" s="14" t="s">
        <v>103</v>
      </c>
      <c r="N242" s="14" t="s">
        <v>104</v>
      </c>
      <c r="O242" s="14" t="s">
        <v>99</v>
      </c>
      <c r="P242" s="14" t="s">
        <v>99</v>
      </c>
      <c r="Q242" s="14" t="s">
        <v>99</v>
      </c>
      <c r="R242" s="14" t="s">
        <v>99</v>
      </c>
      <c r="S242" s="14" t="s">
        <v>99</v>
      </c>
      <c r="T242" s="14" t="s">
        <v>5037</v>
      </c>
      <c r="U242" s="14" t="s">
        <v>5038</v>
      </c>
      <c r="V242" s="14" t="s">
        <v>5039</v>
      </c>
      <c r="W242" s="14" t="s">
        <v>5040</v>
      </c>
      <c r="X242" s="14" t="s">
        <v>5041</v>
      </c>
      <c r="Y242" s="14" t="s">
        <v>5042</v>
      </c>
      <c r="Z242" s="14" t="s">
        <v>5043</v>
      </c>
      <c r="AA242" s="14" t="s">
        <v>5044</v>
      </c>
      <c r="AB242" s="14" t="s">
        <v>5045</v>
      </c>
      <c r="AC242" s="14" t="s">
        <v>5046</v>
      </c>
      <c r="AD242" s="14" t="s">
        <v>5047</v>
      </c>
      <c r="AE242" s="14" t="s">
        <v>5048</v>
      </c>
      <c r="AF242" s="14" t="s">
        <v>99</v>
      </c>
      <c r="AG242" s="14">
        <v>50.0</v>
      </c>
      <c r="AH242" s="14">
        <v>55.0</v>
      </c>
      <c r="AI242" s="14">
        <v>62.0</v>
      </c>
      <c r="AJ242" s="14">
        <v>0.0</v>
      </c>
      <c r="AK242" s="14">
        <v>121.0</v>
      </c>
      <c r="AL242" s="14" t="s">
        <v>493</v>
      </c>
      <c r="AM242" s="14" t="s">
        <v>468</v>
      </c>
      <c r="AN242" s="14" t="s">
        <v>635</v>
      </c>
      <c r="AO242" s="14" t="s">
        <v>1112</v>
      </c>
      <c r="AP242" s="14" t="s">
        <v>1113</v>
      </c>
      <c r="AQ242" s="14" t="s">
        <v>99</v>
      </c>
      <c r="AR242" s="14" t="s">
        <v>1114</v>
      </c>
      <c r="AS242" s="14" t="s">
        <v>1115</v>
      </c>
      <c r="AT242" s="14" t="s">
        <v>718</v>
      </c>
      <c r="AU242" s="14">
        <v>2012.0</v>
      </c>
      <c r="AV242" s="14">
        <v>148.0</v>
      </c>
      <c r="AW242" s="14">
        <v>1.0</v>
      </c>
      <c r="AX242" s="14" t="s">
        <v>99</v>
      </c>
      <c r="AY242" s="14" t="s">
        <v>99</v>
      </c>
      <c r="AZ242" s="14" t="s">
        <v>99</v>
      </c>
      <c r="BA242" s="14" t="s">
        <v>99</v>
      </c>
      <c r="BB242" s="14">
        <v>61.0</v>
      </c>
      <c r="BC242" s="14">
        <v>68.0</v>
      </c>
      <c r="BD242" s="14" t="s">
        <v>99</v>
      </c>
      <c r="BE242" s="14" t="s">
        <v>5049</v>
      </c>
      <c r="BF242" s="15" t="str">
        <f>HYPERLINK("http://dx.doi.org/10.1016/j.biocon.2012.01.062","http://dx.doi.org/10.1016/j.biocon.2012.01.062")</f>
        <v>http://dx.doi.org/10.1016/j.biocon.2012.01.062</v>
      </c>
      <c r="BG242" s="14" t="s">
        <v>99</v>
      </c>
      <c r="BH242" s="14" t="s">
        <v>99</v>
      </c>
      <c r="BI242" s="14">
        <v>8.0</v>
      </c>
      <c r="BJ242" s="14" t="s">
        <v>351</v>
      </c>
      <c r="BK242" s="14" t="s">
        <v>122</v>
      </c>
      <c r="BL242" s="14" t="s">
        <v>352</v>
      </c>
      <c r="BM242" s="14" t="s">
        <v>5050</v>
      </c>
      <c r="BN242" s="14" t="s">
        <v>99</v>
      </c>
      <c r="BO242" s="14" t="s">
        <v>99</v>
      </c>
      <c r="BP242" s="14" t="s">
        <v>99</v>
      </c>
      <c r="BQ242" s="14" t="s">
        <v>99</v>
      </c>
      <c r="BR242" s="14" t="s">
        <v>124</v>
      </c>
      <c r="BS242" s="14" t="s">
        <v>5051</v>
      </c>
      <c r="BT242" s="14" t="str">
        <f>HYPERLINK("https%3A%2F%2Fwww.webofscience.com%2Fwos%2Fwoscc%2Ffull-record%2FWOS:000302840100007","View Full Record in Web of Science")</f>
        <v>View Full Record in Web of Science</v>
      </c>
    </row>
    <row r="243" ht="12.75" customHeight="1">
      <c r="A243" s="14" t="s">
        <v>97</v>
      </c>
      <c r="B243" s="14" t="s">
        <v>5052</v>
      </c>
      <c r="C243" s="14" t="s">
        <v>99</v>
      </c>
      <c r="D243" s="14" t="s">
        <v>99</v>
      </c>
      <c r="E243" s="14" t="s">
        <v>99</v>
      </c>
      <c r="F243" s="14" t="s">
        <v>5053</v>
      </c>
      <c r="G243" s="14" t="s">
        <v>99</v>
      </c>
      <c r="H243" s="14" t="s">
        <v>99</v>
      </c>
      <c r="I243" s="14" t="s">
        <v>5054</v>
      </c>
      <c r="J243" s="14" t="s">
        <v>2500</v>
      </c>
      <c r="K243" s="14" t="s">
        <v>99</v>
      </c>
      <c r="L243" s="14" t="s">
        <v>99</v>
      </c>
      <c r="M243" s="14" t="s">
        <v>103</v>
      </c>
      <c r="N243" s="14" t="s">
        <v>104</v>
      </c>
      <c r="O243" s="14" t="s">
        <v>99</v>
      </c>
      <c r="P243" s="14" t="s">
        <v>99</v>
      </c>
      <c r="Q243" s="14" t="s">
        <v>99</v>
      </c>
      <c r="R243" s="14" t="s">
        <v>99</v>
      </c>
      <c r="S243" s="14" t="s">
        <v>99</v>
      </c>
      <c r="T243" s="14" t="s">
        <v>99</v>
      </c>
      <c r="U243" s="14" t="s">
        <v>5055</v>
      </c>
      <c r="V243" s="14" t="s">
        <v>5056</v>
      </c>
      <c r="W243" s="14" t="s">
        <v>5057</v>
      </c>
      <c r="X243" s="14" t="s">
        <v>99</v>
      </c>
      <c r="Y243" s="14" t="s">
        <v>5058</v>
      </c>
      <c r="Z243" s="14" t="s">
        <v>5059</v>
      </c>
      <c r="AA243" s="14" t="s">
        <v>99</v>
      </c>
      <c r="AB243" s="14" t="s">
        <v>99</v>
      </c>
      <c r="AC243" s="14" t="s">
        <v>99</v>
      </c>
      <c r="AD243" s="14" t="s">
        <v>99</v>
      </c>
      <c r="AE243" s="14" t="s">
        <v>99</v>
      </c>
      <c r="AF243" s="14" t="s">
        <v>99</v>
      </c>
      <c r="AG243" s="14">
        <v>55.0</v>
      </c>
      <c r="AH243" s="14">
        <v>99.0</v>
      </c>
      <c r="AI243" s="14">
        <v>118.0</v>
      </c>
      <c r="AJ243" s="14">
        <v>1.0</v>
      </c>
      <c r="AK243" s="14">
        <v>102.0</v>
      </c>
      <c r="AL243" s="14" t="s">
        <v>2512</v>
      </c>
      <c r="AM243" s="14" t="s">
        <v>2513</v>
      </c>
      <c r="AN243" s="14" t="s">
        <v>2514</v>
      </c>
      <c r="AO243" s="14" t="s">
        <v>2515</v>
      </c>
      <c r="AP243" s="14" t="s">
        <v>99</v>
      </c>
      <c r="AQ243" s="14" t="s">
        <v>99</v>
      </c>
      <c r="AR243" s="14" t="s">
        <v>2500</v>
      </c>
      <c r="AS243" s="14" t="s">
        <v>2516</v>
      </c>
      <c r="AT243" s="14" t="s">
        <v>5060</v>
      </c>
      <c r="AU243" s="14">
        <v>2012.0</v>
      </c>
      <c r="AV243" s="14">
        <v>7.0</v>
      </c>
      <c r="AW243" s="14">
        <v>3.0</v>
      </c>
      <c r="AX243" s="14" t="s">
        <v>99</v>
      </c>
      <c r="AY243" s="14" t="s">
        <v>99</v>
      </c>
      <c r="AZ243" s="14" t="s">
        <v>99</v>
      </c>
      <c r="BA243" s="14" t="s">
        <v>99</v>
      </c>
      <c r="BB243" s="14" t="s">
        <v>99</v>
      </c>
      <c r="BC243" s="14" t="s">
        <v>99</v>
      </c>
      <c r="BD243" s="14" t="s">
        <v>5061</v>
      </c>
      <c r="BE243" s="14" t="s">
        <v>5062</v>
      </c>
      <c r="BF243" s="15" t="str">
        <f>HYPERLINK("http://dx.doi.org/10.1371/journal.pone.0029507","http://dx.doi.org/10.1371/journal.pone.0029507")</f>
        <v>http://dx.doi.org/10.1371/journal.pone.0029507</v>
      </c>
      <c r="BG243" s="14" t="s">
        <v>99</v>
      </c>
      <c r="BH243" s="14" t="s">
        <v>99</v>
      </c>
      <c r="BI243" s="14">
        <v>13.0</v>
      </c>
      <c r="BJ243" s="14" t="s">
        <v>799</v>
      </c>
      <c r="BK243" s="14" t="s">
        <v>122</v>
      </c>
      <c r="BL243" s="14" t="s">
        <v>801</v>
      </c>
      <c r="BM243" s="14" t="s">
        <v>5063</v>
      </c>
      <c r="BN243" s="14">
        <v>2.2396726E7</v>
      </c>
      <c r="BO243" s="14" t="s">
        <v>1251</v>
      </c>
      <c r="BP243" s="14" t="s">
        <v>99</v>
      </c>
      <c r="BQ243" s="14" t="s">
        <v>99</v>
      </c>
      <c r="BR243" s="14" t="s">
        <v>124</v>
      </c>
      <c r="BS243" s="14" t="s">
        <v>5064</v>
      </c>
      <c r="BT243" s="14" t="str">
        <f>HYPERLINK("https%3A%2F%2Fwww.webofscience.com%2Fwos%2Fwoscc%2Ffull-record%2FWOS:000303006500001","View Full Record in Web of Science")</f>
        <v>View Full Record in Web of Science</v>
      </c>
    </row>
    <row r="244" ht="12.75" customHeight="1">
      <c r="A244" s="14" t="s">
        <v>97</v>
      </c>
      <c r="B244" s="14" t="s">
        <v>5065</v>
      </c>
      <c r="C244" s="14" t="s">
        <v>99</v>
      </c>
      <c r="D244" s="14" t="s">
        <v>99</v>
      </c>
      <c r="E244" s="14" t="s">
        <v>99</v>
      </c>
      <c r="F244" s="14" t="s">
        <v>5066</v>
      </c>
      <c r="G244" s="14" t="s">
        <v>99</v>
      </c>
      <c r="H244" s="14" t="s">
        <v>99</v>
      </c>
      <c r="I244" s="14" t="s">
        <v>5067</v>
      </c>
      <c r="J244" s="14" t="s">
        <v>5068</v>
      </c>
      <c r="K244" s="14" t="s">
        <v>99</v>
      </c>
      <c r="L244" s="14" t="s">
        <v>99</v>
      </c>
      <c r="M244" s="14" t="s">
        <v>103</v>
      </c>
      <c r="N244" s="14" t="s">
        <v>104</v>
      </c>
      <c r="O244" s="14" t="s">
        <v>99</v>
      </c>
      <c r="P244" s="14" t="s">
        <v>99</v>
      </c>
      <c r="Q244" s="14" t="s">
        <v>99</v>
      </c>
      <c r="R244" s="14" t="s">
        <v>99</v>
      </c>
      <c r="S244" s="14" t="s">
        <v>99</v>
      </c>
      <c r="T244" s="14" t="s">
        <v>5069</v>
      </c>
      <c r="U244" s="14" t="s">
        <v>5070</v>
      </c>
      <c r="V244" s="14" t="s">
        <v>5071</v>
      </c>
      <c r="W244" s="14" t="s">
        <v>5072</v>
      </c>
      <c r="X244" s="14" t="s">
        <v>5073</v>
      </c>
      <c r="Y244" s="14" t="s">
        <v>5074</v>
      </c>
      <c r="Z244" s="14" t="s">
        <v>5075</v>
      </c>
      <c r="AA244" s="14" t="s">
        <v>5076</v>
      </c>
      <c r="AB244" s="14" t="s">
        <v>5077</v>
      </c>
      <c r="AC244" s="14" t="s">
        <v>99</v>
      </c>
      <c r="AD244" s="14" t="s">
        <v>99</v>
      </c>
      <c r="AE244" s="14" t="s">
        <v>99</v>
      </c>
      <c r="AF244" s="14" t="s">
        <v>99</v>
      </c>
      <c r="AG244" s="14">
        <v>46.0</v>
      </c>
      <c r="AH244" s="14">
        <v>55.0</v>
      </c>
      <c r="AI244" s="14">
        <v>62.0</v>
      </c>
      <c r="AJ244" s="14">
        <v>0.0</v>
      </c>
      <c r="AK244" s="14">
        <v>90.0</v>
      </c>
      <c r="AL244" s="14" t="s">
        <v>493</v>
      </c>
      <c r="AM244" s="14" t="s">
        <v>468</v>
      </c>
      <c r="AN244" s="14" t="s">
        <v>635</v>
      </c>
      <c r="AO244" s="14" t="s">
        <v>5078</v>
      </c>
      <c r="AP244" s="14" t="s">
        <v>5079</v>
      </c>
      <c r="AQ244" s="14" t="s">
        <v>99</v>
      </c>
      <c r="AR244" s="14" t="s">
        <v>5080</v>
      </c>
      <c r="AS244" s="14" t="s">
        <v>5081</v>
      </c>
      <c r="AT244" s="14" t="s">
        <v>1485</v>
      </c>
      <c r="AU244" s="14">
        <v>2012.0</v>
      </c>
      <c r="AV244" s="14">
        <v>33.0</v>
      </c>
      <c r="AW244" s="14" t="s">
        <v>99</v>
      </c>
      <c r="AX244" s="14" t="s">
        <v>99</v>
      </c>
      <c r="AY244" s="14" t="s">
        <v>99</v>
      </c>
      <c r="AZ244" s="14" t="s">
        <v>99</v>
      </c>
      <c r="BA244" s="14" t="s">
        <v>99</v>
      </c>
      <c r="BB244" s="14">
        <v>65.0</v>
      </c>
      <c r="BC244" s="14">
        <v>73.0</v>
      </c>
      <c r="BD244" s="14" t="s">
        <v>99</v>
      </c>
      <c r="BE244" s="14" t="s">
        <v>5082</v>
      </c>
      <c r="BF244" s="15" t="str">
        <f>HYPERLINK("http://dx.doi.org/10.1016/j.cropro.2011.09.016","http://dx.doi.org/10.1016/j.cropro.2011.09.016")</f>
        <v>http://dx.doi.org/10.1016/j.cropro.2011.09.016</v>
      </c>
      <c r="BG244" s="14" t="s">
        <v>99</v>
      </c>
      <c r="BH244" s="14" t="s">
        <v>99</v>
      </c>
      <c r="BI244" s="14">
        <v>9.0</v>
      </c>
      <c r="BJ244" s="14" t="s">
        <v>2968</v>
      </c>
      <c r="BK244" s="14" t="s">
        <v>122</v>
      </c>
      <c r="BL244" s="14" t="s">
        <v>2969</v>
      </c>
      <c r="BM244" s="14" t="s">
        <v>5083</v>
      </c>
      <c r="BN244" s="14" t="s">
        <v>99</v>
      </c>
      <c r="BO244" s="14" t="s">
        <v>99</v>
      </c>
      <c r="BP244" s="14" t="s">
        <v>99</v>
      </c>
      <c r="BQ244" s="14" t="s">
        <v>99</v>
      </c>
      <c r="BR244" s="14" t="s">
        <v>124</v>
      </c>
      <c r="BS244" s="14" t="s">
        <v>5084</v>
      </c>
      <c r="BT244" s="14" t="str">
        <f>HYPERLINK("https%3A%2F%2Fwww.webofscience.com%2Fwos%2Fwoscc%2Ffull-record%2FWOS:000300129800010","View Full Record in Web of Science")</f>
        <v>View Full Record in Web of Science</v>
      </c>
    </row>
    <row r="245" ht="12.75" customHeight="1">
      <c r="A245" s="14" t="s">
        <v>97</v>
      </c>
      <c r="B245" s="14" t="s">
        <v>5085</v>
      </c>
      <c r="C245" s="14" t="s">
        <v>99</v>
      </c>
      <c r="D245" s="14" t="s">
        <v>99</v>
      </c>
      <c r="E245" s="14" t="s">
        <v>99</v>
      </c>
      <c r="F245" s="14" t="s">
        <v>5086</v>
      </c>
      <c r="G245" s="14" t="s">
        <v>99</v>
      </c>
      <c r="H245" s="14" t="s">
        <v>99</v>
      </c>
      <c r="I245" s="14" t="s">
        <v>5087</v>
      </c>
      <c r="J245" s="14" t="s">
        <v>5088</v>
      </c>
      <c r="K245" s="14" t="s">
        <v>99</v>
      </c>
      <c r="L245" s="14" t="s">
        <v>99</v>
      </c>
      <c r="M245" s="14" t="s">
        <v>103</v>
      </c>
      <c r="N245" s="14" t="s">
        <v>104</v>
      </c>
      <c r="O245" s="14" t="s">
        <v>99</v>
      </c>
      <c r="P245" s="14" t="s">
        <v>99</v>
      </c>
      <c r="Q245" s="14" t="s">
        <v>99</v>
      </c>
      <c r="R245" s="14" t="s">
        <v>99</v>
      </c>
      <c r="S245" s="14" t="s">
        <v>99</v>
      </c>
      <c r="T245" s="14" t="s">
        <v>99</v>
      </c>
      <c r="U245" s="14" t="s">
        <v>5089</v>
      </c>
      <c r="V245" s="14" t="s">
        <v>5090</v>
      </c>
      <c r="W245" s="14" t="s">
        <v>5091</v>
      </c>
      <c r="X245" s="14" t="s">
        <v>5092</v>
      </c>
      <c r="Y245" s="14" t="s">
        <v>5093</v>
      </c>
      <c r="Z245" s="14" t="s">
        <v>5094</v>
      </c>
      <c r="AA245" s="14" t="s">
        <v>5095</v>
      </c>
      <c r="AB245" s="14" t="s">
        <v>5096</v>
      </c>
      <c r="AC245" s="14" t="s">
        <v>99</v>
      </c>
      <c r="AD245" s="14" t="s">
        <v>99</v>
      </c>
      <c r="AE245" s="14" t="s">
        <v>99</v>
      </c>
      <c r="AF245" s="14" t="s">
        <v>99</v>
      </c>
      <c r="AG245" s="14">
        <v>77.0</v>
      </c>
      <c r="AH245" s="14">
        <v>922.0</v>
      </c>
      <c r="AI245" s="14">
        <v>1074.0</v>
      </c>
      <c r="AJ245" s="14">
        <v>7.0</v>
      </c>
      <c r="AK245" s="14">
        <v>426.0</v>
      </c>
      <c r="AL245" s="14" t="s">
        <v>1593</v>
      </c>
      <c r="AM245" s="14" t="s">
        <v>1594</v>
      </c>
      <c r="AN245" s="14" t="s">
        <v>1595</v>
      </c>
      <c r="AO245" s="14" t="s">
        <v>5097</v>
      </c>
      <c r="AP245" s="14" t="s">
        <v>5098</v>
      </c>
      <c r="AQ245" s="14" t="s">
        <v>99</v>
      </c>
      <c r="AR245" s="14" t="s">
        <v>5099</v>
      </c>
      <c r="AS245" s="14" t="s">
        <v>5100</v>
      </c>
      <c r="AT245" s="14" t="s">
        <v>1485</v>
      </c>
      <c r="AU245" s="14">
        <v>2012.0</v>
      </c>
      <c r="AV245" s="14">
        <v>22.0</v>
      </c>
      <c r="AW245" s="14">
        <v>1.0</v>
      </c>
      <c r="AX245" s="14" t="s">
        <v>99</v>
      </c>
      <c r="AY245" s="14" t="s">
        <v>99</v>
      </c>
      <c r="AZ245" s="14" t="s">
        <v>99</v>
      </c>
      <c r="BA245" s="14" t="s">
        <v>99</v>
      </c>
      <c r="BB245" s="14">
        <v>1.0</v>
      </c>
      <c r="BC245" s="14">
        <v>34.0</v>
      </c>
      <c r="BD245" s="14" t="s">
        <v>99</v>
      </c>
      <c r="BE245" s="14" t="s">
        <v>5101</v>
      </c>
      <c r="BF245" s="15" t="str">
        <f>HYPERLINK("http://dx.doi.org/10.1017/S0959270912000020","http://dx.doi.org/10.1017/S0959270912000020")</f>
        <v>http://dx.doi.org/10.1017/S0959270912000020</v>
      </c>
      <c r="BG245" s="14" t="s">
        <v>99</v>
      </c>
      <c r="BH245" s="14" t="s">
        <v>99</v>
      </c>
      <c r="BI245" s="14">
        <v>34.0</v>
      </c>
      <c r="BJ245" s="14" t="s">
        <v>5102</v>
      </c>
      <c r="BK245" s="14" t="s">
        <v>122</v>
      </c>
      <c r="BL245" s="14" t="s">
        <v>5103</v>
      </c>
      <c r="BM245" s="14" t="s">
        <v>5104</v>
      </c>
      <c r="BN245" s="14" t="s">
        <v>99</v>
      </c>
      <c r="BO245" s="14" t="s">
        <v>238</v>
      </c>
      <c r="BP245" s="14" t="s">
        <v>99</v>
      </c>
      <c r="BQ245" s="14" t="s">
        <v>99</v>
      </c>
      <c r="BR245" s="14" t="s">
        <v>124</v>
      </c>
      <c r="BS245" s="14" t="s">
        <v>5105</v>
      </c>
      <c r="BT245" s="14" t="str">
        <f>HYPERLINK("https%3A%2F%2Fwww.webofscience.com%2Fwos%2Fwoscc%2Ffull-record%2FWOS:000301298900001","View Full Record in Web of Science")</f>
        <v>View Full Record in Web of Science</v>
      </c>
    </row>
    <row r="246" ht="12.75" customHeight="1">
      <c r="A246" s="14" t="s">
        <v>97</v>
      </c>
      <c r="B246" s="14" t="s">
        <v>5106</v>
      </c>
      <c r="C246" s="14" t="s">
        <v>99</v>
      </c>
      <c r="D246" s="14" t="s">
        <v>99</v>
      </c>
      <c r="E246" s="14" t="s">
        <v>99</v>
      </c>
      <c r="F246" s="14" t="s">
        <v>5107</v>
      </c>
      <c r="G246" s="14" t="s">
        <v>99</v>
      </c>
      <c r="H246" s="14" t="s">
        <v>99</v>
      </c>
      <c r="I246" s="14" t="s">
        <v>5108</v>
      </c>
      <c r="J246" s="14" t="s">
        <v>404</v>
      </c>
      <c r="K246" s="14" t="s">
        <v>99</v>
      </c>
      <c r="L246" s="14" t="s">
        <v>99</v>
      </c>
      <c r="M246" s="14" t="s">
        <v>103</v>
      </c>
      <c r="N246" s="14" t="s">
        <v>104</v>
      </c>
      <c r="O246" s="14" t="s">
        <v>99</v>
      </c>
      <c r="P246" s="14" t="s">
        <v>99</v>
      </c>
      <c r="Q246" s="14" t="s">
        <v>99</v>
      </c>
      <c r="R246" s="14" t="s">
        <v>99</v>
      </c>
      <c r="S246" s="14" t="s">
        <v>99</v>
      </c>
      <c r="T246" s="14" t="s">
        <v>5109</v>
      </c>
      <c r="U246" s="14" t="s">
        <v>5110</v>
      </c>
      <c r="V246" s="14" t="s">
        <v>5111</v>
      </c>
      <c r="W246" s="14" t="s">
        <v>5112</v>
      </c>
      <c r="X246" s="14" t="s">
        <v>5113</v>
      </c>
      <c r="Y246" s="14" t="s">
        <v>5114</v>
      </c>
      <c r="Z246" s="14" t="s">
        <v>5115</v>
      </c>
      <c r="AA246" s="14" t="s">
        <v>5116</v>
      </c>
      <c r="AB246" s="14" t="s">
        <v>5117</v>
      </c>
      <c r="AC246" s="14" t="s">
        <v>5118</v>
      </c>
      <c r="AD246" s="14" t="s">
        <v>5118</v>
      </c>
      <c r="AE246" s="14" t="s">
        <v>5119</v>
      </c>
      <c r="AF246" s="14" t="s">
        <v>99</v>
      </c>
      <c r="AG246" s="14">
        <v>68.0</v>
      </c>
      <c r="AH246" s="14">
        <v>59.0</v>
      </c>
      <c r="AI246" s="14">
        <v>66.0</v>
      </c>
      <c r="AJ246" s="14">
        <v>1.0</v>
      </c>
      <c r="AK246" s="14">
        <v>191.0</v>
      </c>
      <c r="AL246" s="14" t="s">
        <v>341</v>
      </c>
      <c r="AM246" s="14" t="s">
        <v>342</v>
      </c>
      <c r="AN246" s="14" t="s">
        <v>343</v>
      </c>
      <c r="AO246" s="14" t="s">
        <v>417</v>
      </c>
      <c r="AP246" s="14" t="s">
        <v>418</v>
      </c>
      <c r="AQ246" s="14" t="s">
        <v>99</v>
      </c>
      <c r="AR246" s="14" t="s">
        <v>419</v>
      </c>
      <c r="AS246" s="14" t="s">
        <v>420</v>
      </c>
      <c r="AT246" s="14" t="s">
        <v>1485</v>
      </c>
      <c r="AU246" s="14">
        <v>2012.0</v>
      </c>
      <c r="AV246" s="14">
        <v>22.0</v>
      </c>
      <c r="AW246" s="14">
        <v>2.0</v>
      </c>
      <c r="AX246" s="14" t="s">
        <v>99</v>
      </c>
      <c r="AY246" s="14" t="s">
        <v>99</v>
      </c>
      <c r="AZ246" s="14" t="s">
        <v>99</v>
      </c>
      <c r="BA246" s="14" t="s">
        <v>99</v>
      </c>
      <c r="BB246" s="14">
        <v>561.0</v>
      </c>
      <c r="BC246" s="14">
        <v>571.0</v>
      </c>
      <c r="BD246" s="14" t="s">
        <v>99</v>
      </c>
      <c r="BE246" s="14" t="s">
        <v>5120</v>
      </c>
      <c r="BF246" s="15" t="str">
        <f>HYPERLINK("http://dx.doi.org/10.1890/11-1362.1","http://dx.doi.org/10.1890/11-1362.1")</f>
        <v>http://dx.doi.org/10.1890/11-1362.1</v>
      </c>
      <c r="BG246" s="14" t="s">
        <v>99</v>
      </c>
      <c r="BH246" s="14" t="s">
        <v>99</v>
      </c>
      <c r="BI246" s="14">
        <v>11.0</v>
      </c>
      <c r="BJ246" s="14" t="s">
        <v>423</v>
      </c>
      <c r="BK246" s="14" t="s">
        <v>122</v>
      </c>
      <c r="BL246" s="14" t="s">
        <v>260</v>
      </c>
      <c r="BM246" s="14" t="s">
        <v>5121</v>
      </c>
      <c r="BN246" s="14">
        <v>2.2611854E7</v>
      </c>
      <c r="BO246" s="14" t="s">
        <v>99</v>
      </c>
      <c r="BP246" s="14" t="s">
        <v>99</v>
      </c>
      <c r="BQ246" s="14" t="s">
        <v>99</v>
      </c>
      <c r="BR246" s="14" t="s">
        <v>124</v>
      </c>
      <c r="BS246" s="14" t="s">
        <v>5122</v>
      </c>
      <c r="BT246" s="14" t="str">
        <f>HYPERLINK("https%3A%2F%2Fwww.webofscience.com%2Fwos%2Fwoscc%2Ffull-record%2FWOS:000302516900014","View Full Record in Web of Science")</f>
        <v>View Full Record in Web of Science</v>
      </c>
    </row>
    <row r="247" ht="12.75" customHeight="1">
      <c r="A247" s="14" t="s">
        <v>97</v>
      </c>
      <c r="B247" s="14" t="s">
        <v>5123</v>
      </c>
      <c r="C247" s="14" t="s">
        <v>99</v>
      </c>
      <c r="D247" s="14" t="s">
        <v>99</v>
      </c>
      <c r="E247" s="14" t="s">
        <v>99</v>
      </c>
      <c r="F247" s="14" t="s">
        <v>5124</v>
      </c>
      <c r="G247" s="14" t="s">
        <v>99</v>
      </c>
      <c r="H247" s="14" t="s">
        <v>99</v>
      </c>
      <c r="I247" s="14" t="s">
        <v>5125</v>
      </c>
      <c r="J247" s="14" t="s">
        <v>5126</v>
      </c>
      <c r="K247" s="14" t="s">
        <v>99</v>
      </c>
      <c r="L247" s="14" t="s">
        <v>99</v>
      </c>
      <c r="M247" s="14" t="s">
        <v>103</v>
      </c>
      <c r="N247" s="14" t="s">
        <v>104</v>
      </c>
      <c r="O247" s="14" t="s">
        <v>99</v>
      </c>
      <c r="P247" s="14" t="s">
        <v>99</v>
      </c>
      <c r="Q247" s="14" t="s">
        <v>99</v>
      </c>
      <c r="R247" s="14" t="s">
        <v>99</v>
      </c>
      <c r="S247" s="14" t="s">
        <v>99</v>
      </c>
      <c r="T247" s="14" t="s">
        <v>99</v>
      </c>
      <c r="U247" s="14" t="s">
        <v>5127</v>
      </c>
      <c r="V247" s="14" t="s">
        <v>5128</v>
      </c>
      <c r="W247" s="14" t="s">
        <v>5129</v>
      </c>
      <c r="X247" s="14" t="s">
        <v>3359</v>
      </c>
      <c r="Y247" s="14" t="s">
        <v>5130</v>
      </c>
      <c r="Z247" s="14" t="s">
        <v>5131</v>
      </c>
      <c r="AA247" s="14" t="s">
        <v>99</v>
      </c>
      <c r="AB247" s="14" t="s">
        <v>99</v>
      </c>
      <c r="AC247" s="14" t="s">
        <v>5132</v>
      </c>
      <c r="AD247" s="14" t="s">
        <v>5132</v>
      </c>
      <c r="AE247" s="14" t="s">
        <v>5133</v>
      </c>
      <c r="AF247" s="14" t="s">
        <v>99</v>
      </c>
      <c r="AG247" s="14">
        <v>103.0</v>
      </c>
      <c r="AH247" s="14">
        <v>178.0</v>
      </c>
      <c r="AI247" s="14">
        <v>203.0</v>
      </c>
      <c r="AJ247" s="14">
        <v>4.0</v>
      </c>
      <c r="AK247" s="14">
        <v>194.0</v>
      </c>
      <c r="AL247" s="14" t="s">
        <v>341</v>
      </c>
      <c r="AM247" s="14" t="s">
        <v>342</v>
      </c>
      <c r="AN247" s="14" t="s">
        <v>343</v>
      </c>
      <c r="AO247" s="14" t="s">
        <v>5134</v>
      </c>
      <c r="AP247" s="14" t="s">
        <v>5135</v>
      </c>
      <c r="AQ247" s="14" t="s">
        <v>99</v>
      </c>
      <c r="AR247" s="14" t="s">
        <v>5136</v>
      </c>
      <c r="AS247" s="14" t="s">
        <v>5137</v>
      </c>
      <c r="AT247" s="14" t="s">
        <v>1462</v>
      </c>
      <c r="AU247" s="14">
        <v>2012.0</v>
      </c>
      <c r="AV247" s="14">
        <v>3.0</v>
      </c>
      <c r="AW247" s="14">
        <v>2.0</v>
      </c>
      <c r="AX247" s="14" t="s">
        <v>99</v>
      </c>
      <c r="AY247" s="14" t="s">
        <v>99</v>
      </c>
      <c r="AZ247" s="14" t="s">
        <v>99</v>
      </c>
      <c r="BA247" s="14" t="s">
        <v>99</v>
      </c>
      <c r="BB247" s="14">
        <v>115.0</v>
      </c>
      <c r="BC247" s="14">
        <v>129.0</v>
      </c>
      <c r="BD247" s="14" t="s">
        <v>99</v>
      </c>
      <c r="BE247" s="14" t="s">
        <v>5138</v>
      </c>
      <c r="BF247" s="15" t="str">
        <f>HYPERLINK("http://dx.doi.org/10.1002/wcc.160","http://dx.doi.org/10.1002/wcc.160")</f>
        <v>http://dx.doi.org/10.1002/wcc.160</v>
      </c>
      <c r="BG247" s="14" t="s">
        <v>99</v>
      </c>
      <c r="BH247" s="14" t="s">
        <v>99</v>
      </c>
      <c r="BI247" s="14">
        <v>15.0</v>
      </c>
      <c r="BJ247" s="14" t="s">
        <v>5139</v>
      </c>
      <c r="BK247" s="14" t="s">
        <v>800</v>
      </c>
      <c r="BL247" s="14" t="s">
        <v>574</v>
      </c>
      <c r="BM247" s="14" t="s">
        <v>5140</v>
      </c>
      <c r="BN247" s="14" t="s">
        <v>99</v>
      </c>
      <c r="BO247" s="14" t="s">
        <v>99</v>
      </c>
      <c r="BP247" s="14" t="s">
        <v>99</v>
      </c>
      <c r="BQ247" s="14" t="s">
        <v>99</v>
      </c>
      <c r="BR247" s="14" t="s">
        <v>124</v>
      </c>
      <c r="BS247" s="14" t="s">
        <v>5141</v>
      </c>
      <c r="BT247" s="14" t="str">
        <f>HYPERLINK("https%3A%2F%2Fwww.webofscience.com%2Fwos%2Fwoscc%2Ffull-record%2FWOS:000301644400001","View Full Record in Web of Science")</f>
        <v>View Full Record in Web of Science</v>
      </c>
    </row>
    <row r="248" ht="12.75" customHeight="1">
      <c r="A248" s="14" t="s">
        <v>97</v>
      </c>
      <c r="B248" s="14" t="s">
        <v>5142</v>
      </c>
      <c r="C248" s="14" t="s">
        <v>99</v>
      </c>
      <c r="D248" s="14" t="s">
        <v>99</v>
      </c>
      <c r="E248" s="14" t="s">
        <v>99</v>
      </c>
      <c r="F248" s="14" t="s">
        <v>5143</v>
      </c>
      <c r="G248" s="14" t="s">
        <v>99</v>
      </c>
      <c r="H248" s="14" t="s">
        <v>99</v>
      </c>
      <c r="I248" s="14" t="s">
        <v>5144</v>
      </c>
      <c r="J248" s="14" t="s">
        <v>5145</v>
      </c>
      <c r="K248" s="14" t="s">
        <v>99</v>
      </c>
      <c r="L248" s="14" t="s">
        <v>99</v>
      </c>
      <c r="M248" s="14" t="s">
        <v>103</v>
      </c>
      <c r="N248" s="14" t="s">
        <v>104</v>
      </c>
      <c r="O248" s="14" t="s">
        <v>99</v>
      </c>
      <c r="P248" s="14" t="s">
        <v>99</v>
      </c>
      <c r="Q248" s="14" t="s">
        <v>99</v>
      </c>
      <c r="R248" s="14" t="s">
        <v>99</v>
      </c>
      <c r="S248" s="14" t="s">
        <v>99</v>
      </c>
      <c r="T248" s="14" t="s">
        <v>5146</v>
      </c>
      <c r="U248" s="14" t="s">
        <v>5147</v>
      </c>
      <c r="V248" s="14" t="s">
        <v>5148</v>
      </c>
      <c r="W248" s="14" t="s">
        <v>5149</v>
      </c>
      <c r="X248" s="14" t="s">
        <v>5150</v>
      </c>
      <c r="Y248" s="14" t="s">
        <v>5151</v>
      </c>
      <c r="Z248" s="14" t="s">
        <v>5152</v>
      </c>
      <c r="AA248" s="14" t="s">
        <v>99</v>
      </c>
      <c r="AB248" s="14" t="s">
        <v>99</v>
      </c>
      <c r="AC248" s="14" t="s">
        <v>5153</v>
      </c>
      <c r="AD248" s="14" t="s">
        <v>5154</v>
      </c>
      <c r="AE248" s="14" t="s">
        <v>5155</v>
      </c>
      <c r="AF248" s="14" t="s">
        <v>99</v>
      </c>
      <c r="AG248" s="14">
        <v>33.0</v>
      </c>
      <c r="AH248" s="14">
        <v>20.0</v>
      </c>
      <c r="AI248" s="14">
        <v>35.0</v>
      </c>
      <c r="AJ248" s="14">
        <v>2.0</v>
      </c>
      <c r="AK248" s="14">
        <v>48.0</v>
      </c>
      <c r="AL248" s="14" t="s">
        <v>341</v>
      </c>
      <c r="AM248" s="14" t="s">
        <v>342</v>
      </c>
      <c r="AN248" s="14" t="s">
        <v>343</v>
      </c>
      <c r="AO248" s="14" t="s">
        <v>5156</v>
      </c>
      <c r="AP248" s="14" t="s">
        <v>5157</v>
      </c>
      <c r="AQ248" s="14" t="s">
        <v>99</v>
      </c>
      <c r="AR248" s="14" t="s">
        <v>5158</v>
      </c>
      <c r="AS248" s="14" t="s">
        <v>5159</v>
      </c>
      <c r="AT248" s="14" t="s">
        <v>1485</v>
      </c>
      <c r="AU248" s="14">
        <v>2012.0</v>
      </c>
      <c r="AV248" s="14">
        <v>12.0</v>
      </c>
      <c r="AW248" s="14">
        <v>1.0</v>
      </c>
      <c r="AX248" s="14" t="s">
        <v>99</v>
      </c>
      <c r="AY248" s="14" t="s">
        <v>99</v>
      </c>
      <c r="AZ248" s="14" t="s">
        <v>99</v>
      </c>
      <c r="BA248" s="14" t="s">
        <v>99</v>
      </c>
      <c r="BB248" s="14">
        <v>12.0</v>
      </c>
      <c r="BC248" s="14">
        <v>21.0</v>
      </c>
      <c r="BD248" s="14" t="s">
        <v>99</v>
      </c>
      <c r="BE248" s="14" t="s">
        <v>5160</v>
      </c>
      <c r="BF248" s="15" t="str">
        <f>HYPERLINK("http://dx.doi.org/10.1111/j.1445-6664.2011.00430.x","http://dx.doi.org/10.1111/j.1445-6664.2011.00430.x")</f>
        <v>http://dx.doi.org/10.1111/j.1445-6664.2011.00430.x</v>
      </c>
      <c r="BG248" s="14" t="s">
        <v>99</v>
      </c>
      <c r="BH248" s="14" t="s">
        <v>99</v>
      </c>
      <c r="BI248" s="14">
        <v>10.0</v>
      </c>
      <c r="BJ248" s="14" t="s">
        <v>5161</v>
      </c>
      <c r="BK248" s="14" t="s">
        <v>122</v>
      </c>
      <c r="BL248" s="14" t="s">
        <v>5162</v>
      </c>
      <c r="BM248" s="14" t="s">
        <v>5163</v>
      </c>
      <c r="BN248" s="14" t="s">
        <v>99</v>
      </c>
      <c r="BO248" s="14" t="s">
        <v>99</v>
      </c>
      <c r="BP248" s="14" t="s">
        <v>99</v>
      </c>
      <c r="BQ248" s="14" t="s">
        <v>99</v>
      </c>
      <c r="BR248" s="14" t="s">
        <v>124</v>
      </c>
      <c r="BS248" s="14" t="s">
        <v>5164</v>
      </c>
      <c r="BT248" s="14" t="str">
        <f>HYPERLINK("https%3A%2F%2Fwww.webofscience.com%2Fwos%2Fwoscc%2Ffull-record%2FWOS:000301492700002","View Full Record in Web of Science")</f>
        <v>View Full Record in Web of Science</v>
      </c>
    </row>
    <row r="249" ht="12.75" customHeight="1">
      <c r="A249" s="14" t="s">
        <v>97</v>
      </c>
      <c r="B249" s="14" t="s">
        <v>5165</v>
      </c>
      <c r="C249" s="14" t="s">
        <v>99</v>
      </c>
      <c r="D249" s="14" t="s">
        <v>99</v>
      </c>
      <c r="E249" s="14" t="s">
        <v>99</v>
      </c>
      <c r="F249" s="14" t="s">
        <v>5166</v>
      </c>
      <c r="G249" s="14" t="s">
        <v>99</v>
      </c>
      <c r="H249" s="14" t="s">
        <v>99</v>
      </c>
      <c r="I249" s="14" t="s">
        <v>5167</v>
      </c>
      <c r="J249" s="14" t="s">
        <v>328</v>
      </c>
      <c r="K249" s="14" t="s">
        <v>99</v>
      </c>
      <c r="L249" s="14" t="s">
        <v>99</v>
      </c>
      <c r="M249" s="14" t="s">
        <v>103</v>
      </c>
      <c r="N249" s="14" t="s">
        <v>104</v>
      </c>
      <c r="O249" s="14" t="s">
        <v>99</v>
      </c>
      <c r="P249" s="14" t="s">
        <v>99</v>
      </c>
      <c r="Q249" s="14" t="s">
        <v>99</v>
      </c>
      <c r="R249" s="14" t="s">
        <v>99</v>
      </c>
      <c r="S249" s="14" t="s">
        <v>99</v>
      </c>
      <c r="T249" s="14" t="s">
        <v>5168</v>
      </c>
      <c r="U249" s="14" t="s">
        <v>5169</v>
      </c>
      <c r="V249" s="14" t="s">
        <v>5170</v>
      </c>
      <c r="W249" s="14" t="s">
        <v>5171</v>
      </c>
      <c r="X249" s="14" t="s">
        <v>5172</v>
      </c>
      <c r="Y249" s="14" t="s">
        <v>5173</v>
      </c>
      <c r="Z249" s="14" t="s">
        <v>5174</v>
      </c>
      <c r="AA249" s="14" t="s">
        <v>5175</v>
      </c>
      <c r="AB249" s="14" t="s">
        <v>5176</v>
      </c>
      <c r="AC249" s="14" t="s">
        <v>5177</v>
      </c>
      <c r="AD249" s="14" t="s">
        <v>5178</v>
      </c>
      <c r="AE249" s="14" t="s">
        <v>5179</v>
      </c>
      <c r="AF249" s="14" t="s">
        <v>99</v>
      </c>
      <c r="AG249" s="14">
        <v>76.0</v>
      </c>
      <c r="AH249" s="14">
        <v>127.0</v>
      </c>
      <c r="AI249" s="14">
        <v>152.0</v>
      </c>
      <c r="AJ249" s="14">
        <v>13.0</v>
      </c>
      <c r="AK249" s="14">
        <v>377.0</v>
      </c>
      <c r="AL249" s="14" t="s">
        <v>341</v>
      </c>
      <c r="AM249" s="14" t="s">
        <v>342</v>
      </c>
      <c r="AN249" s="14" t="s">
        <v>343</v>
      </c>
      <c r="AO249" s="14" t="s">
        <v>344</v>
      </c>
      <c r="AP249" s="14" t="s">
        <v>345</v>
      </c>
      <c r="AQ249" s="14" t="s">
        <v>99</v>
      </c>
      <c r="AR249" s="14" t="s">
        <v>346</v>
      </c>
      <c r="AS249" s="14" t="s">
        <v>347</v>
      </c>
      <c r="AT249" s="14" t="s">
        <v>280</v>
      </c>
      <c r="AU249" s="14">
        <v>2012.0</v>
      </c>
      <c r="AV249" s="14">
        <v>18.0</v>
      </c>
      <c r="AW249" s="14">
        <v>2.0</v>
      </c>
      <c r="AX249" s="14" t="s">
        <v>99</v>
      </c>
      <c r="AY249" s="14" t="s">
        <v>99</v>
      </c>
      <c r="AZ249" s="14" t="s">
        <v>99</v>
      </c>
      <c r="BA249" s="14" t="s">
        <v>99</v>
      </c>
      <c r="BB249" s="14">
        <v>504.0</v>
      </c>
      <c r="BC249" s="14">
        <v>514.0</v>
      </c>
      <c r="BD249" s="14" t="s">
        <v>99</v>
      </c>
      <c r="BE249" s="14" t="s">
        <v>5180</v>
      </c>
      <c r="BF249" s="15" t="str">
        <f>HYPERLINK("http://dx.doi.org/10.1111/j.1365-2486.2011.02540.x","http://dx.doi.org/10.1111/j.1365-2486.2011.02540.x")</f>
        <v>http://dx.doi.org/10.1111/j.1365-2486.2011.02540.x</v>
      </c>
      <c r="BG249" s="14" t="s">
        <v>99</v>
      </c>
      <c r="BH249" s="14" t="s">
        <v>99</v>
      </c>
      <c r="BI249" s="14">
        <v>11.0</v>
      </c>
      <c r="BJ249" s="14" t="s">
        <v>351</v>
      </c>
      <c r="BK249" s="14" t="s">
        <v>122</v>
      </c>
      <c r="BL249" s="14" t="s">
        <v>352</v>
      </c>
      <c r="BM249" s="14" t="s">
        <v>5181</v>
      </c>
      <c r="BN249" s="14" t="s">
        <v>99</v>
      </c>
      <c r="BO249" s="14" t="s">
        <v>99</v>
      </c>
      <c r="BP249" s="14" t="s">
        <v>99</v>
      </c>
      <c r="BQ249" s="14" t="s">
        <v>99</v>
      </c>
      <c r="BR249" s="14" t="s">
        <v>124</v>
      </c>
      <c r="BS249" s="14" t="s">
        <v>5182</v>
      </c>
      <c r="BT249" s="14" t="str">
        <f>HYPERLINK("https%3A%2F%2Fwww.webofscience.com%2Fwos%2Fwoscc%2Ffull-record%2FWOS:000299042500010","View Full Record in Web of Science")</f>
        <v>View Full Record in Web of Science</v>
      </c>
    </row>
    <row r="250" ht="12.75" customHeight="1">
      <c r="A250" s="14" t="s">
        <v>97</v>
      </c>
      <c r="B250" s="14" t="s">
        <v>5183</v>
      </c>
      <c r="C250" s="14" t="s">
        <v>99</v>
      </c>
      <c r="D250" s="14" t="s">
        <v>99</v>
      </c>
      <c r="E250" s="14" t="s">
        <v>99</v>
      </c>
      <c r="F250" s="14" t="s">
        <v>5184</v>
      </c>
      <c r="G250" s="14" t="s">
        <v>99</v>
      </c>
      <c r="H250" s="14" t="s">
        <v>99</v>
      </c>
      <c r="I250" s="14" t="s">
        <v>5185</v>
      </c>
      <c r="J250" s="14" t="s">
        <v>726</v>
      </c>
      <c r="K250" s="14" t="s">
        <v>99</v>
      </c>
      <c r="L250" s="14" t="s">
        <v>99</v>
      </c>
      <c r="M250" s="14" t="s">
        <v>103</v>
      </c>
      <c r="N250" s="14" t="s">
        <v>104</v>
      </c>
      <c r="O250" s="14" t="s">
        <v>99</v>
      </c>
      <c r="P250" s="14" t="s">
        <v>99</v>
      </c>
      <c r="Q250" s="14" t="s">
        <v>99</v>
      </c>
      <c r="R250" s="14" t="s">
        <v>99</v>
      </c>
      <c r="S250" s="14" t="s">
        <v>99</v>
      </c>
      <c r="T250" s="14" t="s">
        <v>5186</v>
      </c>
      <c r="U250" s="14" t="s">
        <v>5187</v>
      </c>
      <c r="V250" s="14" t="s">
        <v>5188</v>
      </c>
      <c r="W250" s="14" t="s">
        <v>5189</v>
      </c>
      <c r="X250" s="14" t="s">
        <v>5190</v>
      </c>
      <c r="Y250" s="14" t="s">
        <v>5191</v>
      </c>
      <c r="Z250" s="14" t="s">
        <v>5192</v>
      </c>
      <c r="AA250" s="14" t="s">
        <v>5193</v>
      </c>
      <c r="AB250" s="14" t="s">
        <v>5194</v>
      </c>
      <c r="AC250" s="14" t="s">
        <v>99</v>
      </c>
      <c r="AD250" s="14" t="s">
        <v>99</v>
      </c>
      <c r="AE250" s="14" t="s">
        <v>99</v>
      </c>
      <c r="AF250" s="14" t="s">
        <v>99</v>
      </c>
      <c r="AG250" s="14">
        <v>83.0</v>
      </c>
      <c r="AH250" s="14">
        <v>80.0</v>
      </c>
      <c r="AI250" s="14">
        <v>84.0</v>
      </c>
      <c r="AJ250" s="14">
        <v>0.0</v>
      </c>
      <c r="AK250" s="14">
        <v>152.0</v>
      </c>
      <c r="AL250" s="14" t="s">
        <v>341</v>
      </c>
      <c r="AM250" s="14" t="s">
        <v>342</v>
      </c>
      <c r="AN250" s="14" t="s">
        <v>343</v>
      </c>
      <c r="AO250" s="14" t="s">
        <v>739</v>
      </c>
      <c r="AP250" s="14" t="s">
        <v>740</v>
      </c>
      <c r="AQ250" s="14" t="s">
        <v>99</v>
      </c>
      <c r="AR250" s="14" t="s">
        <v>741</v>
      </c>
      <c r="AS250" s="14" t="s">
        <v>742</v>
      </c>
      <c r="AT250" s="14" t="s">
        <v>280</v>
      </c>
      <c r="AU250" s="14">
        <v>2012.0</v>
      </c>
      <c r="AV250" s="14">
        <v>18.0</v>
      </c>
      <c r="AW250" s="14">
        <v>2.0</v>
      </c>
      <c r="AX250" s="14" t="s">
        <v>99</v>
      </c>
      <c r="AY250" s="14" t="s">
        <v>99</v>
      </c>
      <c r="AZ250" s="14" t="s">
        <v>99</v>
      </c>
      <c r="BA250" s="14" t="s">
        <v>99</v>
      </c>
      <c r="BB250" s="14">
        <v>121.0</v>
      </c>
      <c r="BC250" s="14">
        <v>132.0</v>
      </c>
      <c r="BD250" s="14" t="s">
        <v>99</v>
      </c>
      <c r="BE250" s="14" t="s">
        <v>5195</v>
      </c>
      <c r="BF250" s="15" t="str">
        <f>HYPERLINK("http://dx.doi.org/10.1111/j.1472-4642.2011.00827.x","http://dx.doi.org/10.1111/j.1472-4642.2011.00827.x")</f>
        <v>http://dx.doi.org/10.1111/j.1472-4642.2011.00827.x</v>
      </c>
      <c r="BG250" s="14" t="s">
        <v>99</v>
      </c>
      <c r="BH250" s="14" t="s">
        <v>99</v>
      </c>
      <c r="BI250" s="14">
        <v>12.0</v>
      </c>
      <c r="BJ250" s="14" t="s">
        <v>550</v>
      </c>
      <c r="BK250" s="14" t="s">
        <v>122</v>
      </c>
      <c r="BL250" s="14" t="s">
        <v>352</v>
      </c>
      <c r="BM250" s="14" t="s">
        <v>5196</v>
      </c>
      <c r="BN250" s="14" t="s">
        <v>99</v>
      </c>
      <c r="BO250" s="14" t="s">
        <v>99</v>
      </c>
      <c r="BP250" s="14" t="s">
        <v>99</v>
      </c>
      <c r="BQ250" s="14" t="s">
        <v>99</v>
      </c>
      <c r="BR250" s="14" t="s">
        <v>124</v>
      </c>
      <c r="BS250" s="14" t="s">
        <v>5197</v>
      </c>
      <c r="BT250" s="14" t="str">
        <f>HYPERLINK("https%3A%2F%2Fwww.webofscience.com%2Fwos%2Fwoscc%2Ffull-record%2FWOS:000298874900003","View Full Record in Web of Science")</f>
        <v>View Full Record in Web of Science</v>
      </c>
    </row>
    <row r="251" ht="12.75" customHeight="1">
      <c r="A251" s="14" t="s">
        <v>97</v>
      </c>
      <c r="B251" s="14" t="s">
        <v>5198</v>
      </c>
      <c r="C251" s="14" t="s">
        <v>99</v>
      </c>
      <c r="D251" s="14" t="s">
        <v>99</v>
      </c>
      <c r="E251" s="14" t="s">
        <v>99</v>
      </c>
      <c r="F251" s="14" t="s">
        <v>5199</v>
      </c>
      <c r="G251" s="14" t="s">
        <v>99</v>
      </c>
      <c r="H251" s="14" t="s">
        <v>99</v>
      </c>
      <c r="I251" s="14" t="s">
        <v>5200</v>
      </c>
      <c r="J251" s="14" t="s">
        <v>1102</v>
      </c>
      <c r="K251" s="14" t="s">
        <v>99</v>
      </c>
      <c r="L251" s="14" t="s">
        <v>99</v>
      </c>
      <c r="M251" s="14" t="s">
        <v>103</v>
      </c>
      <c r="N251" s="14" t="s">
        <v>104</v>
      </c>
      <c r="O251" s="14" t="s">
        <v>99</v>
      </c>
      <c r="P251" s="14" t="s">
        <v>99</v>
      </c>
      <c r="Q251" s="14" t="s">
        <v>99</v>
      </c>
      <c r="R251" s="14" t="s">
        <v>99</v>
      </c>
      <c r="S251" s="14" t="s">
        <v>99</v>
      </c>
      <c r="T251" s="14" t="s">
        <v>5201</v>
      </c>
      <c r="U251" s="14" t="s">
        <v>5202</v>
      </c>
      <c r="V251" s="14" t="s">
        <v>5203</v>
      </c>
      <c r="W251" s="14" t="s">
        <v>5204</v>
      </c>
      <c r="X251" s="14" t="s">
        <v>5205</v>
      </c>
      <c r="Y251" s="14" t="s">
        <v>5206</v>
      </c>
      <c r="Z251" s="14" t="s">
        <v>5207</v>
      </c>
      <c r="AA251" s="14" t="s">
        <v>5208</v>
      </c>
      <c r="AB251" s="14" t="s">
        <v>5209</v>
      </c>
      <c r="AC251" s="14" t="s">
        <v>5210</v>
      </c>
      <c r="AD251" s="14" t="s">
        <v>5210</v>
      </c>
      <c r="AE251" s="14" t="s">
        <v>5211</v>
      </c>
      <c r="AF251" s="14" t="s">
        <v>99</v>
      </c>
      <c r="AG251" s="14">
        <v>63.0</v>
      </c>
      <c r="AH251" s="14">
        <v>67.0</v>
      </c>
      <c r="AI251" s="14">
        <v>84.0</v>
      </c>
      <c r="AJ251" s="14">
        <v>1.0</v>
      </c>
      <c r="AK251" s="14">
        <v>89.0</v>
      </c>
      <c r="AL251" s="14" t="s">
        <v>493</v>
      </c>
      <c r="AM251" s="14" t="s">
        <v>468</v>
      </c>
      <c r="AN251" s="14" t="s">
        <v>635</v>
      </c>
      <c r="AO251" s="14" t="s">
        <v>1112</v>
      </c>
      <c r="AP251" s="14" t="s">
        <v>1113</v>
      </c>
      <c r="AQ251" s="14" t="s">
        <v>99</v>
      </c>
      <c r="AR251" s="14" t="s">
        <v>1114</v>
      </c>
      <c r="AS251" s="14" t="s">
        <v>1115</v>
      </c>
      <c r="AT251" s="14" t="s">
        <v>280</v>
      </c>
      <c r="AU251" s="14">
        <v>2012.0</v>
      </c>
      <c r="AV251" s="14">
        <v>146.0</v>
      </c>
      <c r="AW251" s="14">
        <v>1.0</v>
      </c>
      <c r="AX251" s="14" t="s">
        <v>99</v>
      </c>
      <c r="AY251" s="14" t="s">
        <v>99</v>
      </c>
      <c r="AZ251" s="14" t="s">
        <v>99</v>
      </c>
      <c r="BA251" s="14" t="s">
        <v>99</v>
      </c>
      <c r="BB251" s="14">
        <v>89.0</v>
      </c>
      <c r="BC251" s="14">
        <v>96.0</v>
      </c>
      <c r="BD251" s="14" t="s">
        <v>99</v>
      </c>
      <c r="BE251" s="14" t="s">
        <v>5212</v>
      </c>
      <c r="BF251" s="15" t="str">
        <f>HYPERLINK("http://dx.doi.org/10.1016/j.biocon.2011.09.017","http://dx.doi.org/10.1016/j.biocon.2011.09.017")</f>
        <v>http://dx.doi.org/10.1016/j.biocon.2011.09.017</v>
      </c>
      <c r="BG251" s="14" t="s">
        <v>99</v>
      </c>
      <c r="BH251" s="14" t="s">
        <v>99</v>
      </c>
      <c r="BI251" s="14">
        <v>8.0</v>
      </c>
      <c r="BJ251" s="14" t="s">
        <v>351</v>
      </c>
      <c r="BK251" s="14" t="s">
        <v>122</v>
      </c>
      <c r="BL251" s="14" t="s">
        <v>352</v>
      </c>
      <c r="BM251" s="14" t="s">
        <v>5213</v>
      </c>
      <c r="BN251" s="14" t="s">
        <v>99</v>
      </c>
      <c r="BO251" s="14" t="s">
        <v>99</v>
      </c>
      <c r="BP251" s="14" t="s">
        <v>99</v>
      </c>
      <c r="BQ251" s="14" t="s">
        <v>99</v>
      </c>
      <c r="BR251" s="14" t="s">
        <v>124</v>
      </c>
      <c r="BS251" s="14" t="s">
        <v>5214</v>
      </c>
      <c r="BT251" s="14" t="str">
        <f>HYPERLINK("https%3A%2F%2Fwww.webofscience.com%2Fwos%2Fwoscc%2Ffull-record%2FWOS:000301814300010","View Full Record in Web of Science")</f>
        <v>View Full Record in Web of Science</v>
      </c>
    </row>
    <row r="252" ht="12.75" customHeight="1">
      <c r="A252" s="14" t="s">
        <v>97</v>
      </c>
      <c r="B252" s="14" t="s">
        <v>5215</v>
      </c>
      <c r="C252" s="14" t="s">
        <v>99</v>
      </c>
      <c r="D252" s="14" t="s">
        <v>99</v>
      </c>
      <c r="E252" s="14" t="s">
        <v>99</v>
      </c>
      <c r="F252" s="14" t="s">
        <v>5216</v>
      </c>
      <c r="G252" s="14" t="s">
        <v>99</v>
      </c>
      <c r="H252" s="14" t="s">
        <v>99</v>
      </c>
      <c r="I252" s="14" t="s">
        <v>5217</v>
      </c>
      <c r="J252" s="14" t="s">
        <v>776</v>
      </c>
      <c r="K252" s="14" t="s">
        <v>99</v>
      </c>
      <c r="L252" s="14" t="s">
        <v>99</v>
      </c>
      <c r="M252" s="14" t="s">
        <v>103</v>
      </c>
      <c r="N252" s="14" t="s">
        <v>104</v>
      </c>
      <c r="O252" s="14" t="s">
        <v>99</v>
      </c>
      <c r="P252" s="14" t="s">
        <v>99</v>
      </c>
      <c r="Q252" s="14" t="s">
        <v>99</v>
      </c>
      <c r="R252" s="14" t="s">
        <v>99</v>
      </c>
      <c r="S252" s="14" t="s">
        <v>99</v>
      </c>
      <c r="T252" s="14" t="s">
        <v>5218</v>
      </c>
      <c r="U252" s="14" t="s">
        <v>5219</v>
      </c>
      <c r="V252" s="14" t="s">
        <v>5220</v>
      </c>
      <c r="W252" s="14" t="s">
        <v>5221</v>
      </c>
      <c r="X252" s="14" t="s">
        <v>5222</v>
      </c>
      <c r="Y252" s="14" t="s">
        <v>5223</v>
      </c>
      <c r="Z252" s="14" t="s">
        <v>5224</v>
      </c>
      <c r="AA252" s="14" t="s">
        <v>5225</v>
      </c>
      <c r="AB252" s="14" t="s">
        <v>5226</v>
      </c>
      <c r="AC252" s="14" t="s">
        <v>5227</v>
      </c>
      <c r="AD252" s="14" t="s">
        <v>5228</v>
      </c>
      <c r="AE252" s="14" t="s">
        <v>5229</v>
      </c>
      <c r="AF252" s="14" t="s">
        <v>99</v>
      </c>
      <c r="AG252" s="14">
        <v>42.0</v>
      </c>
      <c r="AH252" s="14">
        <v>455.0</v>
      </c>
      <c r="AI252" s="14">
        <v>527.0</v>
      </c>
      <c r="AJ252" s="14">
        <v>6.0</v>
      </c>
      <c r="AK252" s="14">
        <v>232.0</v>
      </c>
      <c r="AL252" s="14" t="s">
        <v>788</v>
      </c>
      <c r="AM252" s="14" t="s">
        <v>789</v>
      </c>
      <c r="AN252" s="14" t="s">
        <v>790</v>
      </c>
      <c r="AO252" s="14" t="s">
        <v>791</v>
      </c>
      <c r="AP252" s="14" t="s">
        <v>99</v>
      </c>
      <c r="AQ252" s="14" t="s">
        <v>99</v>
      </c>
      <c r="AR252" s="14" t="s">
        <v>793</v>
      </c>
      <c r="AS252" s="14" t="s">
        <v>794</v>
      </c>
      <c r="AT252" s="14" t="s">
        <v>5230</v>
      </c>
      <c r="AU252" s="14">
        <v>2012.0</v>
      </c>
      <c r="AV252" s="14">
        <v>109.0</v>
      </c>
      <c r="AW252" s="14">
        <v>4.0</v>
      </c>
      <c r="AX252" s="14" t="s">
        <v>99</v>
      </c>
      <c r="AY252" s="14" t="s">
        <v>99</v>
      </c>
      <c r="AZ252" s="14" t="s">
        <v>99</v>
      </c>
      <c r="BA252" s="14" t="s">
        <v>99</v>
      </c>
      <c r="BB252" s="14">
        <v>1341.0</v>
      </c>
      <c r="BC252" s="14">
        <v>1346.0</v>
      </c>
      <c r="BD252" s="14" t="s">
        <v>99</v>
      </c>
      <c r="BE252" s="14" t="s">
        <v>5231</v>
      </c>
      <c r="BF252" s="15" t="str">
        <f>HYPERLINK("http://dx.doi.org/10.1073/pnas.1111374109","http://dx.doi.org/10.1073/pnas.1111374109")</f>
        <v>http://dx.doi.org/10.1073/pnas.1111374109</v>
      </c>
      <c r="BG252" s="14" t="s">
        <v>99</v>
      </c>
      <c r="BH252" s="14" t="s">
        <v>99</v>
      </c>
      <c r="BI252" s="14">
        <v>6.0</v>
      </c>
      <c r="BJ252" s="14" t="s">
        <v>799</v>
      </c>
      <c r="BK252" s="14" t="s">
        <v>122</v>
      </c>
      <c r="BL252" s="14" t="s">
        <v>801</v>
      </c>
      <c r="BM252" s="14" t="s">
        <v>5232</v>
      </c>
      <c r="BN252" s="14">
        <v>2.2232692E7</v>
      </c>
      <c r="BO252" s="14" t="s">
        <v>99</v>
      </c>
      <c r="BP252" s="14" t="s">
        <v>99</v>
      </c>
      <c r="BQ252" s="14" t="s">
        <v>99</v>
      </c>
      <c r="BR252" s="14" t="s">
        <v>124</v>
      </c>
      <c r="BS252" s="14" t="s">
        <v>5233</v>
      </c>
      <c r="BT252" s="14" t="str">
        <f>HYPERLINK("https%3A%2F%2Fwww.webofscience.com%2Fwos%2Fwoscc%2Ffull-record%2FWOS:000299412600068","View Full Record in Web of Science")</f>
        <v>View Full Record in Web of Science</v>
      </c>
    </row>
    <row r="253" ht="12.75" customHeight="1">
      <c r="A253" s="14" t="s">
        <v>284</v>
      </c>
      <c r="B253" s="14" t="s">
        <v>5234</v>
      </c>
      <c r="C253" s="14" t="s">
        <v>99</v>
      </c>
      <c r="D253" s="14" t="s">
        <v>5234</v>
      </c>
      <c r="E253" s="14" t="s">
        <v>99</v>
      </c>
      <c r="F253" s="14" t="s">
        <v>5235</v>
      </c>
      <c r="G253" s="14" t="s">
        <v>99</v>
      </c>
      <c r="H253" s="14" t="s">
        <v>99</v>
      </c>
      <c r="I253" s="14" t="s">
        <v>5236</v>
      </c>
      <c r="J253" s="14" t="s">
        <v>5237</v>
      </c>
      <c r="K253" s="14" t="s">
        <v>5238</v>
      </c>
      <c r="L253" s="14" t="s">
        <v>99</v>
      </c>
      <c r="M253" s="14" t="s">
        <v>103</v>
      </c>
      <c r="N253" s="14" t="s">
        <v>291</v>
      </c>
      <c r="O253" s="14" t="s">
        <v>99</v>
      </c>
      <c r="P253" s="14" t="s">
        <v>99</v>
      </c>
      <c r="Q253" s="14" t="s">
        <v>99</v>
      </c>
      <c r="R253" s="14" t="s">
        <v>99</v>
      </c>
      <c r="S253" s="14" t="s">
        <v>99</v>
      </c>
      <c r="T253" s="14" t="s">
        <v>5239</v>
      </c>
      <c r="U253" s="14" t="s">
        <v>5240</v>
      </c>
      <c r="V253" s="14" t="s">
        <v>5241</v>
      </c>
      <c r="W253" s="14" t="s">
        <v>5242</v>
      </c>
      <c r="X253" s="14" t="s">
        <v>5243</v>
      </c>
      <c r="Y253" s="14" t="s">
        <v>5244</v>
      </c>
      <c r="Z253" s="14" t="s">
        <v>99</v>
      </c>
      <c r="AA253" s="14" t="s">
        <v>5245</v>
      </c>
      <c r="AB253" s="14" t="s">
        <v>5246</v>
      </c>
      <c r="AC253" s="14" t="s">
        <v>99</v>
      </c>
      <c r="AD253" s="14" t="s">
        <v>99</v>
      </c>
      <c r="AE253" s="14" t="s">
        <v>99</v>
      </c>
      <c r="AF253" s="14" t="s">
        <v>99</v>
      </c>
      <c r="AG253" s="14">
        <v>16.0</v>
      </c>
      <c r="AH253" s="14">
        <v>29.0</v>
      </c>
      <c r="AI253" s="14">
        <v>35.0</v>
      </c>
      <c r="AJ253" s="14">
        <v>0.0</v>
      </c>
      <c r="AK253" s="14">
        <v>7.0</v>
      </c>
      <c r="AL253" s="14" t="s">
        <v>1033</v>
      </c>
      <c r="AM253" s="14" t="s">
        <v>442</v>
      </c>
      <c r="AN253" s="14" t="s">
        <v>5247</v>
      </c>
      <c r="AO253" s="14" t="s">
        <v>99</v>
      </c>
      <c r="AP253" s="14" t="s">
        <v>99</v>
      </c>
      <c r="AQ253" s="14" t="s">
        <v>5248</v>
      </c>
      <c r="AR253" s="14" t="s">
        <v>5249</v>
      </c>
      <c r="AS253" s="14" t="s">
        <v>99</v>
      </c>
      <c r="AT253" s="14" t="s">
        <v>99</v>
      </c>
      <c r="AU253" s="14">
        <v>2012.0</v>
      </c>
      <c r="AV253" s="14" t="s">
        <v>99</v>
      </c>
      <c r="AW253" s="14" t="s">
        <v>99</v>
      </c>
      <c r="AX253" s="14" t="s">
        <v>99</v>
      </c>
      <c r="AY253" s="14" t="s">
        <v>99</v>
      </c>
      <c r="AZ253" s="14" t="s">
        <v>99</v>
      </c>
      <c r="BA253" s="14" t="s">
        <v>99</v>
      </c>
      <c r="BB253" s="14">
        <v>871.0</v>
      </c>
      <c r="BC253" s="14">
        <v>890.0</v>
      </c>
      <c r="BD253" s="14" t="s">
        <v>99</v>
      </c>
      <c r="BE253" s="14" t="s">
        <v>5250</v>
      </c>
      <c r="BF253" s="15" t="str">
        <f>HYPERLINK("http://dx.doi.org/10.1016/B978-0-12-385140-6.00064-5","http://dx.doi.org/10.1016/B978-0-12-385140-6.00064-5")</f>
        <v>http://dx.doi.org/10.1016/B978-0-12-385140-6.00064-5</v>
      </c>
      <c r="BG253" s="14" t="s">
        <v>99</v>
      </c>
      <c r="BH253" s="14" t="s">
        <v>99</v>
      </c>
      <c r="BI253" s="14">
        <v>20.0</v>
      </c>
      <c r="BJ253" s="14" t="s">
        <v>990</v>
      </c>
      <c r="BK253" s="14" t="s">
        <v>302</v>
      </c>
      <c r="BL253" s="14" t="s">
        <v>991</v>
      </c>
      <c r="BM253" s="14" t="s">
        <v>5251</v>
      </c>
      <c r="BN253" s="14" t="s">
        <v>99</v>
      </c>
      <c r="BO253" s="14" t="s">
        <v>99</v>
      </c>
      <c r="BP253" s="14" t="s">
        <v>99</v>
      </c>
      <c r="BQ253" s="14" t="s">
        <v>99</v>
      </c>
      <c r="BR253" s="14" t="s">
        <v>124</v>
      </c>
      <c r="BS253" s="14" t="s">
        <v>5252</v>
      </c>
      <c r="BT253" s="14" t="str">
        <f>HYPERLINK("https%3A%2F%2Fwww.webofscience.com%2Fwos%2Fwoscc%2Ffull-record%2FWOS:000322237000066","View Full Record in Web of Science")</f>
        <v>View Full Record in Web of Science</v>
      </c>
    </row>
    <row r="254" ht="12.75" customHeight="1">
      <c r="A254" s="14" t="s">
        <v>97</v>
      </c>
      <c r="B254" s="14" t="s">
        <v>5253</v>
      </c>
      <c r="C254" s="14" t="s">
        <v>99</v>
      </c>
      <c r="D254" s="14" t="s">
        <v>99</v>
      </c>
      <c r="E254" s="14" t="s">
        <v>99</v>
      </c>
      <c r="F254" s="14" t="s">
        <v>5254</v>
      </c>
      <c r="G254" s="14" t="s">
        <v>99</v>
      </c>
      <c r="H254" s="14" t="s">
        <v>99</v>
      </c>
      <c r="I254" s="14" t="s">
        <v>5255</v>
      </c>
      <c r="J254" s="14" t="s">
        <v>430</v>
      </c>
      <c r="K254" s="14" t="s">
        <v>99</v>
      </c>
      <c r="L254" s="14" t="s">
        <v>99</v>
      </c>
      <c r="M254" s="14" t="s">
        <v>103</v>
      </c>
      <c r="N254" s="14" t="s">
        <v>104</v>
      </c>
      <c r="O254" s="14" t="s">
        <v>99</v>
      </c>
      <c r="P254" s="14" t="s">
        <v>99</v>
      </c>
      <c r="Q254" s="14" t="s">
        <v>99</v>
      </c>
      <c r="R254" s="14" t="s">
        <v>99</v>
      </c>
      <c r="S254" s="14" t="s">
        <v>99</v>
      </c>
      <c r="T254" s="14" t="s">
        <v>5256</v>
      </c>
      <c r="U254" s="14" t="s">
        <v>5257</v>
      </c>
      <c r="V254" s="14" t="s">
        <v>5258</v>
      </c>
      <c r="W254" s="14" t="s">
        <v>5259</v>
      </c>
      <c r="X254" s="14" t="s">
        <v>5260</v>
      </c>
      <c r="Y254" s="14" t="s">
        <v>5261</v>
      </c>
      <c r="Z254" s="14" t="s">
        <v>5262</v>
      </c>
      <c r="AA254" s="14" t="s">
        <v>5263</v>
      </c>
      <c r="AB254" s="14" t="s">
        <v>5264</v>
      </c>
      <c r="AC254" s="14" t="s">
        <v>5265</v>
      </c>
      <c r="AD254" s="14" t="s">
        <v>5266</v>
      </c>
      <c r="AE254" s="14" t="s">
        <v>5267</v>
      </c>
      <c r="AF254" s="14" t="s">
        <v>99</v>
      </c>
      <c r="AG254" s="14">
        <v>62.0</v>
      </c>
      <c r="AH254" s="14">
        <v>22.0</v>
      </c>
      <c r="AI254" s="14">
        <v>30.0</v>
      </c>
      <c r="AJ254" s="14">
        <v>2.0</v>
      </c>
      <c r="AK254" s="14">
        <v>84.0</v>
      </c>
      <c r="AL254" s="14" t="s">
        <v>1033</v>
      </c>
      <c r="AM254" s="14" t="s">
        <v>442</v>
      </c>
      <c r="AN254" s="14" t="s">
        <v>1034</v>
      </c>
      <c r="AO254" s="14" t="s">
        <v>444</v>
      </c>
      <c r="AP254" s="14" t="s">
        <v>445</v>
      </c>
      <c r="AQ254" s="14" t="s">
        <v>99</v>
      </c>
      <c r="AR254" s="14" t="s">
        <v>446</v>
      </c>
      <c r="AS254" s="14" t="s">
        <v>447</v>
      </c>
      <c r="AT254" s="14" t="s">
        <v>4519</v>
      </c>
      <c r="AU254" s="14">
        <v>2011.0</v>
      </c>
      <c r="AV254" s="14">
        <v>262.0</v>
      </c>
      <c r="AW254" s="14">
        <v>12.0</v>
      </c>
      <c r="AX254" s="14" t="s">
        <v>99</v>
      </c>
      <c r="AY254" s="14" t="s">
        <v>99</v>
      </c>
      <c r="AZ254" s="14" t="s">
        <v>99</v>
      </c>
      <c r="BA254" s="14" t="s">
        <v>99</v>
      </c>
      <c r="BB254" s="14">
        <v>2219.0</v>
      </c>
      <c r="BC254" s="14">
        <v>2228.0</v>
      </c>
      <c r="BD254" s="14" t="s">
        <v>99</v>
      </c>
      <c r="BE254" s="14" t="s">
        <v>5268</v>
      </c>
      <c r="BF254" s="15" t="str">
        <f>HYPERLINK("http://dx.doi.org/10.1016/j.foreco.2011.08.014","http://dx.doi.org/10.1016/j.foreco.2011.08.014")</f>
        <v>http://dx.doi.org/10.1016/j.foreco.2011.08.014</v>
      </c>
      <c r="BG254" s="14" t="s">
        <v>99</v>
      </c>
      <c r="BH254" s="14" t="s">
        <v>99</v>
      </c>
      <c r="BI254" s="14">
        <v>10.0</v>
      </c>
      <c r="BJ254" s="14" t="s">
        <v>281</v>
      </c>
      <c r="BK254" s="14" t="s">
        <v>122</v>
      </c>
      <c r="BL254" s="14" t="s">
        <v>281</v>
      </c>
      <c r="BM254" s="14" t="s">
        <v>5269</v>
      </c>
      <c r="BN254" s="14" t="s">
        <v>99</v>
      </c>
      <c r="BO254" s="14" t="s">
        <v>99</v>
      </c>
      <c r="BP254" s="14" t="s">
        <v>99</v>
      </c>
      <c r="BQ254" s="14" t="s">
        <v>99</v>
      </c>
      <c r="BR254" s="14" t="s">
        <v>124</v>
      </c>
      <c r="BS254" s="14" t="s">
        <v>5270</v>
      </c>
      <c r="BT254" s="14" t="str">
        <f>HYPERLINK("https%3A%2F%2Fwww.webofscience.com%2Fwos%2Fwoscc%2Ffull-record%2FWOS:000297775500012","View Full Record in Web of Science")</f>
        <v>View Full Record in Web of Science</v>
      </c>
    </row>
    <row r="255" ht="12.75" customHeight="1">
      <c r="A255" s="14" t="s">
        <v>97</v>
      </c>
      <c r="B255" s="14" t="s">
        <v>5271</v>
      </c>
      <c r="C255" s="14" t="s">
        <v>99</v>
      </c>
      <c r="D255" s="14" t="s">
        <v>99</v>
      </c>
      <c r="E255" s="14" t="s">
        <v>99</v>
      </c>
      <c r="F255" s="14" t="s">
        <v>5272</v>
      </c>
      <c r="G255" s="14" t="s">
        <v>99</v>
      </c>
      <c r="H255" s="14" t="s">
        <v>99</v>
      </c>
      <c r="I255" s="14" t="s">
        <v>5273</v>
      </c>
      <c r="J255" s="14" t="s">
        <v>430</v>
      </c>
      <c r="K255" s="14" t="s">
        <v>99</v>
      </c>
      <c r="L255" s="14" t="s">
        <v>99</v>
      </c>
      <c r="M255" s="14" t="s">
        <v>103</v>
      </c>
      <c r="N255" s="14" t="s">
        <v>104</v>
      </c>
      <c r="O255" s="14" t="s">
        <v>99</v>
      </c>
      <c r="P255" s="14" t="s">
        <v>99</v>
      </c>
      <c r="Q255" s="14" t="s">
        <v>99</v>
      </c>
      <c r="R255" s="14" t="s">
        <v>99</v>
      </c>
      <c r="S255" s="14" t="s">
        <v>99</v>
      </c>
      <c r="T255" s="14" t="s">
        <v>5274</v>
      </c>
      <c r="U255" s="14" t="s">
        <v>5275</v>
      </c>
      <c r="V255" s="14" t="s">
        <v>5276</v>
      </c>
      <c r="W255" s="14" t="s">
        <v>5277</v>
      </c>
      <c r="X255" s="14" t="s">
        <v>5278</v>
      </c>
      <c r="Y255" s="14" t="s">
        <v>5279</v>
      </c>
      <c r="Z255" s="14" t="s">
        <v>5280</v>
      </c>
      <c r="AA255" s="14" t="s">
        <v>99</v>
      </c>
      <c r="AB255" s="14" t="s">
        <v>99</v>
      </c>
      <c r="AC255" s="14" t="s">
        <v>5281</v>
      </c>
      <c r="AD255" s="14" t="s">
        <v>5282</v>
      </c>
      <c r="AE255" s="14" t="s">
        <v>5283</v>
      </c>
      <c r="AF255" s="14" t="s">
        <v>99</v>
      </c>
      <c r="AG255" s="14">
        <v>72.0</v>
      </c>
      <c r="AH255" s="14">
        <v>20.0</v>
      </c>
      <c r="AI255" s="14">
        <v>23.0</v>
      </c>
      <c r="AJ255" s="14">
        <v>0.0</v>
      </c>
      <c r="AK255" s="14">
        <v>23.0</v>
      </c>
      <c r="AL255" s="14" t="s">
        <v>441</v>
      </c>
      <c r="AM255" s="14" t="s">
        <v>442</v>
      </c>
      <c r="AN255" s="14" t="s">
        <v>443</v>
      </c>
      <c r="AO255" s="14" t="s">
        <v>444</v>
      </c>
      <c r="AP255" s="14" t="s">
        <v>445</v>
      </c>
      <c r="AQ255" s="14" t="s">
        <v>99</v>
      </c>
      <c r="AR255" s="14" t="s">
        <v>446</v>
      </c>
      <c r="AS255" s="14" t="s">
        <v>447</v>
      </c>
      <c r="AT255" s="14" t="s">
        <v>1039</v>
      </c>
      <c r="AU255" s="14">
        <v>2011.0</v>
      </c>
      <c r="AV255" s="14">
        <v>262.0</v>
      </c>
      <c r="AW255" s="14">
        <v>11.0</v>
      </c>
      <c r="AX255" s="14" t="s">
        <v>99</v>
      </c>
      <c r="AY255" s="14" t="s">
        <v>99</v>
      </c>
      <c r="AZ255" s="14" t="s">
        <v>99</v>
      </c>
      <c r="BA255" s="14" t="s">
        <v>99</v>
      </c>
      <c r="BB255" s="14">
        <v>2079.0</v>
      </c>
      <c r="BC255" s="14">
        <v>2093.0</v>
      </c>
      <c r="BD255" s="14" t="s">
        <v>99</v>
      </c>
      <c r="BE255" s="14" t="s">
        <v>5284</v>
      </c>
      <c r="BF255" s="15" t="str">
        <f>HYPERLINK("http://dx.doi.org/10.1016/j.foreco.2011.08.032","http://dx.doi.org/10.1016/j.foreco.2011.08.032")</f>
        <v>http://dx.doi.org/10.1016/j.foreco.2011.08.032</v>
      </c>
      <c r="BG255" s="14" t="s">
        <v>99</v>
      </c>
      <c r="BH255" s="14" t="s">
        <v>99</v>
      </c>
      <c r="BI255" s="14">
        <v>15.0</v>
      </c>
      <c r="BJ255" s="14" t="s">
        <v>281</v>
      </c>
      <c r="BK255" s="14" t="s">
        <v>122</v>
      </c>
      <c r="BL255" s="14" t="s">
        <v>281</v>
      </c>
      <c r="BM255" s="14" t="s">
        <v>5285</v>
      </c>
      <c r="BN255" s="14" t="s">
        <v>99</v>
      </c>
      <c r="BO255" s="14" t="s">
        <v>99</v>
      </c>
      <c r="BP255" s="14" t="s">
        <v>99</v>
      </c>
      <c r="BQ255" s="14" t="s">
        <v>99</v>
      </c>
      <c r="BR255" s="14" t="s">
        <v>124</v>
      </c>
      <c r="BS255" s="14" t="s">
        <v>5286</v>
      </c>
      <c r="BT255" s="14" t="str">
        <f>HYPERLINK("https%3A%2F%2Fwww.webofscience.com%2Fwos%2Fwoscc%2Ffull-record%2FWOS:000297602200014","View Full Record in Web of Science")</f>
        <v>View Full Record in Web of Science</v>
      </c>
    </row>
    <row r="256" ht="12.75" customHeight="1">
      <c r="A256" s="14" t="s">
        <v>97</v>
      </c>
      <c r="B256" s="14" t="s">
        <v>5287</v>
      </c>
      <c r="C256" s="14" t="s">
        <v>99</v>
      </c>
      <c r="D256" s="14" t="s">
        <v>99</v>
      </c>
      <c r="E256" s="14" t="s">
        <v>99</v>
      </c>
      <c r="F256" s="14" t="s">
        <v>5288</v>
      </c>
      <c r="G256" s="14" t="s">
        <v>99</v>
      </c>
      <c r="H256" s="14" t="s">
        <v>99</v>
      </c>
      <c r="I256" s="14" t="s">
        <v>5289</v>
      </c>
      <c r="J256" s="14" t="s">
        <v>1721</v>
      </c>
      <c r="K256" s="14" t="s">
        <v>99</v>
      </c>
      <c r="L256" s="14" t="s">
        <v>99</v>
      </c>
      <c r="M256" s="14" t="s">
        <v>103</v>
      </c>
      <c r="N256" s="14" t="s">
        <v>104</v>
      </c>
      <c r="O256" s="14" t="s">
        <v>99</v>
      </c>
      <c r="P256" s="14" t="s">
        <v>99</v>
      </c>
      <c r="Q256" s="14" t="s">
        <v>99</v>
      </c>
      <c r="R256" s="14" t="s">
        <v>99</v>
      </c>
      <c r="S256" s="14" t="s">
        <v>99</v>
      </c>
      <c r="T256" s="14" t="s">
        <v>5290</v>
      </c>
      <c r="U256" s="14" t="s">
        <v>5291</v>
      </c>
      <c r="V256" s="14" t="s">
        <v>5292</v>
      </c>
      <c r="W256" s="14" t="s">
        <v>5293</v>
      </c>
      <c r="X256" s="14" t="s">
        <v>5294</v>
      </c>
      <c r="Y256" s="14" t="s">
        <v>5295</v>
      </c>
      <c r="Z256" s="14" t="s">
        <v>5296</v>
      </c>
      <c r="AA256" s="14" t="s">
        <v>5297</v>
      </c>
      <c r="AB256" s="14" t="s">
        <v>5298</v>
      </c>
      <c r="AC256" s="14" t="s">
        <v>5299</v>
      </c>
      <c r="AD256" s="14" t="s">
        <v>5299</v>
      </c>
      <c r="AE256" s="14" t="s">
        <v>5300</v>
      </c>
      <c r="AF256" s="14" t="s">
        <v>99</v>
      </c>
      <c r="AG256" s="14">
        <v>60.0</v>
      </c>
      <c r="AH256" s="14">
        <v>76.0</v>
      </c>
      <c r="AI256" s="14">
        <v>82.0</v>
      </c>
      <c r="AJ256" s="14">
        <v>0.0</v>
      </c>
      <c r="AK256" s="14">
        <v>90.0</v>
      </c>
      <c r="AL256" s="14" t="s">
        <v>1731</v>
      </c>
      <c r="AM256" s="14" t="s">
        <v>1732</v>
      </c>
      <c r="AN256" s="14" t="s">
        <v>1733</v>
      </c>
      <c r="AO256" s="14" t="s">
        <v>1734</v>
      </c>
      <c r="AP256" s="14" t="s">
        <v>1735</v>
      </c>
      <c r="AQ256" s="14" t="s">
        <v>99</v>
      </c>
      <c r="AR256" s="14" t="s">
        <v>1736</v>
      </c>
      <c r="AS256" s="14" t="s">
        <v>1737</v>
      </c>
      <c r="AT256" s="14" t="s">
        <v>1058</v>
      </c>
      <c r="AU256" s="14">
        <v>2011.0</v>
      </c>
      <c r="AV256" s="14">
        <v>20.0</v>
      </c>
      <c r="AW256" s="14">
        <v>13.0</v>
      </c>
      <c r="AX256" s="14" t="s">
        <v>99</v>
      </c>
      <c r="AY256" s="14" t="s">
        <v>99</v>
      </c>
      <c r="AZ256" s="14" t="s">
        <v>1738</v>
      </c>
      <c r="BA256" s="14" t="s">
        <v>99</v>
      </c>
      <c r="BB256" s="14">
        <v>3133.0</v>
      </c>
      <c r="BC256" s="14">
        <v>3146.0</v>
      </c>
      <c r="BD256" s="14" t="s">
        <v>99</v>
      </c>
      <c r="BE256" s="14" t="s">
        <v>5301</v>
      </c>
      <c r="BF256" s="15" t="str">
        <f>HYPERLINK("http://dx.doi.org/10.1007/s10531-011-0140-y","http://dx.doi.org/10.1007/s10531-011-0140-y")</f>
        <v>http://dx.doi.org/10.1007/s10531-011-0140-y</v>
      </c>
      <c r="BG256" s="14" t="s">
        <v>99</v>
      </c>
      <c r="BH256" s="14" t="s">
        <v>99</v>
      </c>
      <c r="BI256" s="14">
        <v>14.0</v>
      </c>
      <c r="BJ256" s="14" t="s">
        <v>351</v>
      </c>
      <c r="BK256" s="14" t="s">
        <v>122</v>
      </c>
      <c r="BL256" s="14" t="s">
        <v>352</v>
      </c>
      <c r="BM256" s="14" t="s">
        <v>5302</v>
      </c>
      <c r="BN256" s="14" t="s">
        <v>99</v>
      </c>
      <c r="BO256" s="14" t="s">
        <v>99</v>
      </c>
      <c r="BP256" s="14" t="s">
        <v>99</v>
      </c>
      <c r="BQ256" s="14" t="s">
        <v>99</v>
      </c>
      <c r="BR256" s="14" t="s">
        <v>124</v>
      </c>
      <c r="BS256" s="14" t="s">
        <v>5303</v>
      </c>
      <c r="BT256" s="14" t="str">
        <f>HYPERLINK("https%3A%2F%2Fwww.webofscience.com%2Fwos%2Fwoscc%2Ffull-record%2FWOS:000297170900017","View Full Record in Web of Science")</f>
        <v>View Full Record in Web of Science</v>
      </c>
    </row>
    <row r="257" ht="12.75" customHeight="1">
      <c r="A257" s="14" t="s">
        <v>97</v>
      </c>
      <c r="B257" s="14" t="s">
        <v>5304</v>
      </c>
      <c r="C257" s="14" t="s">
        <v>99</v>
      </c>
      <c r="D257" s="14" t="s">
        <v>99</v>
      </c>
      <c r="E257" s="14" t="s">
        <v>99</v>
      </c>
      <c r="F257" s="14" t="s">
        <v>5305</v>
      </c>
      <c r="G257" s="14" t="s">
        <v>99</v>
      </c>
      <c r="H257" s="14" t="s">
        <v>99</v>
      </c>
      <c r="I257" s="14" t="s">
        <v>5306</v>
      </c>
      <c r="J257" s="14" t="s">
        <v>5307</v>
      </c>
      <c r="K257" s="14" t="s">
        <v>99</v>
      </c>
      <c r="L257" s="14" t="s">
        <v>99</v>
      </c>
      <c r="M257" s="14" t="s">
        <v>103</v>
      </c>
      <c r="N257" s="14" t="s">
        <v>104</v>
      </c>
      <c r="O257" s="14" t="s">
        <v>99</v>
      </c>
      <c r="P257" s="14" t="s">
        <v>99</v>
      </c>
      <c r="Q257" s="14" t="s">
        <v>99</v>
      </c>
      <c r="R257" s="14" t="s">
        <v>99</v>
      </c>
      <c r="S257" s="14" t="s">
        <v>99</v>
      </c>
      <c r="T257" s="14" t="s">
        <v>5308</v>
      </c>
      <c r="U257" s="14" t="s">
        <v>5309</v>
      </c>
      <c r="V257" s="14" t="s">
        <v>5310</v>
      </c>
      <c r="W257" s="14" t="s">
        <v>5311</v>
      </c>
      <c r="X257" s="14" t="s">
        <v>4974</v>
      </c>
      <c r="Y257" s="14" t="s">
        <v>5312</v>
      </c>
      <c r="Z257" s="14" t="s">
        <v>5313</v>
      </c>
      <c r="AA257" s="14" t="s">
        <v>5314</v>
      </c>
      <c r="AB257" s="14" t="s">
        <v>5315</v>
      </c>
      <c r="AC257" s="14" t="s">
        <v>5316</v>
      </c>
      <c r="AD257" s="14" t="s">
        <v>5317</v>
      </c>
      <c r="AE257" s="14" t="s">
        <v>5318</v>
      </c>
      <c r="AF257" s="14" t="s">
        <v>99</v>
      </c>
      <c r="AG257" s="14">
        <v>50.0</v>
      </c>
      <c r="AH257" s="14">
        <v>157.0</v>
      </c>
      <c r="AI257" s="14">
        <v>190.0</v>
      </c>
      <c r="AJ257" s="14">
        <v>0.0</v>
      </c>
      <c r="AK257" s="14">
        <v>174.0</v>
      </c>
      <c r="AL257" s="14" t="s">
        <v>341</v>
      </c>
      <c r="AM257" s="14" t="s">
        <v>342</v>
      </c>
      <c r="AN257" s="14" t="s">
        <v>343</v>
      </c>
      <c r="AO257" s="14" t="s">
        <v>5319</v>
      </c>
      <c r="AP257" s="14" t="s">
        <v>5320</v>
      </c>
      <c r="AQ257" s="14" t="s">
        <v>99</v>
      </c>
      <c r="AR257" s="14" t="s">
        <v>5321</v>
      </c>
      <c r="AS257" s="14" t="s">
        <v>5322</v>
      </c>
      <c r="AT257" s="14" t="s">
        <v>1058</v>
      </c>
      <c r="AU257" s="14">
        <v>2011.0</v>
      </c>
      <c r="AV257" s="14">
        <v>14.0</v>
      </c>
      <c r="AW257" s="14">
        <v>12.0</v>
      </c>
      <c r="AX257" s="14" t="s">
        <v>99</v>
      </c>
      <c r="AY257" s="14" t="s">
        <v>99</v>
      </c>
      <c r="AZ257" s="14" t="s">
        <v>99</v>
      </c>
      <c r="BA257" s="14" t="s">
        <v>99</v>
      </c>
      <c r="BB257" s="14">
        <v>1191.0</v>
      </c>
      <c r="BC257" s="14">
        <v>1200.0</v>
      </c>
      <c r="BD257" s="14" t="s">
        <v>99</v>
      </c>
      <c r="BE257" s="14" t="s">
        <v>5323</v>
      </c>
      <c r="BF257" s="15" t="str">
        <f>HYPERLINK("http://dx.doi.org/10.1111/j.1461-0248.2011.01689.x","http://dx.doi.org/10.1111/j.1461-0248.2011.01689.x")</f>
        <v>http://dx.doi.org/10.1111/j.1461-0248.2011.01689.x</v>
      </c>
      <c r="BG257" s="14" t="s">
        <v>99</v>
      </c>
      <c r="BH257" s="14" t="s">
        <v>99</v>
      </c>
      <c r="BI257" s="14">
        <v>10.0</v>
      </c>
      <c r="BJ257" s="14" t="s">
        <v>259</v>
      </c>
      <c r="BK257" s="14" t="s">
        <v>122</v>
      </c>
      <c r="BL257" s="14" t="s">
        <v>260</v>
      </c>
      <c r="BM257" s="14" t="s">
        <v>5324</v>
      </c>
      <c r="BN257" s="14">
        <v>2.1978234E7</v>
      </c>
      <c r="BO257" s="14" t="s">
        <v>99</v>
      </c>
      <c r="BP257" s="14" t="s">
        <v>99</v>
      </c>
      <c r="BQ257" s="14" t="s">
        <v>99</v>
      </c>
      <c r="BR257" s="14" t="s">
        <v>124</v>
      </c>
      <c r="BS257" s="14" t="s">
        <v>5325</v>
      </c>
      <c r="BT257" s="14" t="str">
        <f>HYPERLINK("https%3A%2F%2Fwww.webofscience.com%2Fwos%2Fwoscc%2Ffull-record%2FWOS:000297147500002","View Full Record in Web of Science")</f>
        <v>View Full Record in Web of Science</v>
      </c>
    </row>
    <row r="258" ht="12.75" customHeight="1">
      <c r="A258" s="14" t="s">
        <v>97</v>
      </c>
      <c r="B258" s="14" t="s">
        <v>5326</v>
      </c>
      <c r="C258" s="14" t="s">
        <v>99</v>
      </c>
      <c r="D258" s="14" t="s">
        <v>99</v>
      </c>
      <c r="E258" s="14" t="s">
        <v>99</v>
      </c>
      <c r="F258" s="14" t="s">
        <v>5327</v>
      </c>
      <c r="G258" s="14" t="s">
        <v>99</v>
      </c>
      <c r="H258" s="14" t="s">
        <v>99</v>
      </c>
      <c r="I258" s="14" t="s">
        <v>5328</v>
      </c>
      <c r="J258" s="14" t="s">
        <v>5329</v>
      </c>
      <c r="K258" s="14" t="s">
        <v>99</v>
      </c>
      <c r="L258" s="14" t="s">
        <v>99</v>
      </c>
      <c r="M258" s="14" t="s">
        <v>103</v>
      </c>
      <c r="N258" s="14" t="s">
        <v>104</v>
      </c>
      <c r="O258" s="14" t="s">
        <v>99</v>
      </c>
      <c r="P258" s="14" t="s">
        <v>99</v>
      </c>
      <c r="Q258" s="14" t="s">
        <v>99</v>
      </c>
      <c r="R258" s="14" t="s">
        <v>99</v>
      </c>
      <c r="S258" s="14" t="s">
        <v>99</v>
      </c>
      <c r="T258" s="14" t="s">
        <v>5330</v>
      </c>
      <c r="U258" s="14" t="s">
        <v>5331</v>
      </c>
      <c r="V258" s="14" t="s">
        <v>5332</v>
      </c>
      <c r="W258" s="14" t="s">
        <v>5333</v>
      </c>
      <c r="X258" s="14" t="s">
        <v>5334</v>
      </c>
      <c r="Y258" s="14" t="s">
        <v>5335</v>
      </c>
      <c r="Z258" s="14" t="s">
        <v>5336</v>
      </c>
      <c r="AA258" s="14" t="s">
        <v>5337</v>
      </c>
      <c r="AB258" s="14" t="s">
        <v>5338</v>
      </c>
      <c r="AC258" s="14" t="s">
        <v>99</v>
      </c>
      <c r="AD258" s="14" t="s">
        <v>99</v>
      </c>
      <c r="AE258" s="14" t="s">
        <v>99</v>
      </c>
      <c r="AF258" s="14" t="s">
        <v>99</v>
      </c>
      <c r="AG258" s="14">
        <v>132.0</v>
      </c>
      <c r="AH258" s="14">
        <v>32.0</v>
      </c>
      <c r="AI258" s="14">
        <v>36.0</v>
      </c>
      <c r="AJ258" s="14">
        <v>0.0</v>
      </c>
      <c r="AK258" s="14">
        <v>57.0</v>
      </c>
      <c r="AL258" s="14" t="s">
        <v>1593</v>
      </c>
      <c r="AM258" s="14" t="s">
        <v>2726</v>
      </c>
      <c r="AN258" s="14" t="s">
        <v>4668</v>
      </c>
      <c r="AO258" s="14" t="s">
        <v>5339</v>
      </c>
      <c r="AP258" s="14" t="s">
        <v>5340</v>
      </c>
      <c r="AQ258" s="14" t="s">
        <v>99</v>
      </c>
      <c r="AR258" s="14" t="s">
        <v>5341</v>
      </c>
      <c r="AS258" s="14" t="s">
        <v>5342</v>
      </c>
      <c r="AT258" s="14" t="s">
        <v>1058</v>
      </c>
      <c r="AU258" s="14">
        <v>2011.0</v>
      </c>
      <c r="AV258" s="14">
        <v>26.0</v>
      </c>
      <c r="AW258" s="14">
        <v>4.0</v>
      </c>
      <c r="AX258" s="14" t="s">
        <v>99</v>
      </c>
      <c r="AY258" s="14" t="s">
        <v>99</v>
      </c>
      <c r="AZ258" s="14" t="s">
        <v>99</v>
      </c>
      <c r="BA258" s="14" t="s">
        <v>99</v>
      </c>
      <c r="BB258" s="14">
        <v>297.0</v>
      </c>
      <c r="BC258" s="14">
        <v>316.0</v>
      </c>
      <c r="BD258" s="14" t="s">
        <v>99</v>
      </c>
      <c r="BE258" s="14" t="s">
        <v>5343</v>
      </c>
      <c r="BF258" s="15" t="str">
        <f>HYPERLINK("http://dx.doi.org/10.1017/S1742170511000111","http://dx.doi.org/10.1017/S1742170511000111")</f>
        <v>http://dx.doi.org/10.1017/S1742170511000111</v>
      </c>
      <c r="BG258" s="14" t="s">
        <v>99</v>
      </c>
      <c r="BH258" s="14" t="s">
        <v>99</v>
      </c>
      <c r="BI258" s="14">
        <v>20.0</v>
      </c>
      <c r="BJ258" s="14" t="s">
        <v>5344</v>
      </c>
      <c r="BK258" s="14" t="s">
        <v>122</v>
      </c>
      <c r="BL258" s="14" t="s">
        <v>2969</v>
      </c>
      <c r="BM258" s="14" t="s">
        <v>5345</v>
      </c>
      <c r="BN258" s="14" t="s">
        <v>99</v>
      </c>
      <c r="BO258" s="14" t="s">
        <v>99</v>
      </c>
      <c r="BP258" s="14" t="s">
        <v>99</v>
      </c>
      <c r="BQ258" s="14" t="s">
        <v>99</v>
      </c>
      <c r="BR258" s="14" t="s">
        <v>124</v>
      </c>
      <c r="BS258" s="14" t="s">
        <v>5346</v>
      </c>
      <c r="BT258" s="14" t="str">
        <f>HYPERLINK("https%3A%2F%2Fwww.webofscience.com%2Fwos%2Fwoscc%2Ffull-record%2FWOS:000297510700005","View Full Record in Web of Science")</f>
        <v>View Full Record in Web of Science</v>
      </c>
    </row>
    <row r="259" ht="12.75" customHeight="1">
      <c r="A259" s="14" t="s">
        <v>97</v>
      </c>
      <c r="B259" s="14" t="s">
        <v>5347</v>
      </c>
      <c r="C259" s="14" t="s">
        <v>99</v>
      </c>
      <c r="D259" s="14" t="s">
        <v>99</v>
      </c>
      <c r="E259" s="14" t="s">
        <v>99</v>
      </c>
      <c r="F259" s="14" t="s">
        <v>5348</v>
      </c>
      <c r="G259" s="14" t="s">
        <v>99</v>
      </c>
      <c r="H259" s="14" t="s">
        <v>99</v>
      </c>
      <c r="I259" s="14" t="s">
        <v>5349</v>
      </c>
      <c r="J259" s="14" t="s">
        <v>3436</v>
      </c>
      <c r="K259" s="14" t="s">
        <v>99</v>
      </c>
      <c r="L259" s="14" t="s">
        <v>99</v>
      </c>
      <c r="M259" s="14" t="s">
        <v>103</v>
      </c>
      <c r="N259" s="14" t="s">
        <v>104</v>
      </c>
      <c r="O259" s="14" t="s">
        <v>99</v>
      </c>
      <c r="P259" s="14" t="s">
        <v>99</v>
      </c>
      <c r="Q259" s="14" t="s">
        <v>99</v>
      </c>
      <c r="R259" s="14" t="s">
        <v>99</v>
      </c>
      <c r="S259" s="14" t="s">
        <v>99</v>
      </c>
      <c r="T259" s="14" t="s">
        <v>5350</v>
      </c>
      <c r="U259" s="14" t="s">
        <v>5351</v>
      </c>
      <c r="V259" s="14" t="s">
        <v>5352</v>
      </c>
      <c r="W259" s="14" t="s">
        <v>5353</v>
      </c>
      <c r="X259" s="14" t="s">
        <v>5354</v>
      </c>
      <c r="Y259" s="14" t="s">
        <v>5355</v>
      </c>
      <c r="Z259" s="14" t="s">
        <v>5356</v>
      </c>
      <c r="AA259" s="14" t="s">
        <v>99</v>
      </c>
      <c r="AB259" s="14" t="s">
        <v>99</v>
      </c>
      <c r="AC259" s="14" t="s">
        <v>5357</v>
      </c>
      <c r="AD259" s="14" t="s">
        <v>5358</v>
      </c>
      <c r="AE259" s="14" t="s">
        <v>5359</v>
      </c>
      <c r="AF259" s="14" t="s">
        <v>99</v>
      </c>
      <c r="AG259" s="14">
        <v>60.0</v>
      </c>
      <c r="AH259" s="14">
        <v>53.0</v>
      </c>
      <c r="AI259" s="14">
        <v>58.0</v>
      </c>
      <c r="AJ259" s="14">
        <v>4.0</v>
      </c>
      <c r="AK259" s="14">
        <v>131.0</v>
      </c>
      <c r="AL259" s="14" t="s">
        <v>1731</v>
      </c>
      <c r="AM259" s="14" t="s">
        <v>1594</v>
      </c>
      <c r="AN259" s="14" t="s">
        <v>3448</v>
      </c>
      <c r="AO259" s="14" t="s">
        <v>3449</v>
      </c>
      <c r="AP259" s="14" t="s">
        <v>3450</v>
      </c>
      <c r="AQ259" s="14" t="s">
        <v>99</v>
      </c>
      <c r="AR259" s="14" t="s">
        <v>3451</v>
      </c>
      <c r="AS259" s="14" t="s">
        <v>3452</v>
      </c>
      <c r="AT259" s="14" t="s">
        <v>1058</v>
      </c>
      <c r="AU259" s="14">
        <v>2011.0</v>
      </c>
      <c r="AV259" s="14">
        <v>64.0</v>
      </c>
      <c r="AW259" s="14">
        <v>8.0</v>
      </c>
      <c r="AX259" s="14" t="s">
        <v>99</v>
      </c>
      <c r="AY259" s="14" t="s">
        <v>99</v>
      </c>
      <c r="AZ259" s="14" t="s">
        <v>99</v>
      </c>
      <c r="BA259" s="14" t="s">
        <v>99</v>
      </c>
      <c r="BB259" s="14">
        <v>2183.0</v>
      </c>
      <c r="BC259" s="14">
        <v>2193.0</v>
      </c>
      <c r="BD259" s="14" t="s">
        <v>99</v>
      </c>
      <c r="BE259" s="14" t="s">
        <v>5360</v>
      </c>
      <c r="BF259" s="15" t="str">
        <f>HYPERLINK("http://dx.doi.org/10.1007/s12665-011-1046-4","http://dx.doi.org/10.1007/s12665-011-1046-4")</f>
        <v>http://dx.doi.org/10.1007/s12665-011-1046-4</v>
      </c>
      <c r="BG259" s="14" t="s">
        <v>99</v>
      </c>
      <c r="BH259" s="14" t="s">
        <v>99</v>
      </c>
      <c r="BI259" s="14">
        <v>11.0</v>
      </c>
      <c r="BJ259" s="14" t="s">
        <v>3454</v>
      </c>
      <c r="BK259" s="14" t="s">
        <v>122</v>
      </c>
      <c r="BL259" s="14" t="s">
        <v>3455</v>
      </c>
      <c r="BM259" s="14" t="s">
        <v>5361</v>
      </c>
      <c r="BN259" s="14" t="s">
        <v>99</v>
      </c>
      <c r="BO259" s="14" t="s">
        <v>99</v>
      </c>
      <c r="BP259" s="14" t="s">
        <v>99</v>
      </c>
      <c r="BQ259" s="14" t="s">
        <v>99</v>
      </c>
      <c r="BR259" s="14" t="s">
        <v>124</v>
      </c>
      <c r="BS259" s="14" t="s">
        <v>5362</v>
      </c>
      <c r="BT259" s="14" t="str">
        <f>HYPERLINK("https%3A%2F%2Fwww.webofscience.com%2Fwos%2Fwoscc%2Ffull-record%2FWOS:000297165900017","View Full Record in Web of Science")</f>
        <v>View Full Record in Web of Science</v>
      </c>
    </row>
    <row r="260" ht="12.75" customHeight="1">
      <c r="A260" s="14" t="s">
        <v>97</v>
      </c>
      <c r="B260" s="14" t="s">
        <v>5363</v>
      </c>
      <c r="C260" s="14" t="s">
        <v>99</v>
      </c>
      <c r="D260" s="14" t="s">
        <v>99</v>
      </c>
      <c r="E260" s="14" t="s">
        <v>99</v>
      </c>
      <c r="F260" s="14" t="s">
        <v>5364</v>
      </c>
      <c r="G260" s="14" t="s">
        <v>99</v>
      </c>
      <c r="H260" s="14" t="s">
        <v>99</v>
      </c>
      <c r="I260" s="14" t="s">
        <v>5365</v>
      </c>
      <c r="J260" s="14" t="s">
        <v>2500</v>
      </c>
      <c r="K260" s="14" t="s">
        <v>99</v>
      </c>
      <c r="L260" s="14" t="s">
        <v>99</v>
      </c>
      <c r="M260" s="14" t="s">
        <v>103</v>
      </c>
      <c r="N260" s="14" t="s">
        <v>104</v>
      </c>
      <c r="O260" s="14" t="s">
        <v>99</v>
      </c>
      <c r="P260" s="14" t="s">
        <v>99</v>
      </c>
      <c r="Q260" s="14" t="s">
        <v>99</v>
      </c>
      <c r="R260" s="14" t="s">
        <v>99</v>
      </c>
      <c r="S260" s="14" t="s">
        <v>99</v>
      </c>
      <c r="T260" s="14" t="s">
        <v>99</v>
      </c>
      <c r="U260" s="14" t="s">
        <v>5366</v>
      </c>
      <c r="V260" s="14" t="s">
        <v>5367</v>
      </c>
      <c r="W260" s="14" t="s">
        <v>5368</v>
      </c>
      <c r="X260" s="14" t="s">
        <v>5369</v>
      </c>
      <c r="Y260" s="14" t="s">
        <v>5370</v>
      </c>
      <c r="Z260" s="14" t="s">
        <v>5371</v>
      </c>
      <c r="AA260" s="14" t="s">
        <v>5372</v>
      </c>
      <c r="AB260" s="14" t="s">
        <v>5373</v>
      </c>
      <c r="AC260" s="14" t="s">
        <v>5374</v>
      </c>
      <c r="AD260" s="14" t="s">
        <v>5375</v>
      </c>
      <c r="AE260" s="14" t="s">
        <v>5376</v>
      </c>
      <c r="AF260" s="14" t="s">
        <v>99</v>
      </c>
      <c r="AG260" s="14">
        <v>69.0</v>
      </c>
      <c r="AH260" s="14">
        <v>65.0</v>
      </c>
      <c r="AI260" s="14">
        <v>80.0</v>
      </c>
      <c r="AJ260" s="14">
        <v>2.0</v>
      </c>
      <c r="AK260" s="14">
        <v>181.0</v>
      </c>
      <c r="AL260" s="14" t="s">
        <v>2512</v>
      </c>
      <c r="AM260" s="14" t="s">
        <v>2513</v>
      </c>
      <c r="AN260" s="14" t="s">
        <v>2514</v>
      </c>
      <c r="AO260" s="14" t="s">
        <v>2515</v>
      </c>
      <c r="AP260" s="14" t="s">
        <v>99</v>
      </c>
      <c r="AQ260" s="14" t="s">
        <v>99</v>
      </c>
      <c r="AR260" s="14" t="s">
        <v>2500</v>
      </c>
      <c r="AS260" s="14" t="s">
        <v>2516</v>
      </c>
      <c r="AT260" s="14" t="s">
        <v>5377</v>
      </c>
      <c r="AU260" s="14">
        <v>2011.0</v>
      </c>
      <c r="AV260" s="14">
        <v>6.0</v>
      </c>
      <c r="AW260" s="14">
        <v>11.0</v>
      </c>
      <c r="AX260" s="14" t="s">
        <v>99</v>
      </c>
      <c r="AY260" s="14" t="s">
        <v>99</v>
      </c>
      <c r="AZ260" s="14" t="s">
        <v>99</v>
      </c>
      <c r="BA260" s="14" t="s">
        <v>99</v>
      </c>
      <c r="BB260" s="14" t="s">
        <v>99</v>
      </c>
      <c r="BC260" s="14" t="s">
        <v>99</v>
      </c>
      <c r="BD260" s="14" t="s">
        <v>5378</v>
      </c>
      <c r="BE260" s="14" t="s">
        <v>5379</v>
      </c>
      <c r="BF260" s="15" t="str">
        <f>HYPERLINK("http://dx.doi.org/10.1371/journal.pone.0027785","http://dx.doi.org/10.1371/journal.pone.0027785")</f>
        <v>http://dx.doi.org/10.1371/journal.pone.0027785</v>
      </c>
      <c r="BG260" s="14" t="s">
        <v>99</v>
      </c>
      <c r="BH260" s="14" t="s">
        <v>99</v>
      </c>
      <c r="BI260" s="14">
        <v>12.0</v>
      </c>
      <c r="BJ260" s="14" t="s">
        <v>799</v>
      </c>
      <c r="BK260" s="14" t="s">
        <v>122</v>
      </c>
      <c r="BL260" s="14" t="s">
        <v>801</v>
      </c>
      <c r="BM260" s="14" t="s">
        <v>5380</v>
      </c>
      <c r="BN260" s="14">
        <v>2.2114695E7</v>
      </c>
      <c r="BO260" s="14" t="s">
        <v>1251</v>
      </c>
      <c r="BP260" s="14" t="s">
        <v>99</v>
      </c>
      <c r="BQ260" s="14" t="s">
        <v>99</v>
      </c>
      <c r="BR260" s="14" t="s">
        <v>124</v>
      </c>
      <c r="BS260" s="14" t="s">
        <v>5381</v>
      </c>
      <c r="BT260" s="14" t="str">
        <f>HYPERLINK("https%3A%2F%2Fwww.webofscience.com%2Fwos%2Fwoscc%2Ffull-record%2FWOS:000297555400114","View Full Record in Web of Science")</f>
        <v>View Full Record in Web of Science</v>
      </c>
    </row>
    <row r="261" ht="12.75" customHeight="1">
      <c r="A261" s="14" t="s">
        <v>97</v>
      </c>
      <c r="B261" s="14" t="s">
        <v>5382</v>
      </c>
      <c r="C261" s="14" t="s">
        <v>99</v>
      </c>
      <c r="D261" s="14" t="s">
        <v>99</v>
      </c>
      <c r="E261" s="14" t="s">
        <v>99</v>
      </c>
      <c r="F261" s="14" t="s">
        <v>5383</v>
      </c>
      <c r="G261" s="14" t="s">
        <v>99</v>
      </c>
      <c r="H261" s="14" t="s">
        <v>99</v>
      </c>
      <c r="I261" s="14" t="s">
        <v>5384</v>
      </c>
      <c r="J261" s="14" t="s">
        <v>5307</v>
      </c>
      <c r="K261" s="14" t="s">
        <v>99</v>
      </c>
      <c r="L261" s="14" t="s">
        <v>99</v>
      </c>
      <c r="M261" s="14" t="s">
        <v>103</v>
      </c>
      <c r="N261" s="14" t="s">
        <v>104</v>
      </c>
      <c r="O261" s="14" t="s">
        <v>99</v>
      </c>
      <c r="P261" s="14" t="s">
        <v>99</v>
      </c>
      <c r="Q261" s="14" t="s">
        <v>99</v>
      </c>
      <c r="R261" s="14" t="s">
        <v>99</v>
      </c>
      <c r="S261" s="14" t="s">
        <v>99</v>
      </c>
      <c r="T261" s="14" t="s">
        <v>5385</v>
      </c>
      <c r="U261" s="14" t="s">
        <v>5386</v>
      </c>
      <c r="V261" s="14" t="s">
        <v>5387</v>
      </c>
      <c r="W261" s="14" t="s">
        <v>5388</v>
      </c>
      <c r="X261" s="14" t="s">
        <v>5389</v>
      </c>
      <c r="Y261" s="14" t="s">
        <v>5390</v>
      </c>
      <c r="Z261" s="14" t="s">
        <v>5391</v>
      </c>
      <c r="AA261" s="14" t="s">
        <v>5392</v>
      </c>
      <c r="AB261" s="14" t="s">
        <v>5393</v>
      </c>
      <c r="AC261" s="14" t="s">
        <v>5394</v>
      </c>
      <c r="AD261" s="14" t="s">
        <v>5395</v>
      </c>
      <c r="AE261" s="14" t="s">
        <v>5396</v>
      </c>
      <c r="AF261" s="14" t="s">
        <v>99</v>
      </c>
      <c r="AG261" s="14">
        <v>47.0</v>
      </c>
      <c r="AH261" s="14">
        <v>120.0</v>
      </c>
      <c r="AI261" s="14">
        <v>136.0</v>
      </c>
      <c r="AJ261" s="14">
        <v>2.0</v>
      </c>
      <c r="AK261" s="14">
        <v>151.0</v>
      </c>
      <c r="AL261" s="14" t="s">
        <v>341</v>
      </c>
      <c r="AM261" s="14" t="s">
        <v>342</v>
      </c>
      <c r="AN261" s="14" t="s">
        <v>343</v>
      </c>
      <c r="AO261" s="14" t="s">
        <v>5319</v>
      </c>
      <c r="AP261" s="14" t="s">
        <v>5320</v>
      </c>
      <c r="AQ261" s="14" t="s">
        <v>99</v>
      </c>
      <c r="AR261" s="14" t="s">
        <v>5321</v>
      </c>
      <c r="AS261" s="14" t="s">
        <v>5322</v>
      </c>
      <c r="AT261" s="14" t="s">
        <v>348</v>
      </c>
      <c r="AU261" s="14">
        <v>2011.0</v>
      </c>
      <c r="AV261" s="14">
        <v>14.0</v>
      </c>
      <c r="AW261" s="14">
        <v>11.0</v>
      </c>
      <c r="AX261" s="14" t="s">
        <v>99</v>
      </c>
      <c r="AY261" s="14" t="s">
        <v>99</v>
      </c>
      <c r="AZ261" s="14" t="s">
        <v>99</v>
      </c>
      <c r="BA261" s="14" t="s">
        <v>99</v>
      </c>
      <c r="BB261" s="14">
        <v>1125.0</v>
      </c>
      <c r="BC261" s="14">
        <v>1133.0</v>
      </c>
      <c r="BD261" s="14" t="s">
        <v>99</v>
      </c>
      <c r="BE261" s="14" t="s">
        <v>5397</v>
      </c>
      <c r="BF261" s="15" t="str">
        <f>HYPERLINK("http://dx.doi.org/10.1111/j.1461-0248.2011.01681.x","http://dx.doi.org/10.1111/j.1461-0248.2011.01681.x")</f>
        <v>http://dx.doi.org/10.1111/j.1461-0248.2011.01681.x</v>
      </c>
      <c r="BG261" s="14" t="s">
        <v>99</v>
      </c>
      <c r="BH261" s="14" t="s">
        <v>99</v>
      </c>
      <c r="BI261" s="14">
        <v>9.0</v>
      </c>
      <c r="BJ261" s="14" t="s">
        <v>259</v>
      </c>
      <c r="BK261" s="14" t="s">
        <v>122</v>
      </c>
      <c r="BL261" s="14" t="s">
        <v>260</v>
      </c>
      <c r="BM261" s="14" t="s">
        <v>5398</v>
      </c>
      <c r="BN261" s="14">
        <v>2.1955643E7</v>
      </c>
      <c r="BO261" s="14" t="s">
        <v>99</v>
      </c>
      <c r="BP261" s="14" t="s">
        <v>99</v>
      </c>
      <c r="BQ261" s="14" t="s">
        <v>99</v>
      </c>
      <c r="BR261" s="14" t="s">
        <v>124</v>
      </c>
      <c r="BS261" s="14" t="s">
        <v>5399</v>
      </c>
      <c r="BT261" s="14" t="str">
        <f>HYPERLINK("https%3A%2F%2Fwww.webofscience.com%2Fwos%2Fwoscc%2Ffull-record%2FWOS:000296263200007","View Full Record in Web of Science")</f>
        <v>View Full Record in Web of Science</v>
      </c>
    </row>
    <row r="262" ht="12.75" customHeight="1">
      <c r="A262" s="14" t="s">
        <v>97</v>
      </c>
      <c r="B262" s="14" t="s">
        <v>5400</v>
      </c>
      <c r="C262" s="14" t="s">
        <v>99</v>
      </c>
      <c r="D262" s="14" t="s">
        <v>99</v>
      </c>
      <c r="E262" s="14" t="s">
        <v>99</v>
      </c>
      <c r="F262" s="14" t="s">
        <v>5401</v>
      </c>
      <c r="G262" s="14" t="s">
        <v>99</v>
      </c>
      <c r="H262" s="14" t="s">
        <v>99</v>
      </c>
      <c r="I262" s="14" t="s">
        <v>5402</v>
      </c>
      <c r="J262" s="14" t="s">
        <v>1256</v>
      </c>
      <c r="K262" s="14" t="s">
        <v>99</v>
      </c>
      <c r="L262" s="14" t="s">
        <v>99</v>
      </c>
      <c r="M262" s="14" t="s">
        <v>103</v>
      </c>
      <c r="N262" s="14" t="s">
        <v>104</v>
      </c>
      <c r="O262" s="14" t="s">
        <v>99</v>
      </c>
      <c r="P262" s="14" t="s">
        <v>99</v>
      </c>
      <c r="Q262" s="14" t="s">
        <v>99</v>
      </c>
      <c r="R262" s="14" t="s">
        <v>99</v>
      </c>
      <c r="S262" s="14" t="s">
        <v>99</v>
      </c>
      <c r="T262" s="14" t="s">
        <v>5403</v>
      </c>
      <c r="U262" s="14" t="s">
        <v>5404</v>
      </c>
      <c r="V262" s="14" t="s">
        <v>5405</v>
      </c>
      <c r="W262" s="14" t="s">
        <v>5406</v>
      </c>
      <c r="X262" s="14" t="s">
        <v>5294</v>
      </c>
      <c r="Y262" s="14" t="s">
        <v>4343</v>
      </c>
      <c r="Z262" s="14" t="s">
        <v>4344</v>
      </c>
      <c r="AA262" s="14" t="s">
        <v>5407</v>
      </c>
      <c r="AB262" s="14" t="s">
        <v>5408</v>
      </c>
      <c r="AC262" s="14" t="s">
        <v>5409</v>
      </c>
      <c r="AD262" s="14" t="s">
        <v>5409</v>
      </c>
      <c r="AE262" s="14" t="s">
        <v>5410</v>
      </c>
      <c r="AF262" s="14" t="s">
        <v>99</v>
      </c>
      <c r="AG262" s="14">
        <v>43.0</v>
      </c>
      <c r="AH262" s="14">
        <v>165.0</v>
      </c>
      <c r="AI262" s="14">
        <v>187.0</v>
      </c>
      <c r="AJ262" s="14">
        <v>1.0</v>
      </c>
      <c r="AK262" s="14">
        <v>150.0</v>
      </c>
      <c r="AL262" s="14" t="s">
        <v>341</v>
      </c>
      <c r="AM262" s="14" t="s">
        <v>342</v>
      </c>
      <c r="AN262" s="14" t="s">
        <v>343</v>
      </c>
      <c r="AO262" s="14" t="s">
        <v>1269</v>
      </c>
      <c r="AP262" s="14" t="s">
        <v>1270</v>
      </c>
      <c r="AQ262" s="14" t="s">
        <v>99</v>
      </c>
      <c r="AR262" s="14" t="s">
        <v>1271</v>
      </c>
      <c r="AS262" s="14" t="s">
        <v>1272</v>
      </c>
      <c r="AT262" s="14" t="s">
        <v>2372</v>
      </c>
      <c r="AU262" s="14">
        <v>2011.0</v>
      </c>
      <c r="AV262" s="14">
        <v>56.0</v>
      </c>
      <c r="AW262" s="14">
        <v>10.0</v>
      </c>
      <c r="AX262" s="14" t="s">
        <v>99</v>
      </c>
      <c r="AY262" s="14" t="s">
        <v>99</v>
      </c>
      <c r="AZ262" s="14" t="s">
        <v>99</v>
      </c>
      <c r="BA262" s="14" t="s">
        <v>99</v>
      </c>
      <c r="BB262" s="14">
        <v>2009.0</v>
      </c>
      <c r="BC262" s="14">
        <v>2020.0</v>
      </c>
      <c r="BD262" s="14" t="s">
        <v>99</v>
      </c>
      <c r="BE262" s="14" t="s">
        <v>5411</v>
      </c>
      <c r="BF262" s="15" t="str">
        <f>HYPERLINK("http://dx.doi.org/10.1111/j.1365-2427.2011.02631.x","http://dx.doi.org/10.1111/j.1365-2427.2011.02631.x")</f>
        <v>http://dx.doi.org/10.1111/j.1365-2427.2011.02631.x</v>
      </c>
      <c r="BG262" s="14" t="s">
        <v>99</v>
      </c>
      <c r="BH262" s="14" t="s">
        <v>99</v>
      </c>
      <c r="BI262" s="14">
        <v>12.0</v>
      </c>
      <c r="BJ262" s="14" t="s">
        <v>1274</v>
      </c>
      <c r="BK262" s="14" t="s">
        <v>122</v>
      </c>
      <c r="BL262" s="14" t="s">
        <v>397</v>
      </c>
      <c r="BM262" s="14" t="s">
        <v>5412</v>
      </c>
      <c r="BN262" s="14" t="s">
        <v>99</v>
      </c>
      <c r="BO262" s="14" t="s">
        <v>99</v>
      </c>
      <c r="BP262" s="14" t="s">
        <v>99</v>
      </c>
      <c r="BQ262" s="14" t="s">
        <v>99</v>
      </c>
      <c r="BR262" s="14" t="s">
        <v>124</v>
      </c>
      <c r="BS262" s="14" t="s">
        <v>5413</v>
      </c>
      <c r="BT262" s="14" t="str">
        <f>HYPERLINK("https%3A%2F%2Fwww.webofscience.com%2Fwos%2Fwoscc%2Ffull-record%2FWOS:000295013800006","View Full Record in Web of Science")</f>
        <v>View Full Record in Web of Science</v>
      </c>
    </row>
    <row r="263" ht="12.75" customHeight="1">
      <c r="A263" s="14" t="s">
        <v>97</v>
      </c>
      <c r="B263" s="14" t="s">
        <v>5414</v>
      </c>
      <c r="C263" s="14" t="s">
        <v>99</v>
      </c>
      <c r="D263" s="14" t="s">
        <v>99</v>
      </c>
      <c r="E263" s="14" t="s">
        <v>99</v>
      </c>
      <c r="F263" s="14" t="s">
        <v>5415</v>
      </c>
      <c r="G263" s="14" t="s">
        <v>99</v>
      </c>
      <c r="H263" s="14" t="s">
        <v>99</v>
      </c>
      <c r="I263" s="14" t="s">
        <v>5416</v>
      </c>
      <c r="J263" s="14" t="s">
        <v>556</v>
      </c>
      <c r="K263" s="14" t="s">
        <v>99</v>
      </c>
      <c r="L263" s="14" t="s">
        <v>99</v>
      </c>
      <c r="M263" s="14" t="s">
        <v>103</v>
      </c>
      <c r="N263" s="14" t="s">
        <v>104</v>
      </c>
      <c r="O263" s="14" t="s">
        <v>99</v>
      </c>
      <c r="P263" s="14" t="s">
        <v>99</v>
      </c>
      <c r="Q263" s="14" t="s">
        <v>99</v>
      </c>
      <c r="R263" s="14" t="s">
        <v>99</v>
      </c>
      <c r="S263" s="14" t="s">
        <v>99</v>
      </c>
      <c r="T263" s="14" t="s">
        <v>5417</v>
      </c>
      <c r="U263" s="14" t="s">
        <v>5418</v>
      </c>
      <c r="V263" s="14" t="s">
        <v>5419</v>
      </c>
      <c r="W263" s="14" t="s">
        <v>5420</v>
      </c>
      <c r="X263" s="14" t="s">
        <v>5421</v>
      </c>
      <c r="Y263" s="14" t="s">
        <v>5422</v>
      </c>
      <c r="Z263" s="14" t="s">
        <v>5423</v>
      </c>
      <c r="AA263" s="14" t="s">
        <v>5424</v>
      </c>
      <c r="AB263" s="14" t="s">
        <v>5425</v>
      </c>
      <c r="AC263" s="14" t="s">
        <v>5426</v>
      </c>
      <c r="AD263" s="14" t="s">
        <v>5427</v>
      </c>
      <c r="AE263" s="14" t="s">
        <v>5428</v>
      </c>
      <c r="AF263" s="14" t="s">
        <v>99</v>
      </c>
      <c r="AG263" s="14">
        <v>50.0</v>
      </c>
      <c r="AH263" s="14">
        <v>118.0</v>
      </c>
      <c r="AI263" s="14">
        <v>133.0</v>
      </c>
      <c r="AJ263" s="14">
        <v>0.0</v>
      </c>
      <c r="AK263" s="14">
        <v>97.0</v>
      </c>
      <c r="AL263" s="14" t="s">
        <v>566</v>
      </c>
      <c r="AM263" s="14" t="s">
        <v>567</v>
      </c>
      <c r="AN263" s="14" t="s">
        <v>568</v>
      </c>
      <c r="AO263" s="14" t="s">
        <v>569</v>
      </c>
      <c r="AP263" s="14" t="s">
        <v>99</v>
      </c>
      <c r="AQ263" s="14" t="s">
        <v>99</v>
      </c>
      <c r="AR263" s="14" t="s">
        <v>570</v>
      </c>
      <c r="AS263" s="14" t="s">
        <v>571</v>
      </c>
      <c r="AT263" s="14" t="s">
        <v>145</v>
      </c>
      <c r="AU263" s="14">
        <v>2011.0</v>
      </c>
      <c r="AV263" s="14">
        <v>6.0</v>
      </c>
      <c r="AW263" s="14">
        <v>4.0</v>
      </c>
      <c r="AX263" s="14" t="s">
        <v>99</v>
      </c>
      <c r="AY263" s="14" t="s">
        <v>99</v>
      </c>
      <c r="AZ263" s="14" t="s">
        <v>99</v>
      </c>
      <c r="BA263" s="14" t="s">
        <v>99</v>
      </c>
      <c r="BB263" s="14" t="s">
        <v>99</v>
      </c>
      <c r="BC263" s="14" t="s">
        <v>99</v>
      </c>
      <c r="BD263" s="14">
        <v>45201.0</v>
      </c>
      <c r="BE263" s="14" t="s">
        <v>5429</v>
      </c>
      <c r="BF263" s="15" t="str">
        <f>HYPERLINK("http://dx.doi.org/10.1088/1748-9326/6/4/045201","http://dx.doi.org/10.1088/1748-9326/6/4/045201")</f>
        <v>http://dx.doi.org/10.1088/1748-9326/6/4/045201</v>
      </c>
      <c r="BG263" s="14" t="s">
        <v>99</v>
      </c>
      <c r="BH263" s="14" t="s">
        <v>99</v>
      </c>
      <c r="BI263" s="14">
        <v>8.0</v>
      </c>
      <c r="BJ263" s="14" t="s">
        <v>573</v>
      </c>
      <c r="BK263" s="14" t="s">
        <v>800</v>
      </c>
      <c r="BL263" s="14" t="s">
        <v>574</v>
      </c>
      <c r="BM263" s="14" t="s">
        <v>5430</v>
      </c>
      <c r="BN263" s="14" t="s">
        <v>99</v>
      </c>
      <c r="BO263" s="14" t="s">
        <v>1251</v>
      </c>
      <c r="BP263" s="14" t="s">
        <v>99</v>
      </c>
      <c r="BQ263" s="14" t="s">
        <v>99</v>
      </c>
      <c r="BR263" s="14" t="s">
        <v>124</v>
      </c>
      <c r="BS263" s="14" t="s">
        <v>5431</v>
      </c>
      <c r="BT263" s="14" t="str">
        <f>HYPERLINK("https%3A%2F%2Fwww.webofscience.com%2Fwos%2Fwoscc%2Ffull-record%2FWOS:000298674700039","View Full Record in Web of Science")</f>
        <v>View Full Record in Web of Science</v>
      </c>
    </row>
    <row r="264" ht="12.75" customHeight="1">
      <c r="A264" s="14" t="s">
        <v>97</v>
      </c>
      <c r="B264" s="14" t="s">
        <v>5432</v>
      </c>
      <c r="C264" s="14" t="s">
        <v>99</v>
      </c>
      <c r="D264" s="14" t="s">
        <v>99</v>
      </c>
      <c r="E264" s="14" t="s">
        <v>99</v>
      </c>
      <c r="F264" s="14" t="s">
        <v>5433</v>
      </c>
      <c r="G264" s="14" t="s">
        <v>99</v>
      </c>
      <c r="H264" s="14" t="s">
        <v>99</v>
      </c>
      <c r="I264" s="14" t="s">
        <v>5434</v>
      </c>
      <c r="J264" s="14" t="s">
        <v>5435</v>
      </c>
      <c r="K264" s="14" t="s">
        <v>99</v>
      </c>
      <c r="L264" s="14" t="s">
        <v>99</v>
      </c>
      <c r="M264" s="14" t="s">
        <v>103</v>
      </c>
      <c r="N264" s="14" t="s">
        <v>104</v>
      </c>
      <c r="O264" s="14" t="s">
        <v>99</v>
      </c>
      <c r="P264" s="14" t="s">
        <v>99</v>
      </c>
      <c r="Q264" s="14" t="s">
        <v>99</v>
      </c>
      <c r="R264" s="14" t="s">
        <v>99</v>
      </c>
      <c r="S264" s="14" t="s">
        <v>99</v>
      </c>
      <c r="T264" s="14" t="s">
        <v>5436</v>
      </c>
      <c r="U264" s="14" t="s">
        <v>5437</v>
      </c>
      <c r="V264" s="14" t="s">
        <v>5438</v>
      </c>
      <c r="W264" s="14" t="s">
        <v>5439</v>
      </c>
      <c r="X264" s="14" t="s">
        <v>5440</v>
      </c>
      <c r="Y264" s="14" t="s">
        <v>5441</v>
      </c>
      <c r="Z264" s="14" t="s">
        <v>5442</v>
      </c>
      <c r="AA264" s="14" t="s">
        <v>5443</v>
      </c>
      <c r="AB264" s="14" t="s">
        <v>5444</v>
      </c>
      <c r="AC264" s="14" t="s">
        <v>5445</v>
      </c>
      <c r="AD264" s="14" t="s">
        <v>5446</v>
      </c>
      <c r="AE264" s="14" t="s">
        <v>5447</v>
      </c>
      <c r="AF264" s="14" t="s">
        <v>99</v>
      </c>
      <c r="AG264" s="14">
        <v>54.0</v>
      </c>
      <c r="AH264" s="14">
        <v>476.0</v>
      </c>
      <c r="AI264" s="14">
        <v>542.0</v>
      </c>
      <c r="AJ264" s="14">
        <v>2.0</v>
      </c>
      <c r="AK264" s="14">
        <v>291.0</v>
      </c>
      <c r="AL264" s="14" t="s">
        <v>493</v>
      </c>
      <c r="AM264" s="14" t="s">
        <v>494</v>
      </c>
      <c r="AN264" s="14" t="s">
        <v>495</v>
      </c>
      <c r="AO264" s="14" t="s">
        <v>5448</v>
      </c>
      <c r="AP264" s="14" t="s">
        <v>5449</v>
      </c>
      <c r="AQ264" s="14" t="s">
        <v>99</v>
      </c>
      <c r="AR264" s="14" t="s">
        <v>5450</v>
      </c>
      <c r="AS264" s="14" t="s">
        <v>5451</v>
      </c>
      <c r="AT264" s="14" t="s">
        <v>2372</v>
      </c>
      <c r="AU264" s="14">
        <v>2011.0</v>
      </c>
      <c r="AV264" s="14">
        <v>159.0</v>
      </c>
      <c r="AW264" s="14">
        <v>10.0</v>
      </c>
      <c r="AX264" s="14" t="s">
        <v>99</v>
      </c>
      <c r="AY264" s="14" t="s">
        <v>99</v>
      </c>
      <c r="AZ264" s="14" t="s">
        <v>99</v>
      </c>
      <c r="BA264" s="14" t="s">
        <v>99</v>
      </c>
      <c r="BB264" s="14">
        <v>2609.0</v>
      </c>
      <c r="BC264" s="14">
        <v>2615.0</v>
      </c>
      <c r="BD264" s="14" t="s">
        <v>99</v>
      </c>
      <c r="BE264" s="14" t="s">
        <v>5452</v>
      </c>
      <c r="BF264" s="15" t="str">
        <f>HYPERLINK("http://dx.doi.org/10.1016/j.envpol.2011.06.008","http://dx.doi.org/10.1016/j.envpol.2011.06.008")</f>
        <v>http://dx.doi.org/10.1016/j.envpol.2011.06.008</v>
      </c>
      <c r="BG264" s="14" t="s">
        <v>99</v>
      </c>
      <c r="BH264" s="14" t="s">
        <v>99</v>
      </c>
      <c r="BI264" s="14">
        <v>7.0</v>
      </c>
      <c r="BJ264" s="14" t="s">
        <v>1041</v>
      </c>
      <c r="BK264" s="14" t="s">
        <v>122</v>
      </c>
      <c r="BL264" s="14" t="s">
        <v>260</v>
      </c>
      <c r="BM264" s="14" t="s">
        <v>5453</v>
      </c>
      <c r="BN264" s="14">
        <v>2.1737191E7</v>
      </c>
      <c r="BO264" s="14" t="s">
        <v>99</v>
      </c>
      <c r="BP264" s="14" t="s">
        <v>99</v>
      </c>
      <c r="BQ264" s="14" t="s">
        <v>99</v>
      </c>
      <c r="BR264" s="14" t="s">
        <v>124</v>
      </c>
      <c r="BS264" s="14" t="s">
        <v>5454</v>
      </c>
      <c r="BT264" s="14" t="str">
        <f>HYPERLINK("https%3A%2F%2Fwww.webofscience.com%2Fwos%2Fwoscc%2Ffull-record%2FWOS:000295493100051","View Full Record in Web of Science")</f>
        <v>View Full Record in Web of Science</v>
      </c>
    </row>
    <row r="265" ht="12.75" customHeight="1">
      <c r="A265" s="14" t="s">
        <v>97</v>
      </c>
      <c r="B265" s="14" t="s">
        <v>5455</v>
      </c>
      <c r="C265" s="14" t="s">
        <v>99</v>
      </c>
      <c r="D265" s="14" t="s">
        <v>99</v>
      </c>
      <c r="E265" s="14" t="s">
        <v>99</v>
      </c>
      <c r="F265" s="14" t="s">
        <v>5456</v>
      </c>
      <c r="G265" s="14" t="s">
        <v>99</v>
      </c>
      <c r="H265" s="14" t="s">
        <v>99</v>
      </c>
      <c r="I265" s="14" t="s">
        <v>5457</v>
      </c>
      <c r="J265" s="14" t="s">
        <v>3729</v>
      </c>
      <c r="K265" s="14" t="s">
        <v>99</v>
      </c>
      <c r="L265" s="14" t="s">
        <v>99</v>
      </c>
      <c r="M265" s="14" t="s">
        <v>103</v>
      </c>
      <c r="N265" s="14" t="s">
        <v>104</v>
      </c>
      <c r="O265" s="14" t="s">
        <v>99</v>
      </c>
      <c r="P265" s="14" t="s">
        <v>99</v>
      </c>
      <c r="Q265" s="14" t="s">
        <v>99</v>
      </c>
      <c r="R265" s="14" t="s">
        <v>99</v>
      </c>
      <c r="S265" s="14" t="s">
        <v>99</v>
      </c>
      <c r="T265" s="14" t="s">
        <v>5458</v>
      </c>
      <c r="U265" s="14" t="s">
        <v>5459</v>
      </c>
      <c r="V265" s="14" t="s">
        <v>5460</v>
      </c>
      <c r="W265" s="14" t="s">
        <v>5461</v>
      </c>
      <c r="X265" s="14" t="s">
        <v>5462</v>
      </c>
      <c r="Y265" s="14" t="s">
        <v>5463</v>
      </c>
      <c r="Z265" s="14" t="s">
        <v>5464</v>
      </c>
      <c r="AA265" s="14" t="s">
        <v>5465</v>
      </c>
      <c r="AB265" s="14" t="s">
        <v>5466</v>
      </c>
      <c r="AC265" s="14" t="s">
        <v>5467</v>
      </c>
      <c r="AD265" s="14" t="s">
        <v>5468</v>
      </c>
      <c r="AE265" s="14" t="s">
        <v>5469</v>
      </c>
      <c r="AF265" s="14" t="s">
        <v>99</v>
      </c>
      <c r="AG265" s="14">
        <v>89.0</v>
      </c>
      <c r="AH265" s="14">
        <v>149.0</v>
      </c>
      <c r="AI265" s="14">
        <v>173.0</v>
      </c>
      <c r="AJ265" s="14">
        <v>2.0</v>
      </c>
      <c r="AK265" s="14">
        <v>124.0</v>
      </c>
      <c r="AL265" s="14" t="s">
        <v>1544</v>
      </c>
      <c r="AM265" s="14" t="s">
        <v>274</v>
      </c>
      <c r="AN265" s="14" t="s">
        <v>1545</v>
      </c>
      <c r="AO265" s="14" t="s">
        <v>3739</v>
      </c>
      <c r="AP265" s="14" t="s">
        <v>3740</v>
      </c>
      <c r="AQ265" s="14" t="s">
        <v>99</v>
      </c>
      <c r="AR265" s="14" t="s">
        <v>3741</v>
      </c>
      <c r="AS265" s="14" t="s">
        <v>3742</v>
      </c>
      <c r="AT265" s="14" t="s">
        <v>5470</v>
      </c>
      <c r="AU265" s="14">
        <v>2011.0</v>
      </c>
      <c r="AV265" s="14">
        <v>366.0</v>
      </c>
      <c r="AW265" s="14">
        <v>1578.0</v>
      </c>
      <c r="AX265" s="14" t="s">
        <v>99</v>
      </c>
      <c r="AY265" s="14" t="s">
        <v>99</v>
      </c>
      <c r="AZ265" s="14" t="s">
        <v>1738</v>
      </c>
      <c r="BA265" s="14" t="s">
        <v>99</v>
      </c>
      <c r="BB265" s="14">
        <v>2598.0</v>
      </c>
      <c r="BC265" s="14">
        <v>2610.0</v>
      </c>
      <c r="BD265" s="14" t="s">
        <v>99</v>
      </c>
      <c r="BE265" s="14" t="s">
        <v>5471</v>
      </c>
      <c r="BF265" s="15" t="str">
        <f>HYPERLINK("http://dx.doi.org/10.1098/rstb.2011.0116","http://dx.doi.org/10.1098/rstb.2011.0116")</f>
        <v>http://dx.doi.org/10.1098/rstb.2011.0116</v>
      </c>
      <c r="BG265" s="14" t="s">
        <v>99</v>
      </c>
      <c r="BH265" s="14" t="s">
        <v>99</v>
      </c>
      <c r="BI265" s="14">
        <v>13.0</v>
      </c>
      <c r="BJ265" s="14" t="s">
        <v>1803</v>
      </c>
      <c r="BK265" s="14" t="s">
        <v>122</v>
      </c>
      <c r="BL265" s="14" t="s">
        <v>1804</v>
      </c>
      <c r="BM265" s="14" t="s">
        <v>5472</v>
      </c>
      <c r="BN265" s="14">
        <v>2.1844039E7</v>
      </c>
      <c r="BO265" s="14" t="s">
        <v>99</v>
      </c>
      <c r="BP265" s="14" t="s">
        <v>99</v>
      </c>
      <c r="BQ265" s="14" t="s">
        <v>99</v>
      </c>
      <c r="BR265" s="14" t="s">
        <v>124</v>
      </c>
      <c r="BS265" s="14" t="s">
        <v>5473</v>
      </c>
      <c r="BT265" s="14" t="str">
        <f>HYPERLINK("https%3A%2F%2Fwww.webofscience.com%2Fwos%2Fwoscc%2Ffull-record%2FWOS:000293858100002","View Full Record in Web of Science")</f>
        <v>View Full Record in Web of Science</v>
      </c>
    </row>
    <row r="266" ht="12.75" customHeight="1">
      <c r="A266" s="14" t="s">
        <v>97</v>
      </c>
      <c r="B266" s="14" t="s">
        <v>5474</v>
      </c>
      <c r="C266" s="14" t="s">
        <v>99</v>
      </c>
      <c r="D266" s="14" t="s">
        <v>99</v>
      </c>
      <c r="E266" s="14" t="s">
        <v>99</v>
      </c>
      <c r="F266" s="14" t="s">
        <v>5475</v>
      </c>
      <c r="G266" s="14" t="s">
        <v>99</v>
      </c>
      <c r="H266" s="14" t="s">
        <v>99</v>
      </c>
      <c r="I266" s="14" t="s">
        <v>5476</v>
      </c>
      <c r="J266" s="14" t="s">
        <v>2793</v>
      </c>
      <c r="K266" s="14" t="s">
        <v>99</v>
      </c>
      <c r="L266" s="14" t="s">
        <v>99</v>
      </c>
      <c r="M266" s="14" t="s">
        <v>103</v>
      </c>
      <c r="N266" s="14" t="s">
        <v>104</v>
      </c>
      <c r="O266" s="14" t="s">
        <v>99</v>
      </c>
      <c r="P266" s="14" t="s">
        <v>99</v>
      </c>
      <c r="Q266" s="14" t="s">
        <v>99</v>
      </c>
      <c r="R266" s="14" t="s">
        <v>99</v>
      </c>
      <c r="S266" s="14" t="s">
        <v>99</v>
      </c>
      <c r="T266" s="14" t="s">
        <v>99</v>
      </c>
      <c r="U266" s="14" t="s">
        <v>5477</v>
      </c>
      <c r="V266" s="14" t="s">
        <v>5478</v>
      </c>
      <c r="W266" s="14" t="s">
        <v>5479</v>
      </c>
      <c r="X266" s="14" t="s">
        <v>5480</v>
      </c>
      <c r="Y266" s="14" t="s">
        <v>5481</v>
      </c>
      <c r="Z266" s="14" t="s">
        <v>5482</v>
      </c>
      <c r="AA266" s="14" t="s">
        <v>5483</v>
      </c>
      <c r="AB266" s="14" t="s">
        <v>5484</v>
      </c>
      <c r="AC266" s="14" t="s">
        <v>5485</v>
      </c>
      <c r="AD266" s="14" t="s">
        <v>5485</v>
      </c>
      <c r="AE266" s="14" t="s">
        <v>5486</v>
      </c>
      <c r="AF266" s="14" t="s">
        <v>99</v>
      </c>
      <c r="AG266" s="14">
        <v>30.0</v>
      </c>
      <c r="AH266" s="14">
        <v>312.0</v>
      </c>
      <c r="AI266" s="14">
        <v>334.0</v>
      </c>
      <c r="AJ266" s="14">
        <v>4.0</v>
      </c>
      <c r="AK266" s="14">
        <v>253.0</v>
      </c>
      <c r="AL266" s="14" t="s">
        <v>1326</v>
      </c>
      <c r="AM266" s="14" t="s">
        <v>274</v>
      </c>
      <c r="AN266" s="14" t="s">
        <v>1327</v>
      </c>
      <c r="AO266" s="14" t="s">
        <v>2805</v>
      </c>
      <c r="AP266" s="14" t="s">
        <v>2806</v>
      </c>
      <c r="AQ266" s="14" t="s">
        <v>99</v>
      </c>
      <c r="AR266" s="14" t="s">
        <v>2807</v>
      </c>
      <c r="AS266" s="14" t="s">
        <v>2808</v>
      </c>
      <c r="AT266" s="14" t="s">
        <v>421</v>
      </c>
      <c r="AU266" s="14">
        <v>2011.0</v>
      </c>
      <c r="AV266" s="14">
        <v>1.0</v>
      </c>
      <c r="AW266" s="14">
        <v>6.0</v>
      </c>
      <c r="AX266" s="14" t="s">
        <v>99</v>
      </c>
      <c r="AY266" s="14" t="s">
        <v>99</v>
      </c>
      <c r="AZ266" s="14" t="s">
        <v>99</v>
      </c>
      <c r="BA266" s="14" t="s">
        <v>99</v>
      </c>
      <c r="BB266" s="14">
        <v>313.0</v>
      </c>
      <c r="BC266" s="14">
        <v>318.0</v>
      </c>
      <c r="BD266" s="14" t="s">
        <v>99</v>
      </c>
      <c r="BE266" s="14" t="s">
        <v>5487</v>
      </c>
      <c r="BF266" s="15" t="str">
        <f>HYPERLINK("http://dx.doi.org/10.1038/NCLIMATE1191","http://dx.doi.org/10.1038/NCLIMATE1191")</f>
        <v>http://dx.doi.org/10.1038/NCLIMATE1191</v>
      </c>
      <c r="BG266" s="14" t="s">
        <v>99</v>
      </c>
      <c r="BH266" s="14" t="s">
        <v>99</v>
      </c>
      <c r="BI266" s="14">
        <v>6.0</v>
      </c>
      <c r="BJ266" s="14" t="s">
        <v>2810</v>
      </c>
      <c r="BK266" s="14" t="s">
        <v>800</v>
      </c>
      <c r="BL266" s="14" t="s">
        <v>574</v>
      </c>
      <c r="BM266" s="14" t="s">
        <v>5488</v>
      </c>
      <c r="BN266" s="14" t="s">
        <v>99</v>
      </c>
      <c r="BO266" s="14" t="s">
        <v>99</v>
      </c>
      <c r="BP266" s="14" t="s">
        <v>99</v>
      </c>
      <c r="BQ266" s="14" t="s">
        <v>99</v>
      </c>
      <c r="BR266" s="14" t="s">
        <v>124</v>
      </c>
      <c r="BS266" s="14" t="s">
        <v>5489</v>
      </c>
      <c r="BT266" s="14" t="str">
        <f>HYPERLINK("https%3A%2F%2Fwww.webofscience.com%2Fwos%2Fwoscc%2Ffull-record%2FWOS:000295799900018","View Full Record in Web of Science")</f>
        <v>View Full Record in Web of Science</v>
      </c>
    </row>
    <row r="267" ht="12.75" customHeight="1">
      <c r="A267" s="14" t="s">
        <v>97</v>
      </c>
      <c r="B267" s="14" t="s">
        <v>5490</v>
      </c>
      <c r="C267" s="14" t="s">
        <v>99</v>
      </c>
      <c r="D267" s="14" t="s">
        <v>99</v>
      </c>
      <c r="E267" s="14" t="s">
        <v>99</v>
      </c>
      <c r="F267" s="14" t="s">
        <v>5491</v>
      </c>
      <c r="G267" s="14" t="s">
        <v>99</v>
      </c>
      <c r="H267" s="14" t="s">
        <v>99</v>
      </c>
      <c r="I267" s="14" t="s">
        <v>5492</v>
      </c>
      <c r="J267" s="14" t="s">
        <v>851</v>
      </c>
      <c r="K267" s="14" t="s">
        <v>99</v>
      </c>
      <c r="L267" s="14" t="s">
        <v>99</v>
      </c>
      <c r="M267" s="14" t="s">
        <v>103</v>
      </c>
      <c r="N267" s="14" t="s">
        <v>104</v>
      </c>
      <c r="O267" s="14" t="s">
        <v>99</v>
      </c>
      <c r="P267" s="14" t="s">
        <v>99</v>
      </c>
      <c r="Q267" s="14" t="s">
        <v>99</v>
      </c>
      <c r="R267" s="14" t="s">
        <v>99</v>
      </c>
      <c r="S267" s="14" t="s">
        <v>99</v>
      </c>
      <c r="T267" s="14" t="s">
        <v>5493</v>
      </c>
      <c r="U267" s="14" t="s">
        <v>5494</v>
      </c>
      <c r="V267" s="14" t="s">
        <v>5495</v>
      </c>
      <c r="W267" s="14" t="s">
        <v>5496</v>
      </c>
      <c r="X267" s="14" t="s">
        <v>5497</v>
      </c>
      <c r="Y267" s="14" t="s">
        <v>5498</v>
      </c>
      <c r="Z267" s="14" t="s">
        <v>5499</v>
      </c>
      <c r="AA267" s="14" t="s">
        <v>5500</v>
      </c>
      <c r="AB267" s="14" t="s">
        <v>5501</v>
      </c>
      <c r="AC267" s="14" t="s">
        <v>5502</v>
      </c>
      <c r="AD267" s="14" t="s">
        <v>5503</v>
      </c>
      <c r="AE267" s="14" t="s">
        <v>5504</v>
      </c>
      <c r="AF267" s="14" t="s">
        <v>99</v>
      </c>
      <c r="AG267" s="14">
        <v>64.0</v>
      </c>
      <c r="AH267" s="14">
        <v>270.0</v>
      </c>
      <c r="AI267" s="14">
        <v>296.0</v>
      </c>
      <c r="AJ267" s="14">
        <v>1.0</v>
      </c>
      <c r="AK267" s="14">
        <v>124.0</v>
      </c>
      <c r="AL267" s="14" t="s">
        <v>341</v>
      </c>
      <c r="AM267" s="14" t="s">
        <v>342</v>
      </c>
      <c r="AN267" s="14" t="s">
        <v>343</v>
      </c>
      <c r="AO267" s="14" t="s">
        <v>864</v>
      </c>
      <c r="AP267" s="14" t="s">
        <v>865</v>
      </c>
      <c r="AQ267" s="14" t="s">
        <v>99</v>
      </c>
      <c r="AR267" s="14" t="s">
        <v>866</v>
      </c>
      <c r="AS267" s="14" t="s">
        <v>867</v>
      </c>
      <c r="AT267" s="14" t="s">
        <v>421</v>
      </c>
      <c r="AU267" s="14">
        <v>2011.0</v>
      </c>
      <c r="AV267" s="14">
        <v>20.0</v>
      </c>
      <c r="AW267" s="14">
        <v>5.0</v>
      </c>
      <c r="AX267" s="14" t="s">
        <v>99</v>
      </c>
      <c r="AY267" s="14" t="s">
        <v>99</v>
      </c>
      <c r="AZ267" s="14" t="s">
        <v>99</v>
      </c>
      <c r="BA267" s="14" t="s">
        <v>99</v>
      </c>
      <c r="BB267" s="14">
        <v>766.0</v>
      </c>
      <c r="BC267" s="14">
        <v>778.0</v>
      </c>
      <c r="BD267" s="14" t="s">
        <v>99</v>
      </c>
      <c r="BE267" s="14" t="s">
        <v>5505</v>
      </c>
      <c r="BF267" s="15" t="str">
        <f>HYPERLINK("http://dx.doi.org/10.1111/j.1466-8238.2010.00646.x","http://dx.doi.org/10.1111/j.1466-8238.2010.00646.x")</f>
        <v>http://dx.doi.org/10.1111/j.1466-8238.2010.00646.x</v>
      </c>
      <c r="BG267" s="14" t="s">
        <v>99</v>
      </c>
      <c r="BH267" s="14" t="s">
        <v>99</v>
      </c>
      <c r="BI267" s="14">
        <v>13.0</v>
      </c>
      <c r="BJ267" s="14" t="s">
        <v>869</v>
      </c>
      <c r="BK267" s="14" t="s">
        <v>122</v>
      </c>
      <c r="BL267" s="14" t="s">
        <v>870</v>
      </c>
      <c r="BM267" s="14" t="s">
        <v>5506</v>
      </c>
      <c r="BN267" s="14" t="s">
        <v>99</v>
      </c>
      <c r="BO267" s="14" t="s">
        <v>238</v>
      </c>
      <c r="BP267" s="14" t="s">
        <v>99</v>
      </c>
      <c r="BQ267" s="14" t="s">
        <v>99</v>
      </c>
      <c r="BR267" s="14" t="s">
        <v>124</v>
      </c>
      <c r="BS267" s="14" t="s">
        <v>5507</v>
      </c>
      <c r="BT267" s="14" t="str">
        <f>HYPERLINK("https%3A%2F%2Fwww.webofscience.com%2Fwos%2Fwoscc%2Ffull-record%2FWOS:000293701300011","View Full Record in Web of Science")</f>
        <v>View Full Record in Web of Science</v>
      </c>
    </row>
    <row r="268" ht="12.75" customHeight="1">
      <c r="A268" s="14" t="s">
        <v>97</v>
      </c>
      <c r="B268" s="14" t="s">
        <v>5508</v>
      </c>
      <c r="C268" s="14" t="s">
        <v>99</v>
      </c>
      <c r="D268" s="14" t="s">
        <v>99</v>
      </c>
      <c r="E268" s="14" t="s">
        <v>99</v>
      </c>
      <c r="F268" s="14" t="s">
        <v>5509</v>
      </c>
      <c r="G268" s="14" t="s">
        <v>99</v>
      </c>
      <c r="H268" s="14" t="s">
        <v>99</v>
      </c>
      <c r="I268" s="14" t="s">
        <v>5510</v>
      </c>
      <c r="J268" s="14" t="s">
        <v>4946</v>
      </c>
      <c r="K268" s="14" t="s">
        <v>99</v>
      </c>
      <c r="L268" s="14" t="s">
        <v>99</v>
      </c>
      <c r="M268" s="14" t="s">
        <v>103</v>
      </c>
      <c r="N268" s="14" t="s">
        <v>104</v>
      </c>
      <c r="O268" s="14" t="s">
        <v>99</v>
      </c>
      <c r="P268" s="14" t="s">
        <v>99</v>
      </c>
      <c r="Q268" s="14" t="s">
        <v>99</v>
      </c>
      <c r="R268" s="14" t="s">
        <v>99</v>
      </c>
      <c r="S268" s="14" t="s">
        <v>99</v>
      </c>
      <c r="T268" s="14" t="s">
        <v>5511</v>
      </c>
      <c r="U268" s="14" t="s">
        <v>5512</v>
      </c>
      <c r="V268" s="14" t="s">
        <v>5513</v>
      </c>
      <c r="W268" s="14" t="s">
        <v>5514</v>
      </c>
      <c r="X268" s="14" t="s">
        <v>5515</v>
      </c>
      <c r="Y268" s="14" t="s">
        <v>5516</v>
      </c>
      <c r="Z268" s="14" t="s">
        <v>5517</v>
      </c>
      <c r="AA268" s="14" t="s">
        <v>99</v>
      </c>
      <c r="AB268" s="14" t="s">
        <v>5518</v>
      </c>
      <c r="AC268" s="14" t="s">
        <v>5519</v>
      </c>
      <c r="AD268" s="14" t="s">
        <v>5520</v>
      </c>
      <c r="AE268" s="14" t="s">
        <v>5521</v>
      </c>
      <c r="AF268" s="14" t="s">
        <v>99</v>
      </c>
      <c r="AG268" s="14">
        <v>49.0</v>
      </c>
      <c r="AH268" s="14">
        <v>16.0</v>
      </c>
      <c r="AI268" s="14">
        <v>18.0</v>
      </c>
      <c r="AJ268" s="14">
        <v>1.0</v>
      </c>
      <c r="AK268" s="14">
        <v>62.0</v>
      </c>
      <c r="AL268" s="14" t="s">
        <v>4958</v>
      </c>
      <c r="AM268" s="14" t="s">
        <v>4959</v>
      </c>
      <c r="AN268" s="14" t="s">
        <v>4960</v>
      </c>
      <c r="AO268" s="14" t="s">
        <v>4961</v>
      </c>
      <c r="AP268" s="14" t="s">
        <v>4962</v>
      </c>
      <c r="AQ268" s="14" t="s">
        <v>99</v>
      </c>
      <c r="AR268" s="14" t="s">
        <v>4963</v>
      </c>
      <c r="AS268" s="14" t="s">
        <v>4964</v>
      </c>
      <c r="AT268" s="14" t="s">
        <v>421</v>
      </c>
      <c r="AU268" s="14">
        <v>2011.0</v>
      </c>
      <c r="AV268" s="14">
        <v>6.0</v>
      </c>
      <c r="AW268" s="14">
        <v>3.0</v>
      </c>
      <c r="AX268" s="14" t="s">
        <v>99</v>
      </c>
      <c r="AY268" s="14" t="s">
        <v>99</v>
      </c>
      <c r="AZ268" s="14" t="s">
        <v>99</v>
      </c>
      <c r="BA268" s="14" t="s">
        <v>99</v>
      </c>
      <c r="BB268" s="14">
        <v>281.0</v>
      </c>
      <c r="BC268" s="14">
        <v>290.0</v>
      </c>
      <c r="BD268" s="14" t="s">
        <v>99</v>
      </c>
      <c r="BE268" s="14" t="s">
        <v>5522</v>
      </c>
      <c r="BF268" s="15" t="str">
        <f>HYPERLINK("http://dx.doi.org/10.3391/ai.2011.6.3.05","http://dx.doi.org/10.3391/ai.2011.6.3.05")</f>
        <v>http://dx.doi.org/10.3391/ai.2011.6.3.05</v>
      </c>
      <c r="BG268" s="14" t="s">
        <v>99</v>
      </c>
      <c r="BH268" s="14" t="s">
        <v>99</v>
      </c>
      <c r="BI268" s="14">
        <v>10.0</v>
      </c>
      <c r="BJ268" s="14" t="s">
        <v>1274</v>
      </c>
      <c r="BK268" s="14" t="s">
        <v>122</v>
      </c>
      <c r="BL268" s="14" t="s">
        <v>397</v>
      </c>
      <c r="BM268" s="14" t="s">
        <v>5523</v>
      </c>
      <c r="BN268" s="14" t="s">
        <v>99</v>
      </c>
      <c r="BO268" s="14" t="s">
        <v>576</v>
      </c>
      <c r="BP268" s="14" t="s">
        <v>99</v>
      </c>
      <c r="BQ268" s="14" t="s">
        <v>99</v>
      </c>
      <c r="BR268" s="14" t="s">
        <v>124</v>
      </c>
      <c r="BS268" s="14" t="s">
        <v>5524</v>
      </c>
      <c r="BT268" s="14" t="str">
        <f>HYPERLINK("https%3A%2F%2Fwww.webofscience.com%2Fwos%2Fwoscc%2Ffull-record%2FWOS:000306277400005","View Full Record in Web of Science")</f>
        <v>View Full Record in Web of Science</v>
      </c>
    </row>
    <row r="269" ht="12.75" customHeight="1">
      <c r="A269" s="14" t="s">
        <v>97</v>
      </c>
      <c r="B269" s="14" t="s">
        <v>5525</v>
      </c>
      <c r="C269" s="14" t="s">
        <v>99</v>
      </c>
      <c r="D269" s="14" t="s">
        <v>99</v>
      </c>
      <c r="E269" s="14" t="s">
        <v>99</v>
      </c>
      <c r="F269" s="14" t="s">
        <v>5526</v>
      </c>
      <c r="G269" s="14" t="s">
        <v>99</v>
      </c>
      <c r="H269" s="14" t="s">
        <v>99</v>
      </c>
      <c r="I269" s="14" t="s">
        <v>5527</v>
      </c>
      <c r="J269" s="14" t="s">
        <v>5528</v>
      </c>
      <c r="K269" s="14" t="s">
        <v>99</v>
      </c>
      <c r="L269" s="14" t="s">
        <v>99</v>
      </c>
      <c r="M269" s="14" t="s">
        <v>103</v>
      </c>
      <c r="N269" s="14" t="s">
        <v>104</v>
      </c>
      <c r="O269" s="14" t="s">
        <v>99</v>
      </c>
      <c r="P269" s="14" t="s">
        <v>99</v>
      </c>
      <c r="Q269" s="14" t="s">
        <v>99</v>
      </c>
      <c r="R269" s="14" t="s">
        <v>99</v>
      </c>
      <c r="S269" s="14" t="s">
        <v>99</v>
      </c>
      <c r="T269" s="14" t="s">
        <v>5529</v>
      </c>
      <c r="U269" s="14" t="s">
        <v>5530</v>
      </c>
      <c r="V269" s="14" t="s">
        <v>5531</v>
      </c>
      <c r="W269" s="14" t="s">
        <v>5532</v>
      </c>
      <c r="X269" s="14" t="s">
        <v>5533</v>
      </c>
      <c r="Y269" s="14" t="s">
        <v>5534</v>
      </c>
      <c r="Z269" s="14" t="s">
        <v>5535</v>
      </c>
      <c r="AA269" s="14" t="s">
        <v>5536</v>
      </c>
      <c r="AB269" s="14" t="s">
        <v>5537</v>
      </c>
      <c r="AC269" s="14" t="s">
        <v>5538</v>
      </c>
      <c r="AD269" s="14" t="s">
        <v>5539</v>
      </c>
      <c r="AE269" s="14" t="s">
        <v>5540</v>
      </c>
      <c r="AF269" s="14" t="s">
        <v>99</v>
      </c>
      <c r="AG269" s="14">
        <v>54.0</v>
      </c>
      <c r="AH269" s="14">
        <v>112.0</v>
      </c>
      <c r="AI269" s="14">
        <v>127.0</v>
      </c>
      <c r="AJ269" s="14">
        <v>7.0</v>
      </c>
      <c r="AK269" s="14">
        <v>128.0</v>
      </c>
      <c r="AL269" s="14" t="s">
        <v>1822</v>
      </c>
      <c r="AM269" s="14" t="s">
        <v>342</v>
      </c>
      <c r="AN269" s="14" t="s">
        <v>343</v>
      </c>
      <c r="AO269" s="14" t="s">
        <v>5541</v>
      </c>
      <c r="AP269" s="14" t="s">
        <v>5542</v>
      </c>
      <c r="AQ269" s="14" t="s">
        <v>99</v>
      </c>
      <c r="AR269" s="14" t="s">
        <v>5543</v>
      </c>
      <c r="AS269" s="14" t="s">
        <v>5544</v>
      </c>
      <c r="AT269" s="14" t="s">
        <v>421</v>
      </c>
      <c r="AU269" s="14">
        <v>2011.0</v>
      </c>
      <c r="AV269" s="14">
        <v>285.0</v>
      </c>
      <c r="AW269" s="14">
        <v>1.0</v>
      </c>
      <c r="AX269" s="14" t="s">
        <v>99</v>
      </c>
      <c r="AY269" s="14" t="s">
        <v>99</v>
      </c>
      <c r="AZ269" s="14" t="s">
        <v>99</v>
      </c>
      <c r="BA269" s="14" t="s">
        <v>99</v>
      </c>
      <c r="BB269" s="14">
        <v>11.0</v>
      </c>
      <c r="BC269" s="14">
        <v>20.0</v>
      </c>
      <c r="BD269" s="14" t="s">
        <v>99</v>
      </c>
      <c r="BE269" s="14" t="s">
        <v>5545</v>
      </c>
      <c r="BF269" s="15" t="str">
        <f>HYPERLINK("http://dx.doi.org/10.1111/j.1469-7998.2011.00826.x","http://dx.doi.org/10.1111/j.1469-7998.2011.00826.x")</f>
        <v>http://dx.doi.org/10.1111/j.1469-7998.2011.00826.x</v>
      </c>
      <c r="BG269" s="14" t="s">
        <v>99</v>
      </c>
      <c r="BH269" s="14" t="s">
        <v>99</v>
      </c>
      <c r="BI269" s="14">
        <v>10.0</v>
      </c>
      <c r="BJ269" s="14" t="s">
        <v>121</v>
      </c>
      <c r="BK269" s="14" t="s">
        <v>122</v>
      </c>
      <c r="BL269" s="14" t="s">
        <v>121</v>
      </c>
      <c r="BM269" s="14" t="s">
        <v>5546</v>
      </c>
      <c r="BN269" s="14" t="s">
        <v>99</v>
      </c>
      <c r="BO269" s="14" t="s">
        <v>99</v>
      </c>
      <c r="BP269" s="14" t="s">
        <v>99</v>
      </c>
      <c r="BQ269" s="14" t="s">
        <v>99</v>
      </c>
      <c r="BR269" s="14" t="s">
        <v>124</v>
      </c>
      <c r="BS269" s="14" t="s">
        <v>5547</v>
      </c>
      <c r="BT269" s="14" t="str">
        <f>HYPERLINK("https%3A%2F%2Fwww.webofscience.com%2Fwos%2Fwoscc%2Ffull-record%2FWOS:000294170500002","View Full Record in Web of Science")</f>
        <v>View Full Record in Web of Science</v>
      </c>
    </row>
    <row r="270" ht="12.75" customHeight="1">
      <c r="A270" s="14" t="s">
        <v>97</v>
      </c>
      <c r="B270" s="14" t="s">
        <v>5548</v>
      </c>
      <c r="C270" s="14" t="s">
        <v>99</v>
      </c>
      <c r="D270" s="14" t="s">
        <v>99</v>
      </c>
      <c r="E270" s="14" t="s">
        <v>99</v>
      </c>
      <c r="F270" s="14" t="s">
        <v>5549</v>
      </c>
      <c r="G270" s="14" t="s">
        <v>99</v>
      </c>
      <c r="H270" s="14" t="s">
        <v>99</v>
      </c>
      <c r="I270" s="14" t="s">
        <v>5550</v>
      </c>
      <c r="J270" s="14" t="s">
        <v>776</v>
      </c>
      <c r="K270" s="14" t="s">
        <v>99</v>
      </c>
      <c r="L270" s="14" t="s">
        <v>99</v>
      </c>
      <c r="M270" s="14" t="s">
        <v>103</v>
      </c>
      <c r="N270" s="14" t="s">
        <v>104</v>
      </c>
      <c r="O270" s="14" t="s">
        <v>99</v>
      </c>
      <c r="P270" s="14" t="s">
        <v>99</v>
      </c>
      <c r="Q270" s="14" t="s">
        <v>99</v>
      </c>
      <c r="R270" s="14" t="s">
        <v>99</v>
      </c>
      <c r="S270" s="14" t="s">
        <v>99</v>
      </c>
      <c r="T270" s="14" t="s">
        <v>5551</v>
      </c>
      <c r="U270" s="14" t="s">
        <v>5552</v>
      </c>
      <c r="V270" s="14" t="s">
        <v>5553</v>
      </c>
      <c r="W270" s="14" t="s">
        <v>5554</v>
      </c>
      <c r="X270" s="14" t="s">
        <v>5555</v>
      </c>
      <c r="Y270" s="14" t="s">
        <v>5556</v>
      </c>
      <c r="Z270" s="14" t="s">
        <v>5557</v>
      </c>
      <c r="AA270" s="14" t="s">
        <v>5558</v>
      </c>
      <c r="AB270" s="14" t="s">
        <v>5559</v>
      </c>
      <c r="AC270" s="14" t="s">
        <v>5560</v>
      </c>
      <c r="AD270" s="14" t="s">
        <v>5561</v>
      </c>
      <c r="AE270" s="14" t="s">
        <v>5562</v>
      </c>
      <c r="AF270" s="14" t="s">
        <v>99</v>
      </c>
      <c r="AG270" s="14">
        <v>48.0</v>
      </c>
      <c r="AH270" s="14">
        <v>474.0</v>
      </c>
      <c r="AI270" s="14">
        <v>570.0</v>
      </c>
      <c r="AJ270" s="14">
        <v>3.0</v>
      </c>
      <c r="AK270" s="14">
        <v>327.0</v>
      </c>
      <c r="AL270" s="14" t="s">
        <v>788</v>
      </c>
      <c r="AM270" s="14" t="s">
        <v>789</v>
      </c>
      <c r="AN270" s="14" t="s">
        <v>790</v>
      </c>
      <c r="AO270" s="14" t="s">
        <v>791</v>
      </c>
      <c r="AP270" s="14" t="s">
        <v>792</v>
      </c>
      <c r="AQ270" s="14" t="s">
        <v>99</v>
      </c>
      <c r="AR270" s="14" t="s">
        <v>793</v>
      </c>
      <c r="AS270" s="14" t="s">
        <v>794</v>
      </c>
      <c r="AT270" s="14" t="s">
        <v>1900</v>
      </c>
      <c r="AU270" s="14">
        <v>2011.0</v>
      </c>
      <c r="AV270" s="14">
        <v>108.0</v>
      </c>
      <c r="AW270" s="14">
        <v>34.0</v>
      </c>
      <c r="AX270" s="14" t="s">
        <v>99</v>
      </c>
      <c r="AY270" s="14" t="s">
        <v>99</v>
      </c>
      <c r="AZ270" s="14" t="s">
        <v>99</v>
      </c>
      <c r="BA270" s="14" t="s">
        <v>99</v>
      </c>
      <c r="BB270" s="14">
        <v>14175.0</v>
      </c>
      <c r="BC270" s="14">
        <v>14180.0</v>
      </c>
      <c r="BD270" s="14" t="s">
        <v>99</v>
      </c>
      <c r="BE270" s="14" t="s">
        <v>5563</v>
      </c>
      <c r="BF270" s="15" t="str">
        <f>HYPERLINK("http://dx.doi.org/10.1073/pnas.1103097108","http://dx.doi.org/10.1073/pnas.1103097108")</f>
        <v>http://dx.doi.org/10.1073/pnas.1103097108</v>
      </c>
      <c r="BG270" s="14" t="s">
        <v>99</v>
      </c>
      <c r="BH270" s="14" t="s">
        <v>99</v>
      </c>
      <c r="BI270" s="14">
        <v>6.0</v>
      </c>
      <c r="BJ270" s="14" t="s">
        <v>799</v>
      </c>
      <c r="BK270" s="14" t="s">
        <v>122</v>
      </c>
      <c r="BL270" s="14" t="s">
        <v>801</v>
      </c>
      <c r="BM270" s="14" t="s">
        <v>5564</v>
      </c>
      <c r="BN270" s="14">
        <v>2.1844354E7</v>
      </c>
      <c r="BO270" s="14" t="s">
        <v>425</v>
      </c>
      <c r="BP270" s="14" t="s">
        <v>99</v>
      </c>
      <c r="BQ270" s="14" t="s">
        <v>99</v>
      </c>
      <c r="BR270" s="14" t="s">
        <v>124</v>
      </c>
      <c r="BS270" s="14" t="s">
        <v>5565</v>
      </c>
      <c r="BT270" s="14" t="str">
        <f>HYPERLINK("https%3A%2F%2Fwww.webofscience.com%2Fwos%2Fwoscc%2Ffull-record%2FWOS:000294163500063","View Full Record in Web of Science")</f>
        <v>View Full Record in Web of Science</v>
      </c>
    </row>
    <row r="271" ht="12.75" customHeight="1">
      <c r="A271" s="14" t="s">
        <v>97</v>
      </c>
      <c r="B271" s="14" t="s">
        <v>5566</v>
      </c>
      <c r="C271" s="14" t="s">
        <v>99</v>
      </c>
      <c r="D271" s="14" t="s">
        <v>99</v>
      </c>
      <c r="E271" s="14" t="s">
        <v>99</v>
      </c>
      <c r="F271" s="14" t="s">
        <v>5567</v>
      </c>
      <c r="G271" s="14" t="s">
        <v>99</v>
      </c>
      <c r="H271" s="14" t="s">
        <v>99</v>
      </c>
      <c r="I271" s="14" t="s">
        <v>5568</v>
      </c>
      <c r="J271" s="14" t="s">
        <v>3842</v>
      </c>
      <c r="K271" s="14" t="s">
        <v>99</v>
      </c>
      <c r="L271" s="14" t="s">
        <v>99</v>
      </c>
      <c r="M271" s="14" t="s">
        <v>103</v>
      </c>
      <c r="N271" s="14" t="s">
        <v>104</v>
      </c>
      <c r="O271" s="14" t="s">
        <v>99</v>
      </c>
      <c r="P271" s="14" t="s">
        <v>99</v>
      </c>
      <c r="Q271" s="14" t="s">
        <v>99</v>
      </c>
      <c r="R271" s="14" t="s">
        <v>99</v>
      </c>
      <c r="S271" s="14" t="s">
        <v>99</v>
      </c>
      <c r="T271" s="14" t="s">
        <v>5569</v>
      </c>
      <c r="U271" s="14" t="s">
        <v>5570</v>
      </c>
      <c r="V271" s="14" t="s">
        <v>5571</v>
      </c>
      <c r="W271" s="14" t="s">
        <v>5572</v>
      </c>
      <c r="X271" s="14" t="s">
        <v>5573</v>
      </c>
      <c r="Y271" s="14" t="s">
        <v>5574</v>
      </c>
      <c r="Z271" s="14" t="s">
        <v>5575</v>
      </c>
      <c r="AA271" s="14" t="s">
        <v>5576</v>
      </c>
      <c r="AB271" s="14" t="s">
        <v>5577</v>
      </c>
      <c r="AC271" s="14" t="s">
        <v>5578</v>
      </c>
      <c r="AD271" s="14" t="s">
        <v>5578</v>
      </c>
      <c r="AE271" s="14" t="s">
        <v>5579</v>
      </c>
      <c r="AF271" s="14" t="s">
        <v>99</v>
      </c>
      <c r="AG271" s="14">
        <v>49.0</v>
      </c>
      <c r="AH271" s="14">
        <v>18.0</v>
      </c>
      <c r="AI271" s="14">
        <v>24.0</v>
      </c>
      <c r="AJ271" s="14">
        <v>0.0</v>
      </c>
      <c r="AK271" s="14">
        <v>35.0</v>
      </c>
      <c r="AL271" s="14" t="s">
        <v>341</v>
      </c>
      <c r="AM271" s="14" t="s">
        <v>342</v>
      </c>
      <c r="AN271" s="14" t="s">
        <v>343</v>
      </c>
      <c r="AO271" s="14" t="s">
        <v>3853</v>
      </c>
      <c r="AP271" s="14" t="s">
        <v>3854</v>
      </c>
      <c r="AQ271" s="14" t="s">
        <v>99</v>
      </c>
      <c r="AR271" s="14" t="s">
        <v>3855</v>
      </c>
      <c r="AS271" s="14" t="s">
        <v>3856</v>
      </c>
      <c r="AT271" s="14" t="s">
        <v>474</v>
      </c>
      <c r="AU271" s="14">
        <v>2011.0</v>
      </c>
      <c r="AV271" s="14">
        <v>14.0</v>
      </c>
      <c r="AW271" s="14">
        <v>4.0</v>
      </c>
      <c r="AX271" s="14" t="s">
        <v>99</v>
      </c>
      <c r="AY271" s="14" t="s">
        <v>99</v>
      </c>
      <c r="AZ271" s="14" t="s">
        <v>99</v>
      </c>
      <c r="BA271" s="14" t="s">
        <v>99</v>
      </c>
      <c r="BB271" s="14">
        <v>409.0</v>
      </c>
      <c r="BC271" s="14">
        <v>418.0</v>
      </c>
      <c r="BD271" s="14" t="s">
        <v>99</v>
      </c>
      <c r="BE271" s="14" t="s">
        <v>5580</v>
      </c>
      <c r="BF271" s="15" t="str">
        <f>HYPERLINK("http://dx.doi.org/10.1111/j.1469-1795.2011.00437.x","http://dx.doi.org/10.1111/j.1469-1795.2011.00437.x")</f>
        <v>http://dx.doi.org/10.1111/j.1469-1795.2011.00437.x</v>
      </c>
      <c r="BG271" s="14" t="s">
        <v>99</v>
      </c>
      <c r="BH271" s="14" t="s">
        <v>99</v>
      </c>
      <c r="BI271" s="14">
        <v>10.0</v>
      </c>
      <c r="BJ271" s="14" t="s">
        <v>550</v>
      </c>
      <c r="BK271" s="14" t="s">
        <v>122</v>
      </c>
      <c r="BL271" s="14" t="s">
        <v>352</v>
      </c>
      <c r="BM271" s="14" t="s">
        <v>5581</v>
      </c>
      <c r="BN271" s="14" t="s">
        <v>99</v>
      </c>
      <c r="BO271" s="14" t="s">
        <v>238</v>
      </c>
      <c r="BP271" s="14" t="s">
        <v>99</v>
      </c>
      <c r="BQ271" s="14" t="s">
        <v>99</v>
      </c>
      <c r="BR271" s="14" t="s">
        <v>124</v>
      </c>
      <c r="BS271" s="14" t="s">
        <v>5582</v>
      </c>
      <c r="BT271" s="14" t="str">
        <f>HYPERLINK("https%3A%2F%2Fwww.webofscience.com%2Fwos%2Fwoscc%2Ffull-record%2FWOS:000293173900014","View Full Record in Web of Science")</f>
        <v>View Full Record in Web of Science</v>
      </c>
    </row>
    <row r="272" ht="12.75" customHeight="1">
      <c r="A272" s="14" t="s">
        <v>97</v>
      </c>
      <c r="B272" s="14" t="s">
        <v>5583</v>
      </c>
      <c r="C272" s="14" t="s">
        <v>99</v>
      </c>
      <c r="D272" s="14" t="s">
        <v>99</v>
      </c>
      <c r="E272" s="14" t="s">
        <v>99</v>
      </c>
      <c r="F272" s="14" t="s">
        <v>5584</v>
      </c>
      <c r="G272" s="14" t="s">
        <v>99</v>
      </c>
      <c r="H272" s="14" t="s">
        <v>99</v>
      </c>
      <c r="I272" s="14" t="s">
        <v>5585</v>
      </c>
      <c r="J272" s="14" t="s">
        <v>430</v>
      </c>
      <c r="K272" s="14" t="s">
        <v>99</v>
      </c>
      <c r="L272" s="14" t="s">
        <v>99</v>
      </c>
      <c r="M272" s="14" t="s">
        <v>103</v>
      </c>
      <c r="N272" s="14" t="s">
        <v>104</v>
      </c>
      <c r="O272" s="14" t="s">
        <v>99</v>
      </c>
      <c r="P272" s="14" t="s">
        <v>99</v>
      </c>
      <c r="Q272" s="14" t="s">
        <v>99</v>
      </c>
      <c r="R272" s="14" t="s">
        <v>99</v>
      </c>
      <c r="S272" s="14" t="s">
        <v>99</v>
      </c>
      <c r="T272" s="14" t="s">
        <v>5586</v>
      </c>
      <c r="U272" s="14" t="s">
        <v>5587</v>
      </c>
      <c r="V272" s="14" t="s">
        <v>5588</v>
      </c>
      <c r="W272" s="14" t="s">
        <v>5589</v>
      </c>
      <c r="X272" s="14" t="s">
        <v>5590</v>
      </c>
      <c r="Y272" s="14" t="s">
        <v>5591</v>
      </c>
      <c r="Z272" s="14" t="s">
        <v>5592</v>
      </c>
      <c r="AA272" s="14" t="s">
        <v>5593</v>
      </c>
      <c r="AB272" s="14" t="s">
        <v>99</v>
      </c>
      <c r="AC272" s="14" t="s">
        <v>5594</v>
      </c>
      <c r="AD272" s="14" t="s">
        <v>5595</v>
      </c>
      <c r="AE272" s="14" t="s">
        <v>5596</v>
      </c>
      <c r="AF272" s="14" t="s">
        <v>99</v>
      </c>
      <c r="AG272" s="14">
        <v>67.0</v>
      </c>
      <c r="AH272" s="14">
        <v>91.0</v>
      </c>
      <c r="AI272" s="14">
        <v>112.0</v>
      </c>
      <c r="AJ272" s="14">
        <v>3.0</v>
      </c>
      <c r="AK272" s="14">
        <v>96.0</v>
      </c>
      <c r="AL272" s="14" t="s">
        <v>441</v>
      </c>
      <c r="AM272" s="14" t="s">
        <v>442</v>
      </c>
      <c r="AN272" s="14" t="s">
        <v>443</v>
      </c>
      <c r="AO272" s="14" t="s">
        <v>444</v>
      </c>
      <c r="AP272" s="14" t="s">
        <v>445</v>
      </c>
      <c r="AQ272" s="14" t="s">
        <v>99</v>
      </c>
      <c r="AR272" s="14" t="s">
        <v>446</v>
      </c>
      <c r="AS272" s="14" t="s">
        <v>447</v>
      </c>
      <c r="AT272" s="14" t="s">
        <v>4787</v>
      </c>
      <c r="AU272" s="14">
        <v>2011.0</v>
      </c>
      <c r="AV272" s="14">
        <v>262.0</v>
      </c>
      <c r="AW272" s="14">
        <v>3.0</v>
      </c>
      <c r="AX272" s="14" t="s">
        <v>99</v>
      </c>
      <c r="AY272" s="14" t="s">
        <v>99</v>
      </c>
      <c r="AZ272" s="14" t="s">
        <v>99</v>
      </c>
      <c r="BA272" s="14" t="s">
        <v>99</v>
      </c>
      <c r="BB272" s="14">
        <v>307.0</v>
      </c>
      <c r="BC272" s="14">
        <v>316.0</v>
      </c>
      <c r="BD272" s="14" t="s">
        <v>99</v>
      </c>
      <c r="BE272" s="14" t="s">
        <v>5597</v>
      </c>
      <c r="BF272" s="15" t="str">
        <f>HYPERLINK("http://dx.doi.org/10.1016/j.foreco.2011.03.036","http://dx.doi.org/10.1016/j.foreco.2011.03.036")</f>
        <v>http://dx.doi.org/10.1016/j.foreco.2011.03.036</v>
      </c>
      <c r="BG272" s="14" t="s">
        <v>99</v>
      </c>
      <c r="BH272" s="14" t="s">
        <v>99</v>
      </c>
      <c r="BI272" s="14">
        <v>10.0</v>
      </c>
      <c r="BJ272" s="14" t="s">
        <v>281</v>
      </c>
      <c r="BK272" s="14" t="s">
        <v>122</v>
      </c>
      <c r="BL272" s="14" t="s">
        <v>281</v>
      </c>
      <c r="BM272" s="14" t="s">
        <v>5598</v>
      </c>
      <c r="BN272" s="14" t="s">
        <v>99</v>
      </c>
      <c r="BO272" s="14" t="s">
        <v>99</v>
      </c>
      <c r="BP272" s="14" t="s">
        <v>99</v>
      </c>
      <c r="BQ272" s="14" t="s">
        <v>99</v>
      </c>
      <c r="BR272" s="14" t="s">
        <v>124</v>
      </c>
      <c r="BS272" s="14" t="s">
        <v>5599</v>
      </c>
      <c r="BT272" s="14" t="str">
        <f>HYPERLINK("https%3A%2F%2Fwww.webofscience.com%2Fwos%2Fwoscc%2Ffull-record%2FWOS:000292428500001","View Full Record in Web of Science")</f>
        <v>View Full Record in Web of Science</v>
      </c>
    </row>
    <row r="273" ht="12.75" customHeight="1">
      <c r="A273" s="14" t="s">
        <v>97</v>
      </c>
      <c r="B273" s="14" t="s">
        <v>5600</v>
      </c>
      <c r="C273" s="14" t="s">
        <v>99</v>
      </c>
      <c r="D273" s="14" t="s">
        <v>99</v>
      </c>
      <c r="E273" s="14" t="s">
        <v>99</v>
      </c>
      <c r="F273" s="14" t="s">
        <v>5601</v>
      </c>
      <c r="G273" s="14" t="s">
        <v>99</v>
      </c>
      <c r="H273" s="14" t="s">
        <v>99</v>
      </c>
      <c r="I273" s="14" t="s">
        <v>5602</v>
      </c>
      <c r="J273" s="14" t="s">
        <v>5603</v>
      </c>
      <c r="K273" s="14" t="s">
        <v>99</v>
      </c>
      <c r="L273" s="14" t="s">
        <v>99</v>
      </c>
      <c r="M273" s="14" t="s">
        <v>103</v>
      </c>
      <c r="N273" s="14" t="s">
        <v>104</v>
      </c>
      <c r="O273" s="14" t="s">
        <v>99</v>
      </c>
      <c r="P273" s="14" t="s">
        <v>99</v>
      </c>
      <c r="Q273" s="14" t="s">
        <v>99</v>
      </c>
      <c r="R273" s="14" t="s">
        <v>99</v>
      </c>
      <c r="S273" s="14" t="s">
        <v>99</v>
      </c>
      <c r="T273" s="14" t="s">
        <v>5604</v>
      </c>
      <c r="U273" s="14" t="s">
        <v>5605</v>
      </c>
      <c r="V273" s="14" t="s">
        <v>5606</v>
      </c>
      <c r="W273" s="14" t="s">
        <v>5607</v>
      </c>
      <c r="X273" s="14" t="s">
        <v>5608</v>
      </c>
      <c r="Y273" s="14" t="s">
        <v>5609</v>
      </c>
      <c r="Z273" s="14" t="s">
        <v>5610</v>
      </c>
      <c r="AA273" s="14" t="s">
        <v>5611</v>
      </c>
      <c r="AB273" s="14" t="s">
        <v>5612</v>
      </c>
      <c r="AC273" s="14" t="s">
        <v>5613</v>
      </c>
      <c r="AD273" s="14" t="s">
        <v>5614</v>
      </c>
      <c r="AE273" s="14" t="s">
        <v>5615</v>
      </c>
      <c r="AF273" s="14" t="s">
        <v>99</v>
      </c>
      <c r="AG273" s="14">
        <v>21.0</v>
      </c>
      <c r="AH273" s="14">
        <v>3.0</v>
      </c>
      <c r="AI273" s="14">
        <v>4.0</v>
      </c>
      <c r="AJ273" s="14">
        <v>1.0</v>
      </c>
      <c r="AK273" s="14">
        <v>32.0</v>
      </c>
      <c r="AL273" s="14" t="s">
        <v>441</v>
      </c>
      <c r="AM273" s="14" t="s">
        <v>442</v>
      </c>
      <c r="AN273" s="14" t="s">
        <v>443</v>
      </c>
      <c r="AO273" s="14" t="s">
        <v>5616</v>
      </c>
      <c r="AP273" s="14" t="s">
        <v>5617</v>
      </c>
      <c r="AQ273" s="14" t="s">
        <v>99</v>
      </c>
      <c r="AR273" s="14" t="s">
        <v>5618</v>
      </c>
      <c r="AS273" s="14" t="s">
        <v>5619</v>
      </c>
      <c r="AT273" s="14" t="s">
        <v>474</v>
      </c>
      <c r="AU273" s="14">
        <v>2011.0</v>
      </c>
      <c r="AV273" s="14">
        <v>142.0</v>
      </c>
      <c r="AW273" s="14" t="s">
        <v>5620</v>
      </c>
      <c r="AX273" s="14" t="s">
        <v>99</v>
      </c>
      <c r="AY273" s="14" t="s">
        <v>99</v>
      </c>
      <c r="AZ273" s="14" t="s">
        <v>99</v>
      </c>
      <c r="BA273" s="14" t="s">
        <v>99</v>
      </c>
      <c r="BB273" s="14">
        <v>428.0</v>
      </c>
      <c r="BC273" s="14">
        <v>431.0</v>
      </c>
      <c r="BD273" s="14" t="s">
        <v>99</v>
      </c>
      <c r="BE273" s="14" t="s">
        <v>5621</v>
      </c>
      <c r="BF273" s="15" t="str">
        <f>HYPERLINK("http://dx.doi.org/10.1016/j.agee.2011.06.009","http://dx.doi.org/10.1016/j.agee.2011.06.009")</f>
        <v>http://dx.doi.org/10.1016/j.agee.2011.06.009</v>
      </c>
      <c r="BG273" s="14" t="s">
        <v>99</v>
      </c>
      <c r="BH273" s="14" t="s">
        <v>99</v>
      </c>
      <c r="BI273" s="14">
        <v>4.0</v>
      </c>
      <c r="BJ273" s="14" t="s">
        <v>5622</v>
      </c>
      <c r="BK273" s="14" t="s">
        <v>122</v>
      </c>
      <c r="BL273" s="14" t="s">
        <v>5623</v>
      </c>
      <c r="BM273" s="14" t="s">
        <v>5624</v>
      </c>
      <c r="BN273" s="14" t="s">
        <v>99</v>
      </c>
      <c r="BO273" s="14" t="s">
        <v>99</v>
      </c>
      <c r="BP273" s="14" t="s">
        <v>99</v>
      </c>
      <c r="BQ273" s="14" t="s">
        <v>99</v>
      </c>
      <c r="BR273" s="14" t="s">
        <v>124</v>
      </c>
      <c r="BS273" s="14" t="s">
        <v>5625</v>
      </c>
      <c r="BT273" s="14" t="str">
        <f>HYPERLINK("https%3A%2F%2Fwww.webofscience.com%2Fwos%2Fwoscc%2Ffull-record%2FWOS:000295245100035","View Full Record in Web of Science")</f>
        <v>View Full Record in Web of Science</v>
      </c>
    </row>
    <row r="274" ht="12.75" customHeight="1">
      <c r="A274" s="14" t="s">
        <v>97</v>
      </c>
      <c r="B274" s="14" t="s">
        <v>5626</v>
      </c>
      <c r="C274" s="14" t="s">
        <v>99</v>
      </c>
      <c r="D274" s="14" t="s">
        <v>99</v>
      </c>
      <c r="E274" s="14" t="s">
        <v>99</v>
      </c>
      <c r="F274" s="14" t="s">
        <v>5627</v>
      </c>
      <c r="G274" s="14" t="s">
        <v>99</v>
      </c>
      <c r="H274" s="14" t="s">
        <v>99</v>
      </c>
      <c r="I274" s="14" t="s">
        <v>5628</v>
      </c>
      <c r="J274" s="14" t="s">
        <v>3413</v>
      </c>
      <c r="K274" s="14" t="s">
        <v>99</v>
      </c>
      <c r="L274" s="14" t="s">
        <v>99</v>
      </c>
      <c r="M274" s="14" t="s">
        <v>103</v>
      </c>
      <c r="N274" s="14" t="s">
        <v>2284</v>
      </c>
      <c r="O274" s="14" t="s">
        <v>5629</v>
      </c>
      <c r="P274" s="14" t="s">
        <v>5630</v>
      </c>
      <c r="Q274" s="14" t="s">
        <v>5631</v>
      </c>
      <c r="R274" s="14" t="s">
        <v>5632</v>
      </c>
      <c r="S274" s="14" t="s">
        <v>99</v>
      </c>
      <c r="T274" s="14" t="s">
        <v>5633</v>
      </c>
      <c r="U274" s="14" t="s">
        <v>5634</v>
      </c>
      <c r="V274" s="14" t="s">
        <v>5635</v>
      </c>
      <c r="W274" s="14" t="s">
        <v>5636</v>
      </c>
      <c r="X274" s="14" t="s">
        <v>5637</v>
      </c>
      <c r="Y274" s="14" t="s">
        <v>5638</v>
      </c>
      <c r="Z274" s="14" t="s">
        <v>5639</v>
      </c>
      <c r="AA274" s="14" t="s">
        <v>5640</v>
      </c>
      <c r="AB274" s="14" t="s">
        <v>5641</v>
      </c>
      <c r="AC274" s="14" t="s">
        <v>99</v>
      </c>
      <c r="AD274" s="14" t="s">
        <v>99</v>
      </c>
      <c r="AE274" s="14" t="s">
        <v>99</v>
      </c>
      <c r="AF274" s="14" t="s">
        <v>99</v>
      </c>
      <c r="AG274" s="14">
        <v>33.0</v>
      </c>
      <c r="AH274" s="14">
        <v>30.0</v>
      </c>
      <c r="AI274" s="14">
        <v>38.0</v>
      </c>
      <c r="AJ274" s="14">
        <v>2.0</v>
      </c>
      <c r="AK274" s="14">
        <v>76.0</v>
      </c>
      <c r="AL274" s="14" t="s">
        <v>441</v>
      </c>
      <c r="AM274" s="14" t="s">
        <v>442</v>
      </c>
      <c r="AN274" s="14" t="s">
        <v>443</v>
      </c>
      <c r="AO274" s="14" t="s">
        <v>3425</v>
      </c>
      <c r="AP274" s="14" t="s">
        <v>3426</v>
      </c>
      <c r="AQ274" s="14" t="s">
        <v>99</v>
      </c>
      <c r="AR274" s="14" t="s">
        <v>3427</v>
      </c>
      <c r="AS274" s="14" t="s">
        <v>3428</v>
      </c>
      <c r="AT274" s="14" t="s">
        <v>5642</v>
      </c>
      <c r="AU274" s="14">
        <v>2011.0</v>
      </c>
      <c r="AV274" s="14">
        <v>222.0</v>
      </c>
      <c r="AW274" s="14">
        <v>14.0</v>
      </c>
      <c r="AX274" s="14" t="s">
        <v>99</v>
      </c>
      <c r="AY274" s="14" t="s">
        <v>99</v>
      </c>
      <c r="AZ274" s="14" t="s">
        <v>1738</v>
      </c>
      <c r="BA274" s="14" t="s">
        <v>99</v>
      </c>
      <c r="BB274" s="14">
        <v>2333.0</v>
      </c>
      <c r="BC274" s="14">
        <v>2341.0</v>
      </c>
      <c r="BD274" s="14" t="s">
        <v>99</v>
      </c>
      <c r="BE274" s="14" t="s">
        <v>5643</v>
      </c>
      <c r="BF274" s="15" t="str">
        <f>HYPERLINK("http://dx.doi.org/10.1016/j.ecolmodel.2011.03.042","http://dx.doi.org/10.1016/j.ecolmodel.2011.03.042")</f>
        <v>http://dx.doi.org/10.1016/j.ecolmodel.2011.03.042</v>
      </c>
      <c r="BG274" s="14" t="s">
        <v>99</v>
      </c>
      <c r="BH274" s="14" t="s">
        <v>99</v>
      </c>
      <c r="BI274" s="14">
        <v>9.0</v>
      </c>
      <c r="BJ274" s="14" t="s">
        <v>259</v>
      </c>
      <c r="BK274" s="14" t="s">
        <v>2311</v>
      </c>
      <c r="BL274" s="14" t="s">
        <v>260</v>
      </c>
      <c r="BM274" s="14" t="s">
        <v>5644</v>
      </c>
      <c r="BN274" s="14" t="s">
        <v>99</v>
      </c>
      <c r="BO274" s="14" t="s">
        <v>99</v>
      </c>
      <c r="BP274" s="14" t="s">
        <v>99</v>
      </c>
      <c r="BQ274" s="14" t="s">
        <v>99</v>
      </c>
      <c r="BR274" s="14" t="s">
        <v>124</v>
      </c>
      <c r="BS274" s="14" t="s">
        <v>5645</v>
      </c>
      <c r="BT274" s="14" t="str">
        <f>HYPERLINK("https%3A%2F%2Fwww.webofscience.com%2Fwos%2Fwoscc%2Ffull-record%2FWOS:000293038700014","View Full Record in Web of Science")</f>
        <v>View Full Record in Web of Science</v>
      </c>
    </row>
    <row r="275" ht="12.75" customHeight="1">
      <c r="A275" s="14" t="s">
        <v>97</v>
      </c>
      <c r="B275" s="14" t="s">
        <v>5646</v>
      </c>
      <c r="C275" s="14" t="s">
        <v>99</v>
      </c>
      <c r="D275" s="14" t="s">
        <v>99</v>
      </c>
      <c r="E275" s="14" t="s">
        <v>99</v>
      </c>
      <c r="F275" s="14" t="s">
        <v>5647</v>
      </c>
      <c r="G275" s="14" t="s">
        <v>99</v>
      </c>
      <c r="H275" s="14" t="s">
        <v>99</v>
      </c>
      <c r="I275" s="14" t="s">
        <v>5648</v>
      </c>
      <c r="J275" s="14" t="s">
        <v>328</v>
      </c>
      <c r="K275" s="14" t="s">
        <v>99</v>
      </c>
      <c r="L275" s="14" t="s">
        <v>99</v>
      </c>
      <c r="M275" s="14" t="s">
        <v>103</v>
      </c>
      <c r="N275" s="14" t="s">
        <v>104</v>
      </c>
      <c r="O275" s="14" t="s">
        <v>99</v>
      </c>
      <c r="P275" s="14" t="s">
        <v>99</v>
      </c>
      <c r="Q275" s="14" t="s">
        <v>99</v>
      </c>
      <c r="R275" s="14" t="s">
        <v>99</v>
      </c>
      <c r="S275" s="14" t="s">
        <v>99</v>
      </c>
      <c r="T275" s="14" t="s">
        <v>5649</v>
      </c>
      <c r="U275" s="14" t="s">
        <v>5650</v>
      </c>
      <c r="V275" s="14" t="s">
        <v>5651</v>
      </c>
      <c r="W275" s="14" t="s">
        <v>5652</v>
      </c>
      <c r="X275" s="14" t="s">
        <v>5653</v>
      </c>
      <c r="Y275" s="14" t="s">
        <v>5654</v>
      </c>
      <c r="Z275" s="14" t="s">
        <v>5655</v>
      </c>
      <c r="AA275" s="14" t="s">
        <v>5656</v>
      </c>
      <c r="AB275" s="14" t="s">
        <v>5657</v>
      </c>
      <c r="AC275" s="14" t="s">
        <v>5658</v>
      </c>
      <c r="AD275" s="14" t="s">
        <v>5659</v>
      </c>
      <c r="AE275" s="14" t="s">
        <v>5660</v>
      </c>
      <c r="AF275" s="14" t="s">
        <v>99</v>
      </c>
      <c r="AG275" s="14">
        <v>67.0</v>
      </c>
      <c r="AH275" s="14">
        <v>525.0</v>
      </c>
      <c r="AI275" s="14">
        <v>583.0</v>
      </c>
      <c r="AJ275" s="14">
        <v>4.0</v>
      </c>
      <c r="AK275" s="14">
        <v>451.0</v>
      </c>
      <c r="AL275" s="14" t="s">
        <v>341</v>
      </c>
      <c r="AM275" s="14" t="s">
        <v>342</v>
      </c>
      <c r="AN275" s="14" t="s">
        <v>343</v>
      </c>
      <c r="AO275" s="14" t="s">
        <v>344</v>
      </c>
      <c r="AP275" s="14" t="s">
        <v>345</v>
      </c>
      <c r="AQ275" s="14" t="s">
        <v>99</v>
      </c>
      <c r="AR275" s="14" t="s">
        <v>346</v>
      </c>
      <c r="AS275" s="14" t="s">
        <v>347</v>
      </c>
      <c r="AT275" s="14" t="s">
        <v>525</v>
      </c>
      <c r="AU275" s="14">
        <v>2011.0</v>
      </c>
      <c r="AV275" s="14">
        <v>17.0</v>
      </c>
      <c r="AW275" s="14">
        <v>7.0</v>
      </c>
      <c r="AX275" s="14" t="s">
        <v>99</v>
      </c>
      <c r="AY275" s="14" t="s">
        <v>99</v>
      </c>
      <c r="AZ275" s="14" t="s">
        <v>99</v>
      </c>
      <c r="BA275" s="14" t="s">
        <v>99</v>
      </c>
      <c r="BB275" s="14">
        <v>2330.0</v>
      </c>
      <c r="BC275" s="14">
        <v>2341.0</v>
      </c>
      <c r="BD275" s="14" t="s">
        <v>99</v>
      </c>
      <c r="BE275" s="14" t="s">
        <v>5661</v>
      </c>
      <c r="BF275" s="15" t="str">
        <f>HYPERLINK("http://dx.doi.org/10.1111/j.1365-2486.2010.02393.x","http://dx.doi.org/10.1111/j.1365-2486.2010.02393.x")</f>
        <v>http://dx.doi.org/10.1111/j.1365-2486.2010.02393.x</v>
      </c>
      <c r="BG275" s="14" t="s">
        <v>99</v>
      </c>
      <c r="BH275" s="14" t="s">
        <v>99</v>
      </c>
      <c r="BI275" s="14">
        <v>12.0</v>
      </c>
      <c r="BJ275" s="14" t="s">
        <v>351</v>
      </c>
      <c r="BK275" s="14" t="s">
        <v>122</v>
      </c>
      <c r="BL275" s="14" t="s">
        <v>352</v>
      </c>
      <c r="BM275" s="14" t="s">
        <v>5662</v>
      </c>
      <c r="BN275" s="14" t="s">
        <v>99</v>
      </c>
      <c r="BO275" s="14" t="s">
        <v>99</v>
      </c>
      <c r="BP275" s="14" t="s">
        <v>99</v>
      </c>
      <c r="BQ275" s="14" t="s">
        <v>99</v>
      </c>
      <c r="BR275" s="14" t="s">
        <v>124</v>
      </c>
      <c r="BS275" s="14" t="s">
        <v>5663</v>
      </c>
      <c r="BT275" s="14" t="str">
        <f>HYPERLINK("https%3A%2F%2Fwww.webofscience.com%2Fwos%2Fwoscc%2Ffull-record%2FWOS:000291221000006","View Full Record in Web of Science")</f>
        <v>View Full Record in Web of Science</v>
      </c>
    </row>
    <row r="276" ht="12.75" customHeight="1">
      <c r="A276" s="14" t="s">
        <v>97</v>
      </c>
      <c r="B276" s="14" t="s">
        <v>5664</v>
      </c>
      <c r="C276" s="14" t="s">
        <v>99</v>
      </c>
      <c r="D276" s="14" t="s">
        <v>99</v>
      </c>
      <c r="E276" s="14" t="s">
        <v>99</v>
      </c>
      <c r="F276" s="14" t="s">
        <v>5665</v>
      </c>
      <c r="G276" s="14" t="s">
        <v>99</v>
      </c>
      <c r="H276" s="14" t="s">
        <v>99</v>
      </c>
      <c r="I276" s="14" t="s">
        <v>5666</v>
      </c>
      <c r="J276" s="14" t="s">
        <v>5667</v>
      </c>
      <c r="K276" s="14" t="s">
        <v>99</v>
      </c>
      <c r="L276" s="14" t="s">
        <v>99</v>
      </c>
      <c r="M276" s="14" t="s">
        <v>103</v>
      </c>
      <c r="N276" s="14" t="s">
        <v>104</v>
      </c>
      <c r="O276" s="14" t="s">
        <v>99</v>
      </c>
      <c r="P276" s="14" t="s">
        <v>99</v>
      </c>
      <c r="Q276" s="14" t="s">
        <v>99</v>
      </c>
      <c r="R276" s="14" t="s">
        <v>99</v>
      </c>
      <c r="S276" s="14" t="s">
        <v>99</v>
      </c>
      <c r="T276" s="14" t="s">
        <v>5668</v>
      </c>
      <c r="U276" s="14" t="s">
        <v>5669</v>
      </c>
      <c r="V276" s="14" t="s">
        <v>5670</v>
      </c>
      <c r="W276" s="14" t="s">
        <v>5671</v>
      </c>
      <c r="X276" s="14" t="s">
        <v>5672</v>
      </c>
      <c r="Y276" s="14" t="s">
        <v>5673</v>
      </c>
      <c r="Z276" s="14" t="s">
        <v>5674</v>
      </c>
      <c r="AA276" s="14" t="s">
        <v>5675</v>
      </c>
      <c r="AB276" s="14" t="s">
        <v>5676</v>
      </c>
      <c r="AC276" s="14" t="s">
        <v>5677</v>
      </c>
      <c r="AD276" s="14" t="s">
        <v>5678</v>
      </c>
      <c r="AE276" s="14" t="s">
        <v>5679</v>
      </c>
      <c r="AF276" s="14" t="s">
        <v>99</v>
      </c>
      <c r="AG276" s="14">
        <v>30.0</v>
      </c>
      <c r="AH276" s="14">
        <v>6.0</v>
      </c>
      <c r="AI276" s="14">
        <v>6.0</v>
      </c>
      <c r="AJ276" s="14">
        <v>0.0</v>
      </c>
      <c r="AK276" s="14">
        <v>23.0</v>
      </c>
      <c r="AL276" s="14" t="s">
        <v>3607</v>
      </c>
      <c r="AM276" s="14" t="s">
        <v>3608</v>
      </c>
      <c r="AN276" s="14" t="s">
        <v>3609</v>
      </c>
      <c r="AO276" s="14" t="s">
        <v>5680</v>
      </c>
      <c r="AP276" s="14" t="s">
        <v>99</v>
      </c>
      <c r="AQ276" s="14" t="s">
        <v>99</v>
      </c>
      <c r="AR276" s="14" t="s">
        <v>5681</v>
      </c>
      <c r="AS276" s="14" t="s">
        <v>5682</v>
      </c>
      <c r="AT276" s="14" t="s">
        <v>525</v>
      </c>
      <c r="AU276" s="14">
        <v>2011.0</v>
      </c>
      <c r="AV276" s="14">
        <v>31.0</v>
      </c>
      <c r="AW276" s="14">
        <v>3.0</v>
      </c>
      <c r="AX276" s="14" t="s">
        <v>99</v>
      </c>
      <c r="AY276" s="14" t="s">
        <v>99</v>
      </c>
      <c r="AZ276" s="14" t="s">
        <v>99</v>
      </c>
      <c r="BA276" s="14" t="s">
        <v>99</v>
      </c>
      <c r="BB276" s="14">
        <v>533.0</v>
      </c>
      <c r="BC276" s="14">
        <v>540.0</v>
      </c>
      <c r="BD276" s="14" t="s">
        <v>99</v>
      </c>
      <c r="BE276" s="14" t="s">
        <v>5683</v>
      </c>
      <c r="BF276" s="15" t="str">
        <f>HYPERLINK("http://dx.doi.org/10.1007/s13593-011-0008-2","http://dx.doi.org/10.1007/s13593-011-0008-2")</f>
        <v>http://dx.doi.org/10.1007/s13593-011-0008-2</v>
      </c>
      <c r="BG276" s="14" t="s">
        <v>99</v>
      </c>
      <c r="BH276" s="14" t="s">
        <v>99</v>
      </c>
      <c r="BI276" s="14">
        <v>8.0</v>
      </c>
      <c r="BJ276" s="14" t="s">
        <v>5684</v>
      </c>
      <c r="BK276" s="14" t="s">
        <v>122</v>
      </c>
      <c r="BL276" s="14" t="s">
        <v>5685</v>
      </c>
      <c r="BM276" s="14" t="s">
        <v>5686</v>
      </c>
      <c r="BN276" s="14" t="s">
        <v>99</v>
      </c>
      <c r="BO276" s="14" t="s">
        <v>425</v>
      </c>
      <c r="BP276" s="14" t="s">
        <v>99</v>
      </c>
      <c r="BQ276" s="14" t="s">
        <v>99</v>
      </c>
      <c r="BR276" s="14" t="s">
        <v>124</v>
      </c>
      <c r="BS276" s="14" t="s">
        <v>5687</v>
      </c>
      <c r="BT276" s="14" t="str">
        <f>HYPERLINK("https%3A%2F%2Fwww.webofscience.com%2Fwos%2Fwoscc%2Ffull-record%2FWOS:000291882200009","View Full Record in Web of Science")</f>
        <v>View Full Record in Web of Science</v>
      </c>
    </row>
    <row r="277" ht="12.75" customHeight="1">
      <c r="A277" s="14" t="s">
        <v>97</v>
      </c>
      <c r="B277" s="14" t="s">
        <v>5688</v>
      </c>
      <c r="C277" s="14" t="s">
        <v>99</v>
      </c>
      <c r="D277" s="14" t="s">
        <v>99</v>
      </c>
      <c r="E277" s="14" t="s">
        <v>99</v>
      </c>
      <c r="F277" s="14" t="s">
        <v>5689</v>
      </c>
      <c r="G277" s="14" t="s">
        <v>99</v>
      </c>
      <c r="H277" s="14" t="s">
        <v>99</v>
      </c>
      <c r="I277" s="14" t="s">
        <v>5690</v>
      </c>
      <c r="J277" s="14" t="s">
        <v>430</v>
      </c>
      <c r="K277" s="14" t="s">
        <v>99</v>
      </c>
      <c r="L277" s="14" t="s">
        <v>99</v>
      </c>
      <c r="M277" s="14" t="s">
        <v>103</v>
      </c>
      <c r="N277" s="14" t="s">
        <v>104</v>
      </c>
      <c r="O277" s="14" t="s">
        <v>99</v>
      </c>
      <c r="P277" s="14" t="s">
        <v>99</v>
      </c>
      <c r="Q277" s="14" t="s">
        <v>99</v>
      </c>
      <c r="R277" s="14" t="s">
        <v>99</v>
      </c>
      <c r="S277" s="14" t="s">
        <v>99</v>
      </c>
      <c r="T277" s="14" t="s">
        <v>5691</v>
      </c>
      <c r="U277" s="14" t="s">
        <v>5692</v>
      </c>
      <c r="V277" s="14" t="s">
        <v>5693</v>
      </c>
      <c r="W277" s="14" t="s">
        <v>5694</v>
      </c>
      <c r="X277" s="14" t="s">
        <v>5695</v>
      </c>
      <c r="Y277" s="14" t="s">
        <v>5696</v>
      </c>
      <c r="Z277" s="14" t="s">
        <v>5697</v>
      </c>
      <c r="AA277" s="14" t="s">
        <v>5698</v>
      </c>
      <c r="AB277" s="14" t="s">
        <v>5699</v>
      </c>
      <c r="AC277" s="14" t="s">
        <v>5700</v>
      </c>
      <c r="AD277" s="14" t="s">
        <v>5700</v>
      </c>
      <c r="AE277" s="14" t="s">
        <v>5701</v>
      </c>
      <c r="AF277" s="14" t="s">
        <v>99</v>
      </c>
      <c r="AG277" s="14">
        <v>49.0</v>
      </c>
      <c r="AH277" s="14">
        <v>9.0</v>
      </c>
      <c r="AI277" s="14">
        <v>14.0</v>
      </c>
      <c r="AJ277" s="14">
        <v>1.0</v>
      </c>
      <c r="AK277" s="14">
        <v>43.0</v>
      </c>
      <c r="AL277" s="14" t="s">
        <v>441</v>
      </c>
      <c r="AM277" s="14" t="s">
        <v>442</v>
      </c>
      <c r="AN277" s="14" t="s">
        <v>443</v>
      </c>
      <c r="AO277" s="14" t="s">
        <v>444</v>
      </c>
      <c r="AP277" s="14" t="s">
        <v>445</v>
      </c>
      <c r="AQ277" s="14" t="s">
        <v>99</v>
      </c>
      <c r="AR277" s="14" t="s">
        <v>446</v>
      </c>
      <c r="AS277" s="14" t="s">
        <v>447</v>
      </c>
      <c r="AT277" s="14" t="s">
        <v>3233</v>
      </c>
      <c r="AU277" s="14">
        <v>2011.0</v>
      </c>
      <c r="AV277" s="14">
        <v>261.0</v>
      </c>
      <c r="AW277" s="14">
        <v>11.0</v>
      </c>
      <c r="AX277" s="14" t="s">
        <v>99</v>
      </c>
      <c r="AY277" s="14" t="s">
        <v>99</v>
      </c>
      <c r="AZ277" s="14" t="s">
        <v>99</v>
      </c>
      <c r="BA277" s="14" t="s">
        <v>99</v>
      </c>
      <c r="BB277" s="14">
        <v>1892.0</v>
      </c>
      <c r="BC277" s="14">
        <v>1900.0</v>
      </c>
      <c r="BD277" s="14" t="s">
        <v>99</v>
      </c>
      <c r="BE277" s="14" t="s">
        <v>5702</v>
      </c>
      <c r="BF277" s="15" t="str">
        <f>HYPERLINK("http://dx.doi.org/10.1016/j.foreco.2011.02.012","http://dx.doi.org/10.1016/j.foreco.2011.02.012")</f>
        <v>http://dx.doi.org/10.1016/j.foreco.2011.02.012</v>
      </c>
      <c r="BG277" s="14" t="s">
        <v>99</v>
      </c>
      <c r="BH277" s="14" t="s">
        <v>99</v>
      </c>
      <c r="BI277" s="14">
        <v>9.0</v>
      </c>
      <c r="BJ277" s="14" t="s">
        <v>281</v>
      </c>
      <c r="BK277" s="14" t="s">
        <v>122</v>
      </c>
      <c r="BL277" s="14" t="s">
        <v>281</v>
      </c>
      <c r="BM277" s="14" t="s">
        <v>5703</v>
      </c>
      <c r="BN277" s="14" t="s">
        <v>99</v>
      </c>
      <c r="BO277" s="14" t="s">
        <v>238</v>
      </c>
      <c r="BP277" s="14" t="s">
        <v>99</v>
      </c>
      <c r="BQ277" s="14" t="s">
        <v>99</v>
      </c>
      <c r="BR277" s="14" t="s">
        <v>124</v>
      </c>
      <c r="BS277" s="14" t="s">
        <v>5704</v>
      </c>
      <c r="BT277" s="14" t="str">
        <f>HYPERLINK("https%3A%2F%2Fwww.webofscience.com%2Fwos%2Fwoscc%2Ffull-record%2FWOS:000291125700019","View Full Record in Web of Science")</f>
        <v>View Full Record in Web of Science</v>
      </c>
    </row>
    <row r="278" ht="12.75" customHeight="1">
      <c r="A278" s="14" t="s">
        <v>97</v>
      </c>
      <c r="B278" s="14" t="s">
        <v>5705</v>
      </c>
      <c r="C278" s="14" t="s">
        <v>99</v>
      </c>
      <c r="D278" s="14" t="s">
        <v>99</v>
      </c>
      <c r="E278" s="14" t="s">
        <v>99</v>
      </c>
      <c r="F278" s="14" t="s">
        <v>5706</v>
      </c>
      <c r="G278" s="14" t="s">
        <v>99</v>
      </c>
      <c r="H278" s="14" t="s">
        <v>99</v>
      </c>
      <c r="I278" s="14" t="s">
        <v>5707</v>
      </c>
      <c r="J278" s="14" t="s">
        <v>5708</v>
      </c>
      <c r="K278" s="14" t="s">
        <v>99</v>
      </c>
      <c r="L278" s="14" t="s">
        <v>99</v>
      </c>
      <c r="M278" s="14" t="s">
        <v>103</v>
      </c>
      <c r="N278" s="14" t="s">
        <v>104</v>
      </c>
      <c r="O278" s="14" t="s">
        <v>99</v>
      </c>
      <c r="P278" s="14" t="s">
        <v>99</v>
      </c>
      <c r="Q278" s="14" t="s">
        <v>99</v>
      </c>
      <c r="R278" s="14" t="s">
        <v>99</v>
      </c>
      <c r="S278" s="14" t="s">
        <v>99</v>
      </c>
      <c r="T278" s="14" t="s">
        <v>5709</v>
      </c>
      <c r="U278" s="14" t="s">
        <v>5710</v>
      </c>
      <c r="V278" s="14" t="s">
        <v>5711</v>
      </c>
      <c r="W278" s="14" t="s">
        <v>5712</v>
      </c>
      <c r="X278" s="14" t="s">
        <v>5713</v>
      </c>
      <c r="Y278" s="14" t="s">
        <v>5714</v>
      </c>
      <c r="Z278" s="14" t="s">
        <v>5715</v>
      </c>
      <c r="AA278" s="14" t="s">
        <v>5716</v>
      </c>
      <c r="AB278" s="14" t="s">
        <v>99</v>
      </c>
      <c r="AC278" s="14" t="s">
        <v>5717</v>
      </c>
      <c r="AD278" s="14" t="s">
        <v>5717</v>
      </c>
      <c r="AE278" s="14" t="s">
        <v>5718</v>
      </c>
      <c r="AF278" s="14" t="s">
        <v>99</v>
      </c>
      <c r="AG278" s="14">
        <v>41.0</v>
      </c>
      <c r="AH278" s="14">
        <v>20.0</v>
      </c>
      <c r="AI278" s="14">
        <v>22.0</v>
      </c>
      <c r="AJ278" s="14">
        <v>0.0</v>
      </c>
      <c r="AK278" s="14">
        <v>35.0</v>
      </c>
      <c r="AL278" s="14" t="s">
        <v>341</v>
      </c>
      <c r="AM278" s="14" t="s">
        <v>342</v>
      </c>
      <c r="AN278" s="14" t="s">
        <v>343</v>
      </c>
      <c r="AO278" s="14" t="s">
        <v>5719</v>
      </c>
      <c r="AP278" s="14" t="s">
        <v>5720</v>
      </c>
      <c r="AQ278" s="14" t="s">
        <v>99</v>
      </c>
      <c r="AR278" s="14" t="s">
        <v>5721</v>
      </c>
      <c r="AS278" s="14" t="s">
        <v>5722</v>
      </c>
      <c r="AT278" s="14" t="s">
        <v>616</v>
      </c>
      <c r="AU278" s="14">
        <v>2011.0</v>
      </c>
      <c r="AV278" s="14">
        <v>49.0</v>
      </c>
      <c r="AW278" s="14">
        <v>2.0</v>
      </c>
      <c r="AX278" s="14" t="s">
        <v>99</v>
      </c>
      <c r="AY278" s="14" t="s">
        <v>99</v>
      </c>
      <c r="AZ278" s="14" t="s">
        <v>99</v>
      </c>
      <c r="BA278" s="14" t="s">
        <v>99</v>
      </c>
      <c r="BB278" s="14">
        <v>141.0</v>
      </c>
      <c r="BC278" s="14">
        <v>149.0</v>
      </c>
      <c r="BD278" s="14" t="s">
        <v>99</v>
      </c>
      <c r="BE278" s="14" t="s">
        <v>5723</v>
      </c>
      <c r="BF278" s="15" t="str">
        <f>HYPERLINK("http://dx.doi.org/10.1111/j.1365-2028.2010.01239.x","http://dx.doi.org/10.1111/j.1365-2028.2010.01239.x")</f>
        <v>http://dx.doi.org/10.1111/j.1365-2028.2010.01239.x</v>
      </c>
      <c r="BG278" s="14" t="s">
        <v>99</v>
      </c>
      <c r="BH278" s="14" t="s">
        <v>99</v>
      </c>
      <c r="BI278" s="14">
        <v>9.0</v>
      </c>
      <c r="BJ278" s="14" t="s">
        <v>259</v>
      </c>
      <c r="BK278" s="14" t="s">
        <v>122</v>
      </c>
      <c r="BL278" s="14" t="s">
        <v>260</v>
      </c>
      <c r="BM278" s="14" t="s">
        <v>5724</v>
      </c>
      <c r="BN278" s="14" t="s">
        <v>99</v>
      </c>
      <c r="BO278" s="14" t="s">
        <v>238</v>
      </c>
      <c r="BP278" s="14" t="s">
        <v>99</v>
      </c>
      <c r="BQ278" s="14" t="s">
        <v>99</v>
      </c>
      <c r="BR278" s="14" t="s">
        <v>124</v>
      </c>
      <c r="BS278" s="14" t="s">
        <v>5725</v>
      </c>
      <c r="BT278" s="14" t="str">
        <f>HYPERLINK("https%3A%2F%2Fwww.webofscience.com%2Fwos%2Fwoscc%2Ffull-record%2FWOS:000290171900002","View Full Record in Web of Science")</f>
        <v>View Full Record in Web of Science</v>
      </c>
    </row>
    <row r="279" ht="12.75" customHeight="1">
      <c r="A279" s="14" t="s">
        <v>97</v>
      </c>
      <c r="B279" s="14" t="s">
        <v>5726</v>
      </c>
      <c r="C279" s="14" t="s">
        <v>99</v>
      </c>
      <c r="D279" s="14" t="s">
        <v>99</v>
      </c>
      <c r="E279" s="14" t="s">
        <v>99</v>
      </c>
      <c r="F279" s="14" t="s">
        <v>5727</v>
      </c>
      <c r="G279" s="14" t="s">
        <v>99</v>
      </c>
      <c r="H279" s="14" t="s">
        <v>99</v>
      </c>
      <c r="I279" s="14" t="s">
        <v>5728</v>
      </c>
      <c r="J279" s="14" t="s">
        <v>3842</v>
      </c>
      <c r="K279" s="14" t="s">
        <v>99</v>
      </c>
      <c r="L279" s="14" t="s">
        <v>99</v>
      </c>
      <c r="M279" s="14" t="s">
        <v>103</v>
      </c>
      <c r="N279" s="14" t="s">
        <v>104</v>
      </c>
      <c r="O279" s="14" t="s">
        <v>99</v>
      </c>
      <c r="P279" s="14" t="s">
        <v>99</v>
      </c>
      <c r="Q279" s="14" t="s">
        <v>99</v>
      </c>
      <c r="R279" s="14" t="s">
        <v>99</v>
      </c>
      <c r="S279" s="14" t="s">
        <v>99</v>
      </c>
      <c r="T279" s="14" t="s">
        <v>5729</v>
      </c>
      <c r="U279" s="14" t="s">
        <v>5730</v>
      </c>
      <c r="V279" s="14" t="s">
        <v>5731</v>
      </c>
      <c r="W279" s="14" t="s">
        <v>5732</v>
      </c>
      <c r="X279" s="14" t="s">
        <v>5733</v>
      </c>
      <c r="Y279" s="14" t="s">
        <v>5734</v>
      </c>
      <c r="Z279" s="14" t="s">
        <v>5735</v>
      </c>
      <c r="AA279" s="14" t="s">
        <v>5736</v>
      </c>
      <c r="AB279" s="14" t="s">
        <v>5737</v>
      </c>
      <c r="AC279" s="14" t="s">
        <v>5738</v>
      </c>
      <c r="AD279" s="14" t="s">
        <v>5739</v>
      </c>
      <c r="AE279" s="14" t="s">
        <v>5740</v>
      </c>
      <c r="AF279" s="14" t="s">
        <v>99</v>
      </c>
      <c r="AG279" s="14">
        <v>74.0</v>
      </c>
      <c r="AH279" s="14">
        <v>41.0</v>
      </c>
      <c r="AI279" s="14">
        <v>45.0</v>
      </c>
      <c r="AJ279" s="14">
        <v>2.0</v>
      </c>
      <c r="AK279" s="14">
        <v>75.0</v>
      </c>
      <c r="AL279" s="14" t="s">
        <v>341</v>
      </c>
      <c r="AM279" s="14" t="s">
        <v>342</v>
      </c>
      <c r="AN279" s="14" t="s">
        <v>343</v>
      </c>
      <c r="AO279" s="14" t="s">
        <v>3853</v>
      </c>
      <c r="AP279" s="14" t="s">
        <v>3854</v>
      </c>
      <c r="AQ279" s="14" t="s">
        <v>99</v>
      </c>
      <c r="AR279" s="14" t="s">
        <v>3855</v>
      </c>
      <c r="AS279" s="14" t="s">
        <v>3856</v>
      </c>
      <c r="AT279" s="14" t="s">
        <v>616</v>
      </c>
      <c r="AU279" s="14">
        <v>2011.0</v>
      </c>
      <c r="AV279" s="14">
        <v>14.0</v>
      </c>
      <c r="AW279" s="14">
        <v>3.0</v>
      </c>
      <c r="AX279" s="14" t="s">
        <v>99</v>
      </c>
      <c r="AY279" s="14" t="s">
        <v>99</v>
      </c>
      <c r="AZ279" s="14" t="s">
        <v>99</v>
      </c>
      <c r="BA279" s="14" t="s">
        <v>99</v>
      </c>
      <c r="BB279" s="14">
        <v>271.0</v>
      </c>
      <c r="BC279" s="14">
        <v>282.0</v>
      </c>
      <c r="BD279" s="14" t="s">
        <v>99</v>
      </c>
      <c r="BE279" s="14" t="s">
        <v>5741</v>
      </c>
      <c r="BF279" s="15" t="str">
        <f>HYPERLINK("http://dx.doi.org/10.1111/j.1469-1795.2010.00426.x","http://dx.doi.org/10.1111/j.1469-1795.2010.00426.x")</f>
        <v>http://dx.doi.org/10.1111/j.1469-1795.2010.00426.x</v>
      </c>
      <c r="BG279" s="14" t="s">
        <v>99</v>
      </c>
      <c r="BH279" s="14" t="s">
        <v>99</v>
      </c>
      <c r="BI279" s="14">
        <v>12.0</v>
      </c>
      <c r="BJ279" s="14" t="s">
        <v>550</v>
      </c>
      <c r="BK279" s="14" t="s">
        <v>800</v>
      </c>
      <c r="BL279" s="14" t="s">
        <v>352</v>
      </c>
      <c r="BM279" s="14" t="s">
        <v>5742</v>
      </c>
      <c r="BN279" s="14" t="s">
        <v>99</v>
      </c>
      <c r="BO279" s="14" t="s">
        <v>238</v>
      </c>
      <c r="BP279" s="14" t="s">
        <v>99</v>
      </c>
      <c r="BQ279" s="14" t="s">
        <v>99</v>
      </c>
      <c r="BR279" s="14" t="s">
        <v>124</v>
      </c>
      <c r="BS279" s="14" t="s">
        <v>5743</v>
      </c>
      <c r="BT279" s="14" t="str">
        <f>HYPERLINK("https%3A%2F%2Fwww.webofscience.com%2Fwos%2Fwoscc%2Ffull-record%2FWOS:000291040800011","View Full Record in Web of Science")</f>
        <v>View Full Record in Web of Science</v>
      </c>
    </row>
    <row r="280" ht="12.75" customHeight="1">
      <c r="A280" s="14" t="s">
        <v>97</v>
      </c>
      <c r="B280" s="14" t="s">
        <v>5744</v>
      </c>
      <c r="C280" s="14" t="s">
        <v>99</v>
      </c>
      <c r="D280" s="14" t="s">
        <v>99</v>
      </c>
      <c r="E280" s="14" t="s">
        <v>99</v>
      </c>
      <c r="F280" s="14" t="s">
        <v>5745</v>
      </c>
      <c r="G280" s="14" t="s">
        <v>99</v>
      </c>
      <c r="H280" s="14" t="s">
        <v>99</v>
      </c>
      <c r="I280" s="14" t="s">
        <v>5746</v>
      </c>
      <c r="J280" s="14" t="s">
        <v>5747</v>
      </c>
      <c r="K280" s="14" t="s">
        <v>99</v>
      </c>
      <c r="L280" s="14" t="s">
        <v>99</v>
      </c>
      <c r="M280" s="14" t="s">
        <v>103</v>
      </c>
      <c r="N280" s="14" t="s">
        <v>104</v>
      </c>
      <c r="O280" s="14" t="s">
        <v>99</v>
      </c>
      <c r="P280" s="14" t="s">
        <v>99</v>
      </c>
      <c r="Q280" s="14" t="s">
        <v>99</v>
      </c>
      <c r="R280" s="14" t="s">
        <v>99</v>
      </c>
      <c r="S280" s="14" t="s">
        <v>99</v>
      </c>
      <c r="T280" s="14" t="s">
        <v>5748</v>
      </c>
      <c r="U280" s="14" t="s">
        <v>99</v>
      </c>
      <c r="V280" s="14" t="s">
        <v>5749</v>
      </c>
      <c r="W280" s="14" t="s">
        <v>5750</v>
      </c>
      <c r="X280" s="14" t="s">
        <v>5751</v>
      </c>
      <c r="Y280" s="14" t="s">
        <v>5752</v>
      </c>
      <c r="Z280" s="14" t="s">
        <v>5753</v>
      </c>
      <c r="AA280" s="14" t="s">
        <v>99</v>
      </c>
      <c r="AB280" s="14" t="s">
        <v>99</v>
      </c>
      <c r="AC280" s="14" t="s">
        <v>99</v>
      </c>
      <c r="AD280" s="14" t="s">
        <v>99</v>
      </c>
      <c r="AE280" s="14" t="s">
        <v>99</v>
      </c>
      <c r="AF280" s="14" t="s">
        <v>99</v>
      </c>
      <c r="AG280" s="14">
        <v>24.0</v>
      </c>
      <c r="AH280" s="14">
        <v>73.0</v>
      </c>
      <c r="AI280" s="14">
        <v>91.0</v>
      </c>
      <c r="AJ280" s="14">
        <v>1.0</v>
      </c>
      <c r="AK280" s="14">
        <v>79.0</v>
      </c>
      <c r="AL280" s="14" t="s">
        <v>493</v>
      </c>
      <c r="AM280" s="14" t="s">
        <v>468</v>
      </c>
      <c r="AN280" s="14" t="s">
        <v>635</v>
      </c>
      <c r="AO280" s="14" t="s">
        <v>5754</v>
      </c>
      <c r="AP280" s="14" t="s">
        <v>5755</v>
      </c>
      <c r="AQ280" s="14" t="s">
        <v>99</v>
      </c>
      <c r="AR280" s="14" t="s">
        <v>5747</v>
      </c>
      <c r="AS280" s="14" t="s">
        <v>5756</v>
      </c>
      <c r="AT280" s="14" t="s">
        <v>718</v>
      </c>
      <c r="AU280" s="14">
        <v>2011.0</v>
      </c>
      <c r="AV280" s="14">
        <v>36.0</v>
      </c>
      <c r="AW280" s="14">
        <v>2.0</v>
      </c>
      <c r="AX280" s="14" t="s">
        <v>99</v>
      </c>
      <c r="AY280" s="14" t="s">
        <v>99</v>
      </c>
      <c r="AZ280" s="14" t="s">
        <v>99</v>
      </c>
      <c r="BA280" s="14" t="s">
        <v>99</v>
      </c>
      <c r="BB280" s="14">
        <v>186.0</v>
      </c>
      <c r="BC280" s="14">
        <v>196.0</v>
      </c>
      <c r="BD280" s="14" t="s">
        <v>99</v>
      </c>
      <c r="BE280" s="14" t="s">
        <v>5757</v>
      </c>
      <c r="BF280" s="15" t="str">
        <f>HYPERLINK("http://dx.doi.org/10.1016/j.foodpol.2010.11.015","http://dx.doi.org/10.1016/j.foodpol.2010.11.015")</f>
        <v>http://dx.doi.org/10.1016/j.foodpol.2010.11.015</v>
      </c>
      <c r="BG280" s="14" t="s">
        <v>99</v>
      </c>
      <c r="BH280" s="14" t="s">
        <v>99</v>
      </c>
      <c r="BI280" s="14">
        <v>11.0</v>
      </c>
      <c r="BJ280" s="14" t="s">
        <v>5758</v>
      </c>
      <c r="BK280" s="14" t="s">
        <v>800</v>
      </c>
      <c r="BL280" s="14" t="s">
        <v>5759</v>
      </c>
      <c r="BM280" s="14" t="s">
        <v>5760</v>
      </c>
      <c r="BN280" s="14" t="s">
        <v>99</v>
      </c>
      <c r="BO280" s="14" t="s">
        <v>99</v>
      </c>
      <c r="BP280" s="14" t="s">
        <v>99</v>
      </c>
      <c r="BQ280" s="14" t="s">
        <v>99</v>
      </c>
      <c r="BR280" s="14" t="s">
        <v>124</v>
      </c>
      <c r="BS280" s="14" t="s">
        <v>5761</v>
      </c>
      <c r="BT280" s="14" t="str">
        <f>HYPERLINK("https%3A%2F%2Fwww.webofscience.com%2Fwos%2Fwoscc%2Ffull-record%2FWOS:000289340500011","View Full Record in Web of Science")</f>
        <v>View Full Record in Web of Science</v>
      </c>
    </row>
    <row r="281" ht="12.75" customHeight="1">
      <c r="A281" s="14" t="s">
        <v>97</v>
      </c>
      <c r="B281" s="14" t="s">
        <v>5762</v>
      </c>
      <c r="C281" s="14" t="s">
        <v>99</v>
      </c>
      <c r="D281" s="14" t="s">
        <v>99</v>
      </c>
      <c r="E281" s="14" t="s">
        <v>99</v>
      </c>
      <c r="F281" s="14" t="s">
        <v>5763</v>
      </c>
      <c r="G281" s="14" t="s">
        <v>99</v>
      </c>
      <c r="H281" s="14" t="s">
        <v>99</v>
      </c>
      <c r="I281" s="14" t="s">
        <v>5764</v>
      </c>
      <c r="J281" s="14" t="s">
        <v>404</v>
      </c>
      <c r="K281" s="14" t="s">
        <v>99</v>
      </c>
      <c r="L281" s="14" t="s">
        <v>99</v>
      </c>
      <c r="M281" s="14" t="s">
        <v>103</v>
      </c>
      <c r="N281" s="14" t="s">
        <v>104</v>
      </c>
      <c r="O281" s="14" t="s">
        <v>99</v>
      </c>
      <c r="P281" s="14" t="s">
        <v>99</v>
      </c>
      <c r="Q281" s="14" t="s">
        <v>99</v>
      </c>
      <c r="R281" s="14" t="s">
        <v>99</v>
      </c>
      <c r="S281" s="14" t="s">
        <v>99</v>
      </c>
      <c r="T281" s="14" t="s">
        <v>5765</v>
      </c>
      <c r="U281" s="14" t="s">
        <v>5766</v>
      </c>
      <c r="V281" s="14" t="s">
        <v>5767</v>
      </c>
      <c r="W281" s="14" t="s">
        <v>5768</v>
      </c>
      <c r="X281" s="14" t="s">
        <v>5769</v>
      </c>
      <c r="Y281" s="14" t="s">
        <v>5770</v>
      </c>
      <c r="Z281" s="14" t="s">
        <v>5771</v>
      </c>
      <c r="AA281" s="14" t="s">
        <v>99</v>
      </c>
      <c r="AB281" s="14" t="s">
        <v>99</v>
      </c>
      <c r="AC281" s="14" t="s">
        <v>5772</v>
      </c>
      <c r="AD281" s="14" t="s">
        <v>5772</v>
      </c>
      <c r="AE281" s="14" t="s">
        <v>5773</v>
      </c>
      <c r="AF281" s="14" t="s">
        <v>99</v>
      </c>
      <c r="AG281" s="14">
        <v>57.0</v>
      </c>
      <c r="AH281" s="14">
        <v>31.0</v>
      </c>
      <c r="AI281" s="14">
        <v>43.0</v>
      </c>
      <c r="AJ281" s="14">
        <v>1.0</v>
      </c>
      <c r="AK281" s="14">
        <v>55.0</v>
      </c>
      <c r="AL281" s="14" t="s">
        <v>341</v>
      </c>
      <c r="AM281" s="14" t="s">
        <v>342</v>
      </c>
      <c r="AN281" s="14" t="s">
        <v>343</v>
      </c>
      <c r="AO281" s="14" t="s">
        <v>417</v>
      </c>
      <c r="AP281" s="14" t="s">
        <v>418</v>
      </c>
      <c r="AQ281" s="14" t="s">
        <v>99</v>
      </c>
      <c r="AR281" s="14" t="s">
        <v>419</v>
      </c>
      <c r="AS281" s="14" t="s">
        <v>420</v>
      </c>
      <c r="AT281" s="14" t="s">
        <v>718</v>
      </c>
      <c r="AU281" s="14">
        <v>2011.0</v>
      </c>
      <c r="AV281" s="14">
        <v>21.0</v>
      </c>
      <c r="AW281" s="14">
        <v>3.0</v>
      </c>
      <c r="AX281" s="14" t="s">
        <v>99</v>
      </c>
      <c r="AY281" s="14" t="s">
        <v>99</v>
      </c>
      <c r="AZ281" s="14" t="s">
        <v>99</v>
      </c>
      <c r="BA281" s="14" t="s">
        <v>99</v>
      </c>
      <c r="BB281" s="14">
        <v>806.0</v>
      </c>
      <c r="BC281" s="14">
        <v>816.0</v>
      </c>
      <c r="BD281" s="14" t="s">
        <v>99</v>
      </c>
      <c r="BE281" s="14" t="s">
        <v>5774</v>
      </c>
      <c r="BF281" s="15" t="str">
        <f>HYPERLINK("http://dx.doi.org/10.1890/10-0715.1","http://dx.doi.org/10.1890/10-0715.1")</f>
        <v>http://dx.doi.org/10.1890/10-0715.1</v>
      </c>
      <c r="BG281" s="14" t="s">
        <v>99</v>
      </c>
      <c r="BH281" s="14" t="s">
        <v>99</v>
      </c>
      <c r="BI281" s="14">
        <v>11.0</v>
      </c>
      <c r="BJ281" s="14" t="s">
        <v>423</v>
      </c>
      <c r="BK281" s="14" t="s">
        <v>122</v>
      </c>
      <c r="BL281" s="14" t="s">
        <v>260</v>
      </c>
      <c r="BM281" s="14" t="s">
        <v>5775</v>
      </c>
      <c r="BN281" s="14">
        <v>2.1639046E7</v>
      </c>
      <c r="BO281" s="14" t="s">
        <v>99</v>
      </c>
      <c r="BP281" s="14" t="s">
        <v>99</v>
      </c>
      <c r="BQ281" s="14" t="s">
        <v>99</v>
      </c>
      <c r="BR281" s="14" t="s">
        <v>124</v>
      </c>
      <c r="BS281" s="14" t="s">
        <v>5776</v>
      </c>
      <c r="BT281" s="14" t="str">
        <f>HYPERLINK("https%3A%2F%2Fwww.webofscience.com%2Fwos%2Fwoscc%2Ffull-record%2FWOS:000290661300014","View Full Record in Web of Science")</f>
        <v>View Full Record in Web of Science</v>
      </c>
    </row>
    <row r="282" ht="12.75" customHeight="1">
      <c r="A282" s="14" t="s">
        <v>97</v>
      </c>
      <c r="B282" s="14" t="s">
        <v>5777</v>
      </c>
      <c r="C282" s="14" t="s">
        <v>99</v>
      </c>
      <c r="D282" s="14" t="s">
        <v>99</v>
      </c>
      <c r="E282" s="14" t="s">
        <v>99</v>
      </c>
      <c r="F282" s="14" t="s">
        <v>5778</v>
      </c>
      <c r="G282" s="14" t="s">
        <v>99</v>
      </c>
      <c r="H282" s="14" t="s">
        <v>99</v>
      </c>
      <c r="I282" s="14" t="s">
        <v>5779</v>
      </c>
      <c r="J282" s="14" t="s">
        <v>5780</v>
      </c>
      <c r="K282" s="14" t="s">
        <v>99</v>
      </c>
      <c r="L282" s="14" t="s">
        <v>99</v>
      </c>
      <c r="M282" s="14" t="s">
        <v>103</v>
      </c>
      <c r="N282" s="14" t="s">
        <v>104</v>
      </c>
      <c r="O282" s="14" t="s">
        <v>99</v>
      </c>
      <c r="P282" s="14" t="s">
        <v>99</v>
      </c>
      <c r="Q282" s="14" t="s">
        <v>99</v>
      </c>
      <c r="R282" s="14" t="s">
        <v>99</v>
      </c>
      <c r="S282" s="14" t="s">
        <v>99</v>
      </c>
      <c r="T282" s="14" t="s">
        <v>99</v>
      </c>
      <c r="U282" s="14" t="s">
        <v>5781</v>
      </c>
      <c r="V282" s="14" t="s">
        <v>5782</v>
      </c>
      <c r="W282" s="14" t="s">
        <v>5783</v>
      </c>
      <c r="X282" s="14" t="s">
        <v>5784</v>
      </c>
      <c r="Y282" s="14" t="s">
        <v>5785</v>
      </c>
      <c r="Z282" s="14" t="s">
        <v>2363</v>
      </c>
      <c r="AA282" s="14" t="s">
        <v>5786</v>
      </c>
      <c r="AB282" s="14" t="s">
        <v>5787</v>
      </c>
      <c r="AC282" s="14" t="s">
        <v>5788</v>
      </c>
      <c r="AD282" s="14" t="s">
        <v>5789</v>
      </c>
      <c r="AE282" s="14" t="s">
        <v>5790</v>
      </c>
      <c r="AF282" s="14" t="s">
        <v>99</v>
      </c>
      <c r="AG282" s="14">
        <v>102.0</v>
      </c>
      <c r="AH282" s="14">
        <v>250.0</v>
      </c>
      <c r="AI282" s="14">
        <v>297.0</v>
      </c>
      <c r="AJ282" s="14">
        <v>7.0</v>
      </c>
      <c r="AK282" s="14">
        <v>306.0</v>
      </c>
      <c r="AL282" s="14" t="s">
        <v>982</v>
      </c>
      <c r="AM282" s="14" t="s">
        <v>789</v>
      </c>
      <c r="AN282" s="14" t="s">
        <v>983</v>
      </c>
      <c r="AO282" s="14" t="s">
        <v>5791</v>
      </c>
      <c r="AP282" s="14" t="s">
        <v>5792</v>
      </c>
      <c r="AQ282" s="14" t="s">
        <v>99</v>
      </c>
      <c r="AR282" s="14" t="s">
        <v>5793</v>
      </c>
      <c r="AS282" s="14" t="s">
        <v>5794</v>
      </c>
      <c r="AT282" s="14" t="s">
        <v>5795</v>
      </c>
      <c r="AU282" s="14">
        <v>2011.0</v>
      </c>
      <c r="AV282" s="14">
        <v>25.0</v>
      </c>
      <c r="AW282" s="14" t="s">
        <v>99</v>
      </c>
      <c r="AX282" s="14" t="s">
        <v>99</v>
      </c>
      <c r="AY282" s="14" t="s">
        <v>99</v>
      </c>
      <c r="AZ282" s="14" t="s">
        <v>99</v>
      </c>
      <c r="BA282" s="14" t="s">
        <v>99</v>
      </c>
      <c r="BB282" s="14" t="s">
        <v>99</v>
      </c>
      <c r="BC282" s="14" t="s">
        <v>99</v>
      </c>
      <c r="BD282" s="14" t="s">
        <v>5796</v>
      </c>
      <c r="BE282" s="14" t="s">
        <v>5797</v>
      </c>
      <c r="BF282" s="15" t="str">
        <f>HYPERLINK("http://dx.doi.org/10.1029/2010GB003838","http://dx.doi.org/10.1029/2010GB003838")</f>
        <v>http://dx.doi.org/10.1029/2010GB003838</v>
      </c>
      <c r="BG282" s="14" t="s">
        <v>99</v>
      </c>
      <c r="BH282" s="14" t="s">
        <v>99</v>
      </c>
      <c r="BI282" s="14">
        <v>16.0</v>
      </c>
      <c r="BJ282" s="14" t="s">
        <v>5798</v>
      </c>
      <c r="BK282" s="14" t="s">
        <v>122</v>
      </c>
      <c r="BL282" s="14" t="s">
        <v>5799</v>
      </c>
      <c r="BM282" s="14" t="s">
        <v>5800</v>
      </c>
      <c r="BN282" s="14" t="s">
        <v>99</v>
      </c>
      <c r="BO282" s="14" t="s">
        <v>425</v>
      </c>
      <c r="BP282" s="14" t="s">
        <v>99</v>
      </c>
      <c r="BQ282" s="14" t="s">
        <v>99</v>
      </c>
      <c r="BR282" s="14" t="s">
        <v>124</v>
      </c>
      <c r="BS282" s="14" t="s">
        <v>5801</v>
      </c>
      <c r="BT282" s="14" t="str">
        <f>HYPERLINK("https%3A%2F%2Fwww.webofscience.com%2Fwos%2Fwoscc%2Ffull-record%2FWOS:000289085400001","View Full Record in Web of Science")</f>
        <v>View Full Record in Web of Science</v>
      </c>
    </row>
    <row r="283" ht="12.75" customHeight="1">
      <c r="A283" s="14" t="s">
        <v>97</v>
      </c>
      <c r="B283" s="14" t="s">
        <v>5802</v>
      </c>
      <c r="C283" s="14" t="s">
        <v>99</v>
      </c>
      <c r="D283" s="14" t="s">
        <v>99</v>
      </c>
      <c r="E283" s="14" t="s">
        <v>99</v>
      </c>
      <c r="F283" s="14" t="s">
        <v>5803</v>
      </c>
      <c r="G283" s="14" t="s">
        <v>99</v>
      </c>
      <c r="H283" s="14" t="s">
        <v>99</v>
      </c>
      <c r="I283" s="14" t="s">
        <v>5804</v>
      </c>
      <c r="J283" s="14" t="s">
        <v>776</v>
      </c>
      <c r="K283" s="14" t="s">
        <v>99</v>
      </c>
      <c r="L283" s="14" t="s">
        <v>99</v>
      </c>
      <c r="M283" s="14" t="s">
        <v>103</v>
      </c>
      <c r="N283" s="14" t="s">
        <v>104</v>
      </c>
      <c r="O283" s="14" t="s">
        <v>99</v>
      </c>
      <c r="P283" s="14" t="s">
        <v>99</v>
      </c>
      <c r="Q283" s="14" t="s">
        <v>99</v>
      </c>
      <c r="R283" s="14" t="s">
        <v>99</v>
      </c>
      <c r="S283" s="14" t="s">
        <v>99</v>
      </c>
      <c r="T283" s="14" t="s">
        <v>5805</v>
      </c>
      <c r="U283" s="14" t="s">
        <v>5806</v>
      </c>
      <c r="V283" s="14" t="s">
        <v>5807</v>
      </c>
      <c r="W283" s="14" t="s">
        <v>5808</v>
      </c>
      <c r="X283" s="14" t="s">
        <v>5809</v>
      </c>
      <c r="Y283" s="14" t="s">
        <v>5810</v>
      </c>
      <c r="Z283" s="14" t="s">
        <v>5811</v>
      </c>
      <c r="AA283" s="14" t="s">
        <v>5812</v>
      </c>
      <c r="AB283" s="14" t="s">
        <v>5813</v>
      </c>
      <c r="AC283" s="14" t="s">
        <v>5814</v>
      </c>
      <c r="AD283" s="14" t="s">
        <v>5815</v>
      </c>
      <c r="AE283" s="14" t="s">
        <v>5816</v>
      </c>
      <c r="AF283" s="14" t="s">
        <v>99</v>
      </c>
      <c r="AG283" s="14">
        <v>95.0</v>
      </c>
      <c r="AH283" s="14">
        <v>2177.0</v>
      </c>
      <c r="AI283" s="14">
        <v>2570.0</v>
      </c>
      <c r="AJ283" s="14">
        <v>34.0</v>
      </c>
      <c r="AK283" s="14">
        <v>1443.0</v>
      </c>
      <c r="AL283" s="14" t="s">
        <v>788</v>
      </c>
      <c r="AM283" s="14" t="s">
        <v>789</v>
      </c>
      <c r="AN283" s="14" t="s">
        <v>790</v>
      </c>
      <c r="AO283" s="14" t="s">
        <v>791</v>
      </c>
      <c r="AP283" s="14" t="s">
        <v>99</v>
      </c>
      <c r="AQ283" s="14" t="s">
        <v>99</v>
      </c>
      <c r="AR283" s="14" t="s">
        <v>793</v>
      </c>
      <c r="AS283" s="14" t="s">
        <v>794</v>
      </c>
      <c r="AT283" s="14" t="s">
        <v>5817</v>
      </c>
      <c r="AU283" s="14">
        <v>2011.0</v>
      </c>
      <c r="AV283" s="14">
        <v>108.0</v>
      </c>
      <c r="AW283" s="14">
        <v>9.0</v>
      </c>
      <c r="AX283" s="14" t="s">
        <v>99</v>
      </c>
      <c r="AY283" s="14" t="s">
        <v>99</v>
      </c>
      <c r="AZ283" s="14" t="s">
        <v>99</v>
      </c>
      <c r="BA283" s="14" t="s">
        <v>99</v>
      </c>
      <c r="BB283" s="14">
        <v>3465.0</v>
      </c>
      <c r="BC283" s="14">
        <v>3472.0</v>
      </c>
      <c r="BD283" s="14" t="s">
        <v>99</v>
      </c>
      <c r="BE283" s="14" t="s">
        <v>5818</v>
      </c>
      <c r="BF283" s="15" t="str">
        <f>HYPERLINK("http://dx.doi.org/10.1073/pnas.1100480108","http://dx.doi.org/10.1073/pnas.1100480108")</f>
        <v>http://dx.doi.org/10.1073/pnas.1100480108</v>
      </c>
      <c r="BG283" s="14" t="s">
        <v>99</v>
      </c>
      <c r="BH283" s="14" t="s">
        <v>99</v>
      </c>
      <c r="BI283" s="14">
        <v>8.0</v>
      </c>
      <c r="BJ283" s="14" t="s">
        <v>799</v>
      </c>
      <c r="BK283" s="14" t="s">
        <v>800</v>
      </c>
      <c r="BL283" s="14" t="s">
        <v>801</v>
      </c>
      <c r="BM283" s="14" t="s">
        <v>5819</v>
      </c>
      <c r="BN283" s="14">
        <v>2.1321211E7</v>
      </c>
      <c r="BO283" s="14" t="s">
        <v>99</v>
      </c>
      <c r="BP283" s="14" t="s">
        <v>99</v>
      </c>
      <c r="BQ283" s="14" t="s">
        <v>99</v>
      </c>
      <c r="BR283" s="14" t="s">
        <v>124</v>
      </c>
      <c r="BS283" s="14" t="s">
        <v>5820</v>
      </c>
      <c r="BT283" s="14" t="str">
        <f>HYPERLINK("https%3A%2F%2Fwww.webofscience.com%2Fwos%2Fwoscc%2Ffull-record%2FWOS:000287844400010","View Full Record in Web of Science")</f>
        <v>View Full Record in Web of Science</v>
      </c>
    </row>
    <row r="284" ht="12.75" customHeight="1">
      <c r="A284" s="14" t="s">
        <v>97</v>
      </c>
      <c r="B284" s="14" t="s">
        <v>5821</v>
      </c>
      <c r="C284" s="14" t="s">
        <v>99</v>
      </c>
      <c r="D284" s="14" t="s">
        <v>99</v>
      </c>
      <c r="E284" s="14" t="s">
        <v>99</v>
      </c>
      <c r="F284" s="14" t="s">
        <v>5822</v>
      </c>
      <c r="G284" s="14" t="s">
        <v>99</v>
      </c>
      <c r="H284" s="14" t="s">
        <v>99</v>
      </c>
      <c r="I284" s="14" t="s">
        <v>5823</v>
      </c>
      <c r="J284" s="14" t="s">
        <v>5708</v>
      </c>
      <c r="K284" s="14" t="s">
        <v>99</v>
      </c>
      <c r="L284" s="14" t="s">
        <v>99</v>
      </c>
      <c r="M284" s="14" t="s">
        <v>103</v>
      </c>
      <c r="N284" s="14" t="s">
        <v>104</v>
      </c>
      <c r="O284" s="14" t="s">
        <v>99</v>
      </c>
      <c r="P284" s="14" t="s">
        <v>99</v>
      </c>
      <c r="Q284" s="14" t="s">
        <v>99</v>
      </c>
      <c r="R284" s="14" t="s">
        <v>99</v>
      </c>
      <c r="S284" s="14" t="s">
        <v>99</v>
      </c>
      <c r="T284" s="14" t="s">
        <v>5824</v>
      </c>
      <c r="U284" s="14" t="s">
        <v>5825</v>
      </c>
      <c r="V284" s="14" t="s">
        <v>5826</v>
      </c>
      <c r="W284" s="14" t="s">
        <v>5827</v>
      </c>
      <c r="X284" s="14" t="s">
        <v>5828</v>
      </c>
      <c r="Y284" s="14" t="s">
        <v>5829</v>
      </c>
      <c r="Z284" s="14" t="s">
        <v>5830</v>
      </c>
      <c r="AA284" s="14" t="s">
        <v>99</v>
      </c>
      <c r="AB284" s="14" t="s">
        <v>99</v>
      </c>
      <c r="AC284" s="14" t="s">
        <v>5831</v>
      </c>
      <c r="AD284" s="14" t="s">
        <v>5832</v>
      </c>
      <c r="AE284" s="14" t="s">
        <v>5833</v>
      </c>
      <c r="AF284" s="14" t="s">
        <v>99</v>
      </c>
      <c r="AG284" s="14">
        <v>61.0</v>
      </c>
      <c r="AH284" s="14">
        <v>32.0</v>
      </c>
      <c r="AI284" s="14">
        <v>36.0</v>
      </c>
      <c r="AJ284" s="14">
        <v>0.0</v>
      </c>
      <c r="AK284" s="14">
        <v>49.0</v>
      </c>
      <c r="AL284" s="14" t="s">
        <v>341</v>
      </c>
      <c r="AM284" s="14" t="s">
        <v>342</v>
      </c>
      <c r="AN284" s="14" t="s">
        <v>343</v>
      </c>
      <c r="AO284" s="14" t="s">
        <v>5719</v>
      </c>
      <c r="AP284" s="14" t="s">
        <v>5720</v>
      </c>
      <c r="AQ284" s="14" t="s">
        <v>99</v>
      </c>
      <c r="AR284" s="14" t="s">
        <v>5721</v>
      </c>
      <c r="AS284" s="14" t="s">
        <v>5722</v>
      </c>
      <c r="AT284" s="14" t="s">
        <v>1485</v>
      </c>
      <c r="AU284" s="14">
        <v>2011.0</v>
      </c>
      <c r="AV284" s="14">
        <v>49.0</v>
      </c>
      <c r="AW284" s="14">
        <v>1.0</v>
      </c>
      <c r="AX284" s="14" t="s">
        <v>99</v>
      </c>
      <c r="AY284" s="14" t="s">
        <v>99</v>
      </c>
      <c r="AZ284" s="14" t="s">
        <v>99</v>
      </c>
      <c r="BA284" s="14" t="s">
        <v>99</v>
      </c>
      <c r="BB284" s="14">
        <v>70.0</v>
      </c>
      <c r="BC284" s="14">
        <v>80.0</v>
      </c>
      <c r="BD284" s="14" t="s">
        <v>99</v>
      </c>
      <c r="BE284" s="14" t="s">
        <v>5834</v>
      </c>
      <c r="BF284" s="15" t="str">
        <f>HYPERLINK("http://dx.doi.org/10.1111/j.1365-2028.2010.01229.x","http://dx.doi.org/10.1111/j.1365-2028.2010.01229.x")</f>
        <v>http://dx.doi.org/10.1111/j.1365-2028.2010.01229.x</v>
      </c>
      <c r="BG284" s="14" t="s">
        <v>99</v>
      </c>
      <c r="BH284" s="14" t="s">
        <v>99</v>
      </c>
      <c r="BI284" s="14">
        <v>11.0</v>
      </c>
      <c r="BJ284" s="14" t="s">
        <v>259</v>
      </c>
      <c r="BK284" s="14" t="s">
        <v>122</v>
      </c>
      <c r="BL284" s="14" t="s">
        <v>260</v>
      </c>
      <c r="BM284" s="14" t="s">
        <v>5835</v>
      </c>
      <c r="BN284" s="14" t="s">
        <v>99</v>
      </c>
      <c r="BO284" s="14" t="s">
        <v>99</v>
      </c>
      <c r="BP284" s="14" t="s">
        <v>99</v>
      </c>
      <c r="BQ284" s="14" t="s">
        <v>99</v>
      </c>
      <c r="BR284" s="14" t="s">
        <v>124</v>
      </c>
      <c r="BS284" s="14" t="s">
        <v>5836</v>
      </c>
      <c r="BT284" s="14" t="str">
        <f>HYPERLINK("https%3A%2F%2Fwww.webofscience.com%2Fwos%2Fwoscc%2Ffull-record%2FWOS:000287094000009","View Full Record in Web of Science")</f>
        <v>View Full Record in Web of Science</v>
      </c>
    </row>
    <row r="285" ht="12.75" customHeight="1">
      <c r="A285" s="14" t="s">
        <v>97</v>
      </c>
      <c r="B285" s="14" t="s">
        <v>5837</v>
      </c>
      <c r="C285" s="14" t="s">
        <v>99</v>
      </c>
      <c r="D285" s="14" t="s">
        <v>99</v>
      </c>
      <c r="E285" s="14" t="s">
        <v>99</v>
      </c>
      <c r="F285" s="14" t="s">
        <v>5838</v>
      </c>
      <c r="G285" s="14" t="s">
        <v>99</v>
      </c>
      <c r="H285" s="14" t="s">
        <v>99</v>
      </c>
      <c r="I285" s="14" t="s">
        <v>5839</v>
      </c>
      <c r="J285" s="14" t="s">
        <v>5840</v>
      </c>
      <c r="K285" s="14" t="s">
        <v>99</v>
      </c>
      <c r="L285" s="14" t="s">
        <v>99</v>
      </c>
      <c r="M285" s="14" t="s">
        <v>103</v>
      </c>
      <c r="N285" s="14" t="s">
        <v>104</v>
      </c>
      <c r="O285" s="14" t="s">
        <v>99</v>
      </c>
      <c r="P285" s="14" t="s">
        <v>99</v>
      </c>
      <c r="Q285" s="14" t="s">
        <v>99</v>
      </c>
      <c r="R285" s="14" t="s">
        <v>99</v>
      </c>
      <c r="S285" s="14" t="s">
        <v>99</v>
      </c>
      <c r="T285" s="14" t="s">
        <v>99</v>
      </c>
      <c r="U285" s="14" t="s">
        <v>5841</v>
      </c>
      <c r="V285" s="14" t="s">
        <v>5842</v>
      </c>
      <c r="W285" s="14" t="s">
        <v>5843</v>
      </c>
      <c r="X285" s="14" t="s">
        <v>5844</v>
      </c>
      <c r="Y285" s="14" t="s">
        <v>5845</v>
      </c>
      <c r="Z285" s="14" t="s">
        <v>5846</v>
      </c>
      <c r="AA285" s="14" t="s">
        <v>5847</v>
      </c>
      <c r="AB285" s="14" t="s">
        <v>5848</v>
      </c>
      <c r="AC285" s="14" t="s">
        <v>5849</v>
      </c>
      <c r="AD285" s="14" t="s">
        <v>5850</v>
      </c>
      <c r="AE285" s="14" t="s">
        <v>5851</v>
      </c>
      <c r="AF285" s="14" t="s">
        <v>99</v>
      </c>
      <c r="AG285" s="14">
        <v>30.0</v>
      </c>
      <c r="AH285" s="14">
        <v>104.0</v>
      </c>
      <c r="AI285" s="14">
        <v>117.0</v>
      </c>
      <c r="AJ285" s="14">
        <v>1.0</v>
      </c>
      <c r="AK285" s="14">
        <v>55.0</v>
      </c>
      <c r="AL285" s="14" t="s">
        <v>1326</v>
      </c>
      <c r="AM285" s="14" t="s">
        <v>1594</v>
      </c>
      <c r="AN285" s="14" t="s">
        <v>5852</v>
      </c>
      <c r="AO285" s="14" t="s">
        <v>5853</v>
      </c>
      <c r="AP285" s="14" t="s">
        <v>5854</v>
      </c>
      <c r="AQ285" s="14" t="s">
        <v>99</v>
      </c>
      <c r="AR285" s="14" t="s">
        <v>5855</v>
      </c>
      <c r="AS285" s="14" t="s">
        <v>5856</v>
      </c>
      <c r="AT285" s="14" t="s">
        <v>280</v>
      </c>
      <c r="AU285" s="14">
        <v>2011.0</v>
      </c>
      <c r="AV285" s="14">
        <v>4.0</v>
      </c>
      <c r="AW285" s="14">
        <v>2.0</v>
      </c>
      <c r="AX285" s="14" t="s">
        <v>99</v>
      </c>
      <c r="AY285" s="14" t="s">
        <v>99</v>
      </c>
      <c r="AZ285" s="14" t="s">
        <v>99</v>
      </c>
      <c r="BA285" s="14" t="s">
        <v>99</v>
      </c>
      <c r="BB285" s="14">
        <v>99.0</v>
      </c>
      <c r="BC285" s="14">
        <v>103.0</v>
      </c>
      <c r="BD285" s="14" t="s">
        <v>99</v>
      </c>
      <c r="BE285" s="14" t="s">
        <v>5857</v>
      </c>
      <c r="BF285" s="15" t="str">
        <f>HYPERLINK("http://dx.doi.org/10.1038/NGEO1057","http://dx.doi.org/10.1038/NGEO1057")</f>
        <v>http://dx.doi.org/10.1038/NGEO1057</v>
      </c>
      <c r="BG285" s="14" t="s">
        <v>99</v>
      </c>
      <c r="BH285" s="14" t="s">
        <v>99</v>
      </c>
      <c r="BI285" s="14">
        <v>5.0</v>
      </c>
      <c r="BJ285" s="14" t="s">
        <v>990</v>
      </c>
      <c r="BK285" s="14" t="s">
        <v>122</v>
      </c>
      <c r="BL285" s="14" t="s">
        <v>991</v>
      </c>
      <c r="BM285" s="14" t="s">
        <v>5858</v>
      </c>
      <c r="BN285" s="14" t="s">
        <v>99</v>
      </c>
      <c r="BO285" s="14" t="s">
        <v>425</v>
      </c>
      <c r="BP285" s="14" t="s">
        <v>99</v>
      </c>
      <c r="BQ285" s="14" t="s">
        <v>99</v>
      </c>
      <c r="BR285" s="14" t="s">
        <v>124</v>
      </c>
      <c r="BS285" s="14" t="s">
        <v>5859</v>
      </c>
      <c r="BT285" s="14" t="str">
        <f>HYPERLINK("https%3A%2F%2Fwww.webofscience.com%2Fwos%2Fwoscc%2Ffull-record%2FWOS:000286723300014","View Full Record in Web of Science")</f>
        <v>View Full Record in Web of Science</v>
      </c>
    </row>
    <row r="286" ht="12.75" customHeight="1">
      <c r="A286" s="14" t="s">
        <v>97</v>
      </c>
      <c r="B286" s="14" t="s">
        <v>5860</v>
      </c>
      <c r="C286" s="14" t="s">
        <v>99</v>
      </c>
      <c r="D286" s="14" t="s">
        <v>99</v>
      </c>
      <c r="E286" s="14" t="s">
        <v>99</v>
      </c>
      <c r="F286" s="14" t="s">
        <v>5861</v>
      </c>
      <c r="G286" s="14" t="s">
        <v>99</v>
      </c>
      <c r="H286" s="14" t="s">
        <v>99</v>
      </c>
      <c r="I286" s="14" t="s">
        <v>5862</v>
      </c>
      <c r="J286" s="14" t="s">
        <v>1102</v>
      </c>
      <c r="K286" s="14" t="s">
        <v>99</v>
      </c>
      <c r="L286" s="14" t="s">
        <v>99</v>
      </c>
      <c r="M286" s="14" t="s">
        <v>103</v>
      </c>
      <c r="N286" s="14" t="s">
        <v>104</v>
      </c>
      <c r="O286" s="14" t="s">
        <v>99</v>
      </c>
      <c r="P286" s="14" t="s">
        <v>99</v>
      </c>
      <c r="Q286" s="14" t="s">
        <v>99</v>
      </c>
      <c r="R286" s="14" t="s">
        <v>99</v>
      </c>
      <c r="S286" s="14" t="s">
        <v>99</v>
      </c>
      <c r="T286" s="14" t="s">
        <v>5863</v>
      </c>
      <c r="U286" s="14" t="s">
        <v>5864</v>
      </c>
      <c r="V286" s="14" t="s">
        <v>5865</v>
      </c>
      <c r="W286" s="14" t="s">
        <v>5866</v>
      </c>
      <c r="X286" s="14" t="s">
        <v>5867</v>
      </c>
      <c r="Y286" s="14" t="s">
        <v>5868</v>
      </c>
      <c r="Z286" s="14" t="s">
        <v>5869</v>
      </c>
      <c r="AA286" s="14" t="s">
        <v>99</v>
      </c>
      <c r="AB286" s="14" t="s">
        <v>99</v>
      </c>
      <c r="AC286" s="14" t="s">
        <v>5870</v>
      </c>
      <c r="AD286" s="14" t="s">
        <v>5870</v>
      </c>
      <c r="AE286" s="14" t="s">
        <v>5871</v>
      </c>
      <c r="AF286" s="14" t="s">
        <v>99</v>
      </c>
      <c r="AG286" s="14">
        <v>68.0</v>
      </c>
      <c r="AH286" s="14">
        <v>73.0</v>
      </c>
      <c r="AI286" s="14">
        <v>92.0</v>
      </c>
      <c r="AJ286" s="14">
        <v>0.0</v>
      </c>
      <c r="AK286" s="14">
        <v>92.0</v>
      </c>
      <c r="AL286" s="14" t="s">
        <v>493</v>
      </c>
      <c r="AM286" s="14" t="s">
        <v>468</v>
      </c>
      <c r="AN286" s="14" t="s">
        <v>635</v>
      </c>
      <c r="AO286" s="14" t="s">
        <v>1112</v>
      </c>
      <c r="AP286" s="14" t="s">
        <v>1113</v>
      </c>
      <c r="AQ286" s="14" t="s">
        <v>99</v>
      </c>
      <c r="AR286" s="14" t="s">
        <v>1114</v>
      </c>
      <c r="AS286" s="14" t="s">
        <v>1115</v>
      </c>
      <c r="AT286" s="14" t="s">
        <v>280</v>
      </c>
      <c r="AU286" s="14">
        <v>2011.0</v>
      </c>
      <c r="AV286" s="14">
        <v>144.0</v>
      </c>
      <c r="AW286" s="14">
        <v>2.0</v>
      </c>
      <c r="AX286" s="14" t="s">
        <v>99</v>
      </c>
      <c r="AY286" s="14" t="s">
        <v>99</v>
      </c>
      <c r="AZ286" s="14" t="s">
        <v>99</v>
      </c>
      <c r="BA286" s="14" t="s">
        <v>99</v>
      </c>
      <c r="BB286" s="14">
        <v>738.0</v>
      </c>
      <c r="BC286" s="14">
        <v>745.0</v>
      </c>
      <c r="BD286" s="14" t="s">
        <v>99</v>
      </c>
      <c r="BE286" s="14" t="s">
        <v>5872</v>
      </c>
      <c r="BF286" s="15" t="str">
        <f>HYPERLINK("http://dx.doi.org/10.1016/j.biocon.2010.10.023","http://dx.doi.org/10.1016/j.biocon.2010.10.023")</f>
        <v>http://dx.doi.org/10.1016/j.biocon.2010.10.023</v>
      </c>
      <c r="BG286" s="14" t="s">
        <v>99</v>
      </c>
      <c r="BH286" s="14" t="s">
        <v>99</v>
      </c>
      <c r="BI286" s="14">
        <v>8.0</v>
      </c>
      <c r="BJ286" s="14" t="s">
        <v>351</v>
      </c>
      <c r="BK286" s="14" t="s">
        <v>122</v>
      </c>
      <c r="BL286" s="14" t="s">
        <v>352</v>
      </c>
      <c r="BM286" s="14" t="s">
        <v>5873</v>
      </c>
      <c r="BN286" s="14" t="s">
        <v>99</v>
      </c>
      <c r="BO286" s="14" t="s">
        <v>99</v>
      </c>
      <c r="BP286" s="14" t="s">
        <v>99</v>
      </c>
      <c r="BQ286" s="14" t="s">
        <v>99</v>
      </c>
      <c r="BR286" s="14" t="s">
        <v>124</v>
      </c>
      <c r="BS286" s="14" t="s">
        <v>5874</v>
      </c>
      <c r="BT286" s="14" t="str">
        <f>HYPERLINK("https%3A%2F%2Fwww.webofscience.com%2Fwos%2Fwoscc%2Ffull-record%2FWOS:000287897100013","View Full Record in Web of Science")</f>
        <v>View Full Record in Web of Science</v>
      </c>
    </row>
    <row r="287" ht="12.75" customHeight="1">
      <c r="A287" s="14" t="s">
        <v>97</v>
      </c>
      <c r="B287" s="14" t="s">
        <v>5875</v>
      </c>
      <c r="C287" s="14" t="s">
        <v>99</v>
      </c>
      <c r="D287" s="14" t="s">
        <v>99</v>
      </c>
      <c r="E287" s="14" t="s">
        <v>99</v>
      </c>
      <c r="F287" s="14" t="s">
        <v>5876</v>
      </c>
      <c r="G287" s="14" t="s">
        <v>99</v>
      </c>
      <c r="H287" s="14" t="s">
        <v>99</v>
      </c>
      <c r="I287" s="14" t="s">
        <v>5877</v>
      </c>
      <c r="J287" s="14" t="s">
        <v>5878</v>
      </c>
      <c r="K287" s="14" t="s">
        <v>99</v>
      </c>
      <c r="L287" s="14" t="s">
        <v>99</v>
      </c>
      <c r="M287" s="14" t="s">
        <v>103</v>
      </c>
      <c r="N287" s="14" t="s">
        <v>104</v>
      </c>
      <c r="O287" s="14" t="s">
        <v>99</v>
      </c>
      <c r="P287" s="14" t="s">
        <v>99</v>
      </c>
      <c r="Q287" s="14" t="s">
        <v>99</v>
      </c>
      <c r="R287" s="14" t="s">
        <v>99</v>
      </c>
      <c r="S287" s="14" t="s">
        <v>99</v>
      </c>
      <c r="T287" s="14" t="s">
        <v>5879</v>
      </c>
      <c r="U287" s="14" t="s">
        <v>5880</v>
      </c>
      <c r="V287" s="14" t="s">
        <v>5881</v>
      </c>
      <c r="W287" s="14" t="s">
        <v>5882</v>
      </c>
      <c r="X287" s="14" t="s">
        <v>5883</v>
      </c>
      <c r="Y287" s="14" t="s">
        <v>5884</v>
      </c>
      <c r="Z287" s="14" t="s">
        <v>5885</v>
      </c>
      <c r="AA287" s="14" t="s">
        <v>5886</v>
      </c>
      <c r="AB287" s="14" t="s">
        <v>5887</v>
      </c>
      <c r="AC287" s="14" t="s">
        <v>5888</v>
      </c>
      <c r="AD287" s="14" t="s">
        <v>5888</v>
      </c>
      <c r="AE287" s="14" t="s">
        <v>5889</v>
      </c>
      <c r="AF287" s="14" t="s">
        <v>99</v>
      </c>
      <c r="AG287" s="14">
        <v>56.0</v>
      </c>
      <c r="AH287" s="14">
        <v>135.0</v>
      </c>
      <c r="AI287" s="14">
        <v>150.0</v>
      </c>
      <c r="AJ287" s="14">
        <v>1.0</v>
      </c>
      <c r="AK287" s="14">
        <v>89.0</v>
      </c>
      <c r="AL287" s="14" t="s">
        <v>5890</v>
      </c>
      <c r="AM287" s="14" t="s">
        <v>5891</v>
      </c>
      <c r="AN287" s="14" t="s">
        <v>5892</v>
      </c>
      <c r="AO287" s="14" t="s">
        <v>5893</v>
      </c>
      <c r="AP287" s="14" t="s">
        <v>5894</v>
      </c>
      <c r="AQ287" s="14" t="s">
        <v>99</v>
      </c>
      <c r="AR287" s="14" t="s">
        <v>5895</v>
      </c>
      <c r="AS287" s="14" t="s">
        <v>5896</v>
      </c>
      <c r="AT287" s="14" t="s">
        <v>99</v>
      </c>
      <c r="AU287" s="14">
        <v>2011.0</v>
      </c>
      <c r="AV287" s="14">
        <v>62.0</v>
      </c>
      <c r="AW287" s="14">
        <v>9.0</v>
      </c>
      <c r="AX287" s="14" t="s">
        <v>99</v>
      </c>
      <c r="AY287" s="14" t="s">
        <v>99</v>
      </c>
      <c r="AZ287" s="14" t="s">
        <v>1738</v>
      </c>
      <c r="BA287" s="14" t="s">
        <v>99</v>
      </c>
      <c r="BB287" s="14">
        <v>1043.0</v>
      </c>
      <c r="BC287" s="14">
        <v>1061.0</v>
      </c>
      <c r="BD287" s="14" t="s">
        <v>99</v>
      </c>
      <c r="BE287" s="14" t="s">
        <v>5897</v>
      </c>
      <c r="BF287" s="15" t="str">
        <f>HYPERLINK("http://dx.doi.org/10.1071/MF10286","http://dx.doi.org/10.1071/MF10286")</f>
        <v>http://dx.doi.org/10.1071/MF10286</v>
      </c>
      <c r="BG287" s="14" t="s">
        <v>99</v>
      </c>
      <c r="BH287" s="14" t="s">
        <v>99</v>
      </c>
      <c r="BI287" s="14">
        <v>19.0</v>
      </c>
      <c r="BJ287" s="14" t="s">
        <v>5898</v>
      </c>
      <c r="BK287" s="14" t="s">
        <v>122</v>
      </c>
      <c r="BL287" s="14" t="s">
        <v>3086</v>
      </c>
      <c r="BM287" s="14" t="s">
        <v>5899</v>
      </c>
      <c r="BN287" s="14" t="s">
        <v>99</v>
      </c>
      <c r="BO287" s="14" t="s">
        <v>354</v>
      </c>
      <c r="BP287" s="14" t="s">
        <v>99</v>
      </c>
      <c r="BQ287" s="14" t="s">
        <v>99</v>
      </c>
      <c r="BR287" s="14" t="s">
        <v>124</v>
      </c>
      <c r="BS287" s="14" t="s">
        <v>5900</v>
      </c>
      <c r="BT287" s="14" t="str">
        <f>HYPERLINK("https%3A%2F%2Fwww.webofscience.com%2Fwos%2Fwoscc%2Ffull-record%2FWOS:000295083900006","View Full Record in Web of Science")</f>
        <v>View Full Record in Web of Science</v>
      </c>
    </row>
    <row r="288" ht="12.75" customHeight="1">
      <c r="A288" s="14" t="s">
        <v>97</v>
      </c>
      <c r="B288" s="14" t="s">
        <v>5901</v>
      </c>
      <c r="C288" s="14" t="s">
        <v>99</v>
      </c>
      <c r="D288" s="14" t="s">
        <v>99</v>
      </c>
      <c r="E288" s="14" t="s">
        <v>99</v>
      </c>
      <c r="F288" s="14" t="s">
        <v>5902</v>
      </c>
      <c r="G288" s="14" t="s">
        <v>99</v>
      </c>
      <c r="H288" s="14" t="s">
        <v>99</v>
      </c>
      <c r="I288" s="14" t="s">
        <v>5903</v>
      </c>
      <c r="J288" s="14" t="s">
        <v>5904</v>
      </c>
      <c r="K288" s="14" t="s">
        <v>99</v>
      </c>
      <c r="L288" s="14" t="s">
        <v>99</v>
      </c>
      <c r="M288" s="14" t="s">
        <v>103</v>
      </c>
      <c r="N288" s="14" t="s">
        <v>104</v>
      </c>
      <c r="O288" s="14" t="s">
        <v>99</v>
      </c>
      <c r="P288" s="14" t="s">
        <v>99</v>
      </c>
      <c r="Q288" s="14" t="s">
        <v>99</v>
      </c>
      <c r="R288" s="14" t="s">
        <v>99</v>
      </c>
      <c r="S288" s="14" t="s">
        <v>99</v>
      </c>
      <c r="T288" s="14" t="s">
        <v>5905</v>
      </c>
      <c r="U288" s="14" t="s">
        <v>5906</v>
      </c>
      <c r="V288" s="14" t="s">
        <v>5907</v>
      </c>
      <c r="W288" s="14" t="s">
        <v>5908</v>
      </c>
      <c r="X288" s="14" t="s">
        <v>5909</v>
      </c>
      <c r="Y288" s="14" t="s">
        <v>5910</v>
      </c>
      <c r="Z288" s="14" t="s">
        <v>5911</v>
      </c>
      <c r="AA288" s="14" t="s">
        <v>5912</v>
      </c>
      <c r="AB288" s="14" t="s">
        <v>5913</v>
      </c>
      <c r="AC288" s="14" t="s">
        <v>5914</v>
      </c>
      <c r="AD288" s="14" t="s">
        <v>5915</v>
      </c>
      <c r="AE288" s="14" t="s">
        <v>5916</v>
      </c>
      <c r="AF288" s="14" t="s">
        <v>99</v>
      </c>
      <c r="AG288" s="14">
        <v>49.0</v>
      </c>
      <c r="AH288" s="14">
        <v>37.0</v>
      </c>
      <c r="AI288" s="14">
        <v>39.0</v>
      </c>
      <c r="AJ288" s="14">
        <v>0.0</v>
      </c>
      <c r="AK288" s="14">
        <v>42.0</v>
      </c>
      <c r="AL288" s="14" t="s">
        <v>3078</v>
      </c>
      <c r="AM288" s="14" t="s">
        <v>468</v>
      </c>
      <c r="AN288" s="14" t="s">
        <v>3079</v>
      </c>
      <c r="AO288" s="14" t="s">
        <v>5917</v>
      </c>
      <c r="AP288" s="14" t="s">
        <v>5918</v>
      </c>
      <c r="AQ288" s="14" t="s">
        <v>99</v>
      </c>
      <c r="AR288" s="14" t="s">
        <v>5919</v>
      </c>
      <c r="AS288" s="14" t="s">
        <v>5920</v>
      </c>
      <c r="AT288" s="14" t="s">
        <v>935</v>
      </c>
      <c r="AU288" s="14">
        <v>2011.0</v>
      </c>
      <c r="AV288" s="14">
        <v>33.0</v>
      </c>
      <c r="AW288" s="14">
        <v>1.0</v>
      </c>
      <c r="AX288" s="14" t="s">
        <v>99</v>
      </c>
      <c r="AY288" s="14" t="s">
        <v>99</v>
      </c>
      <c r="AZ288" s="14" t="s">
        <v>99</v>
      </c>
      <c r="BA288" s="14" t="s">
        <v>99</v>
      </c>
      <c r="BB288" s="14">
        <v>137.0</v>
      </c>
      <c r="BC288" s="14">
        <v>144.0</v>
      </c>
      <c r="BD288" s="14" t="s">
        <v>99</v>
      </c>
      <c r="BE288" s="14" t="s">
        <v>5921</v>
      </c>
      <c r="BF288" s="15" t="str">
        <f>HYPERLINK("http://dx.doi.org/10.1093/plankt/fbq100","http://dx.doi.org/10.1093/plankt/fbq100")</f>
        <v>http://dx.doi.org/10.1093/plankt/fbq100</v>
      </c>
      <c r="BG288" s="14" t="s">
        <v>99</v>
      </c>
      <c r="BH288" s="14" t="s">
        <v>99</v>
      </c>
      <c r="BI288" s="14">
        <v>8.0</v>
      </c>
      <c r="BJ288" s="14" t="s">
        <v>720</v>
      </c>
      <c r="BK288" s="14" t="s">
        <v>122</v>
      </c>
      <c r="BL288" s="14" t="s">
        <v>720</v>
      </c>
      <c r="BM288" s="14" t="s">
        <v>5922</v>
      </c>
      <c r="BN288" s="14" t="s">
        <v>99</v>
      </c>
      <c r="BO288" s="14" t="s">
        <v>373</v>
      </c>
      <c r="BP288" s="14" t="s">
        <v>99</v>
      </c>
      <c r="BQ288" s="14" t="s">
        <v>99</v>
      </c>
      <c r="BR288" s="14" t="s">
        <v>124</v>
      </c>
      <c r="BS288" s="14" t="s">
        <v>5923</v>
      </c>
      <c r="BT288" s="14" t="str">
        <f>HYPERLINK("https%3A%2F%2Fwww.webofscience.com%2Fwos%2Fwoscc%2Ffull-record%2FWOS:000284948600011","View Full Record in Web of Science")</f>
        <v>View Full Record in Web of Science</v>
      </c>
    </row>
    <row r="289" ht="12.75" customHeight="1">
      <c r="A289" s="14" t="s">
        <v>97</v>
      </c>
      <c r="B289" s="14" t="s">
        <v>5924</v>
      </c>
      <c r="C289" s="14" t="s">
        <v>99</v>
      </c>
      <c r="D289" s="14" t="s">
        <v>99</v>
      </c>
      <c r="E289" s="14" t="s">
        <v>99</v>
      </c>
      <c r="F289" s="14" t="s">
        <v>5925</v>
      </c>
      <c r="G289" s="14" t="s">
        <v>99</v>
      </c>
      <c r="H289" s="14" t="s">
        <v>99</v>
      </c>
      <c r="I289" s="14" t="s">
        <v>5926</v>
      </c>
      <c r="J289" s="14" t="s">
        <v>851</v>
      </c>
      <c r="K289" s="14" t="s">
        <v>99</v>
      </c>
      <c r="L289" s="14" t="s">
        <v>99</v>
      </c>
      <c r="M289" s="14" t="s">
        <v>103</v>
      </c>
      <c r="N289" s="14" t="s">
        <v>104</v>
      </c>
      <c r="O289" s="14" t="s">
        <v>99</v>
      </c>
      <c r="P289" s="14" t="s">
        <v>99</v>
      </c>
      <c r="Q289" s="14" t="s">
        <v>99</v>
      </c>
      <c r="R289" s="14" t="s">
        <v>99</v>
      </c>
      <c r="S289" s="14" t="s">
        <v>99</v>
      </c>
      <c r="T289" s="14" t="s">
        <v>5927</v>
      </c>
      <c r="U289" s="14" t="s">
        <v>5928</v>
      </c>
      <c r="V289" s="14" t="s">
        <v>5929</v>
      </c>
      <c r="W289" s="14" t="s">
        <v>5930</v>
      </c>
      <c r="X289" s="14" t="s">
        <v>5931</v>
      </c>
      <c r="Y289" s="14" t="s">
        <v>5932</v>
      </c>
      <c r="Z289" s="14" t="s">
        <v>5933</v>
      </c>
      <c r="AA289" s="14" t="s">
        <v>5934</v>
      </c>
      <c r="AB289" s="14" t="s">
        <v>5935</v>
      </c>
      <c r="AC289" s="14" t="s">
        <v>99</v>
      </c>
      <c r="AD289" s="14" t="s">
        <v>99</v>
      </c>
      <c r="AE289" s="14" t="s">
        <v>99</v>
      </c>
      <c r="AF289" s="14" t="s">
        <v>99</v>
      </c>
      <c r="AG289" s="14">
        <v>51.0</v>
      </c>
      <c r="AH289" s="14">
        <v>408.0</v>
      </c>
      <c r="AI289" s="14">
        <v>434.0</v>
      </c>
      <c r="AJ289" s="14">
        <v>1.0</v>
      </c>
      <c r="AK289" s="14">
        <v>256.0</v>
      </c>
      <c r="AL289" s="14" t="s">
        <v>1822</v>
      </c>
      <c r="AM289" s="14" t="s">
        <v>342</v>
      </c>
      <c r="AN289" s="14" t="s">
        <v>343</v>
      </c>
      <c r="AO289" s="14" t="s">
        <v>864</v>
      </c>
      <c r="AP289" s="14" t="s">
        <v>865</v>
      </c>
      <c r="AQ289" s="14" t="s">
        <v>99</v>
      </c>
      <c r="AR289" s="14" t="s">
        <v>866</v>
      </c>
      <c r="AS289" s="14" t="s">
        <v>867</v>
      </c>
      <c r="AT289" s="14" t="s">
        <v>935</v>
      </c>
      <c r="AU289" s="14">
        <v>2011.0</v>
      </c>
      <c r="AV289" s="14">
        <v>20.0</v>
      </c>
      <c r="AW289" s="14">
        <v>1.0</v>
      </c>
      <c r="AX289" s="14" t="s">
        <v>99</v>
      </c>
      <c r="AY289" s="14" t="s">
        <v>99</v>
      </c>
      <c r="AZ289" s="14" t="s">
        <v>99</v>
      </c>
      <c r="BA289" s="14" t="s">
        <v>99</v>
      </c>
      <c r="BB289" s="14">
        <v>58.0</v>
      </c>
      <c r="BC289" s="14">
        <v>72.0</v>
      </c>
      <c r="BD289" s="14" t="s">
        <v>99</v>
      </c>
      <c r="BE289" s="14" t="s">
        <v>5936</v>
      </c>
      <c r="BF289" s="15" t="str">
        <f>HYPERLINK("http://dx.doi.org/10.1111/j.1466-8238.2010.00575.x","http://dx.doi.org/10.1111/j.1466-8238.2010.00575.x")</f>
        <v>http://dx.doi.org/10.1111/j.1466-8238.2010.00575.x</v>
      </c>
      <c r="BG289" s="14" t="s">
        <v>99</v>
      </c>
      <c r="BH289" s="14" t="s">
        <v>99</v>
      </c>
      <c r="BI289" s="14">
        <v>15.0</v>
      </c>
      <c r="BJ289" s="14" t="s">
        <v>869</v>
      </c>
      <c r="BK289" s="14" t="s">
        <v>122</v>
      </c>
      <c r="BL289" s="14" t="s">
        <v>870</v>
      </c>
      <c r="BM289" s="14" t="s">
        <v>5937</v>
      </c>
      <c r="BN289" s="14" t="s">
        <v>99</v>
      </c>
      <c r="BO289" s="14" t="s">
        <v>99</v>
      </c>
      <c r="BP289" s="14" t="s">
        <v>99</v>
      </c>
      <c r="BQ289" s="14" t="s">
        <v>99</v>
      </c>
      <c r="BR289" s="14" t="s">
        <v>124</v>
      </c>
      <c r="BS289" s="14" t="s">
        <v>5938</v>
      </c>
      <c r="BT289" s="14" t="str">
        <f>HYPERLINK("https%3A%2F%2Fwww.webofscience.com%2Fwos%2Fwoscc%2Ffull-record%2FWOS:000285109200005","View Full Record in Web of Science")</f>
        <v>View Full Record in Web of Science</v>
      </c>
    </row>
    <row r="290" ht="12.75" customHeight="1">
      <c r="A290" s="14" t="s">
        <v>97</v>
      </c>
      <c r="B290" s="14" t="s">
        <v>5939</v>
      </c>
      <c r="C290" s="14" t="s">
        <v>99</v>
      </c>
      <c r="D290" s="14" t="s">
        <v>99</v>
      </c>
      <c r="E290" s="14" t="s">
        <v>99</v>
      </c>
      <c r="F290" s="14" t="s">
        <v>5940</v>
      </c>
      <c r="G290" s="14" t="s">
        <v>99</v>
      </c>
      <c r="H290" s="14" t="s">
        <v>99</v>
      </c>
      <c r="I290" s="14" t="s">
        <v>5941</v>
      </c>
      <c r="J290" s="14" t="s">
        <v>5942</v>
      </c>
      <c r="K290" s="14" t="s">
        <v>99</v>
      </c>
      <c r="L290" s="14" t="s">
        <v>99</v>
      </c>
      <c r="M290" s="14" t="s">
        <v>103</v>
      </c>
      <c r="N290" s="14" t="s">
        <v>104</v>
      </c>
      <c r="O290" s="14" t="s">
        <v>99</v>
      </c>
      <c r="P290" s="14" t="s">
        <v>99</v>
      </c>
      <c r="Q290" s="14" t="s">
        <v>99</v>
      </c>
      <c r="R290" s="14" t="s">
        <v>99</v>
      </c>
      <c r="S290" s="14" t="s">
        <v>99</v>
      </c>
      <c r="T290" s="14" t="s">
        <v>5943</v>
      </c>
      <c r="U290" s="14" t="s">
        <v>5944</v>
      </c>
      <c r="V290" s="14" t="s">
        <v>5945</v>
      </c>
      <c r="W290" s="14" t="s">
        <v>5946</v>
      </c>
      <c r="X290" s="14" t="s">
        <v>5947</v>
      </c>
      <c r="Y290" s="14" t="s">
        <v>5948</v>
      </c>
      <c r="Z290" s="14" t="s">
        <v>5949</v>
      </c>
      <c r="AA290" s="14" t="s">
        <v>5950</v>
      </c>
      <c r="AB290" s="14" t="s">
        <v>5951</v>
      </c>
      <c r="AC290" s="14" t="s">
        <v>5952</v>
      </c>
      <c r="AD290" s="14" t="s">
        <v>5953</v>
      </c>
      <c r="AE290" s="14" t="s">
        <v>5954</v>
      </c>
      <c r="AF290" s="14" t="s">
        <v>99</v>
      </c>
      <c r="AG290" s="14">
        <v>64.0</v>
      </c>
      <c r="AH290" s="14">
        <v>25.0</v>
      </c>
      <c r="AI290" s="14">
        <v>27.0</v>
      </c>
      <c r="AJ290" s="14">
        <v>1.0</v>
      </c>
      <c r="AK290" s="14">
        <v>48.0</v>
      </c>
      <c r="AL290" s="14" t="s">
        <v>5955</v>
      </c>
      <c r="AM290" s="14" t="s">
        <v>5956</v>
      </c>
      <c r="AN290" s="14" t="s">
        <v>5957</v>
      </c>
      <c r="AO290" s="14" t="s">
        <v>5958</v>
      </c>
      <c r="AP290" s="14" t="s">
        <v>5959</v>
      </c>
      <c r="AQ290" s="14" t="s">
        <v>99</v>
      </c>
      <c r="AR290" s="14" t="s">
        <v>5960</v>
      </c>
      <c r="AS290" s="14" t="s">
        <v>5961</v>
      </c>
      <c r="AT290" s="14" t="s">
        <v>99</v>
      </c>
      <c r="AU290" s="14">
        <v>2011.0</v>
      </c>
      <c r="AV290" s="14">
        <v>111.0</v>
      </c>
      <c r="AW290" s="14">
        <v>2.0</v>
      </c>
      <c r="AX290" s="14" t="s">
        <v>99</v>
      </c>
      <c r="AY290" s="14" t="s">
        <v>99</v>
      </c>
      <c r="AZ290" s="14" t="s">
        <v>99</v>
      </c>
      <c r="BA290" s="14" t="s">
        <v>99</v>
      </c>
      <c r="BB290" s="14">
        <v>120.0</v>
      </c>
      <c r="BC290" s="14">
        <v>131.0</v>
      </c>
      <c r="BD290" s="14" t="s">
        <v>99</v>
      </c>
      <c r="BE290" s="14" t="s">
        <v>5962</v>
      </c>
      <c r="BF290" s="15" t="str">
        <f>HYPERLINK("http://dx.doi.org/10.1071/MU10009","http://dx.doi.org/10.1071/MU10009")</f>
        <v>http://dx.doi.org/10.1071/MU10009</v>
      </c>
      <c r="BG290" s="14" t="s">
        <v>99</v>
      </c>
      <c r="BH290" s="14" t="s">
        <v>99</v>
      </c>
      <c r="BI290" s="14">
        <v>12.0</v>
      </c>
      <c r="BJ290" s="14" t="s">
        <v>1183</v>
      </c>
      <c r="BK290" s="14" t="s">
        <v>122</v>
      </c>
      <c r="BL290" s="14" t="s">
        <v>121</v>
      </c>
      <c r="BM290" s="14" t="s">
        <v>5963</v>
      </c>
      <c r="BN290" s="14" t="s">
        <v>99</v>
      </c>
      <c r="BO290" s="14" t="s">
        <v>99</v>
      </c>
      <c r="BP290" s="14" t="s">
        <v>99</v>
      </c>
      <c r="BQ290" s="14" t="s">
        <v>99</v>
      </c>
      <c r="BR290" s="14" t="s">
        <v>124</v>
      </c>
      <c r="BS290" s="14" t="s">
        <v>5964</v>
      </c>
      <c r="BT290" s="14" t="str">
        <f>HYPERLINK("https%3A%2F%2Fwww.webofscience.com%2Fwos%2Fwoscc%2Ffull-record%2FWOS:000291035900004","View Full Record in Web of Science")</f>
        <v>View Full Record in Web of Science</v>
      </c>
    </row>
    <row r="291" ht="12.75" customHeight="1">
      <c r="A291" s="14" t="s">
        <v>97</v>
      </c>
      <c r="B291" s="14" t="s">
        <v>5965</v>
      </c>
      <c r="C291" s="14" t="s">
        <v>99</v>
      </c>
      <c r="D291" s="14" t="s">
        <v>99</v>
      </c>
      <c r="E291" s="14" t="s">
        <v>99</v>
      </c>
      <c r="F291" s="14" t="s">
        <v>5966</v>
      </c>
      <c r="G291" s="14" t="s">
        <v>99</v>
      </c>
      <c r="H291" s="14" t="s">
        <v>99</v>
      </c>
      <c r="I291" s="14" t="s">
        <v>5967</v>
      </c>
      <c r="J291" s="14" t="s">
        <v>5968</v>
      </c>
      <c r="K291" s="14" t="s">
        <v>99</v>
      </c>
      <c r="L291" s="14" t="s">
        <v>99</v>
      </c>
      <c r="M291" s="14" t="s">
        <v>103</v>
      </c>
      <c r="N291" s="14" t="s">
        <v>104</v>
      </c>
      <c r="O291" s="14" t="s">
        <v>99</v>
      </c>
      <c r="P291" s="14" t="s">
        <v>99</v>
      </c>
      <c r="Q291" s="14" t="s">
        <v>99</v>
      </c>
      <c r="R291" s="14" t="s">
        <v>99</v>
      </c>
      <c r="S291" s="14" t="s">
        <v>99</v>
      </c>
      <c r="T291" s="14" t="s">
        <v>5969</v>
      </c>
      <c r="U291" s="14" t="s">
        <v>5970</v>
      </c>
      <c r="V291" s="14" t="s">
        <v>5971</v>
      </c>
      <c r="W291" s="14" t="s">
        <v>5972</v>
      </c>
      <c r="X291" s="14" t="s">
        <v>5973</v>
      </c>
      <c r="Y291" s="14" t="s">
        <v>5974</v>
      </c>
      <c r="Z291" s="14" t="s">
        <v>5975</v>
      </c>
      <c r="AA291" s="14" t="s">
        <v>5976</v>
      </c>
      <c r="AB291" s="14" t="s">
        <v>5977</v>
      </c>
      <c r="AC291" s="14" t="s">
        <v>5978</v>
      </c>
      <c r="AD291" s="14" t="s">
        <v>5979</v>
      </c>
      <c r="AE291" s="14" t="s">
        <v>5980</v>
      </c>
      <c r="AF291" s="14" t="s">
        <v>99</v>
      </c>
      <c r="AG291" s="14">
        <v>51.0</v>
      </c>
      <c r="AH291" s="14">
        <v>12.0</v>
      </c>
      <c r="AI291" s="14">
        <v>12.0</v>
      </c>
      <c r="AJ291" s="14">
        <v>0.0</v>
      </c>
      <c r="AK291" s="14">
        <v>34.0</v>
      </c>
      <c r="AL291" s="14" t="s">
        <v>4621</v>
      </c>
      <c r="AM291" s="14" t="s">
        <v>4622</v>
      </c>
      <c r="AN291" s="14" t="s">
        <v>4623</v>
      </c>
      <c r="AO291" s="14" t="s">
        <v>5981</v>
      </c>
      <c r="AP291" s="14" t="s">
        <v>5982</v>
      </c>
      <c r="AQ291" s="14" t="s">
        <v>99</v>
      </c>
      <c r="AR291" s="14" t="s">
        <v>5983</v>
      </c>
      <c r="AS291" s="14" t="s">
        <v>5984</v>
      </c>
      <c r="AT291" s="14" t="s">
        <v>99</v>
      </c>
      <c r="AU291" s="14">
        <v>2011.0</v>
      </c>
      <c r="AV291" s="14">
        <v>54.0</v>
      </c>
      <c r="AW291" s="14">
        <v>2.0</v>
      </c>
      <c r="AX291" s="14" t="s">
        <v>99</v>
      </c>
      <c r="AY291" s="14" t="s">
        <v>99</v>
      </c>
      <c r="AZ291" s="14" t="s">
        <v>99</v>
      </c>
      <c r="BA291" s="14" t="s">
        <v>99</v>
      </c>
      <c r="BB291" s="14">
        <v>83.0</v>
      </c>
      <c r="BC291" s="14">
        <v>96.0</v>
      </c>
      <c r="BD291" s="14" t="s">
        <v>5985</v>
      </c>
      <c r="BE291" s="14" t="s">
        <v>5986</v>
      </c>
      <c r="BF291" s="15" t="str">
        <f>HYPERLINK("http://dx.doi.org/10.1080/00288233.2011.558904","http://dx.doi.org/10.1080/00288233.2011.558904")</f>
        <v>http://dx.doi.org/10.1080/00288233.2011.558904</v>
      </c>
      <c r="BG291" s="14" t="s">
        <v>99</v>
      </c>
      <c r="BH291" s="14" t="s">
        <v>99</v>
      </c>
      <c r="BI291" s="14">
        <v>14.0</v>
      </c>
      <c r="BJ291" s="14" t="s">
        <v>5344</v>
      </c>
      <c r="BK291" s="14" t="s">
        <v>122</v>
      </c>
      <c r="BL291" s="14" t="s">
        <v>2969</v>
      </c>
      <c r="BM291" s="14" t="s">
        <v>5987</v>
      </c>
      <c r="BN291" s="14" t="s">
        <v>99</v>
      </c>
      <c r="BO291" s="14" t="s">
        <v>99</v>
      </c>
      <c r="BP291" s="14" t="s">
        <v>99</v>
      </c>
      <c r="BQ291" s="14" t="s">
        <v>99</v>
      </c>
      <c r="BR291" s="14" t="s">
        <v>124</v>
      </c>
      <c r="BS291" s="14" t="s">
        <v>5988</v>
      </c>
      <c r="BT291" s="14" t="str">
        <f>HYPERLINK("https%3A%2F%2Fwww.webofscience.com%2Fwos%2Fwoscc%2Ffull-record%2FWOS:000290968200002","View Full Record in Web of Science")</f>
        <v>View Full Record in Web of Science</v>
      </c>
    </row>
    <row r="292" ht="12.75" customHeight="1">
      <c r="A292" s="14" t="s">
        <v>97</v>
      </c>
      <c r="B292" s="14" t="s">
        <v>5989</v>
      </c>
      <c r="C292" s="14" t="s">
        <v>99</v>
      </c>
      <c r="D292" s="14" t="s">
        <v>99</v>
      </c>
      <c r="E292" s="14" t="s">
        <v>99</v>
      </c>
      <c r="F292" s="14" t="s">
        <v>5990</v>
      </c>
      <c r="G292" s="14" t="s">
        <v>99</v>
      </c>
      <c r="H292" s="14" t="s">
        <v>99</v>
      </c>
      <c r="I292" s="14" t="s">
        <v>5991</v>
      </c>
      <c r="J292" s="14" t="s">
        <v>1102</v>
      </c>
      <c r="K292" s="14" t="s">
        <v>99</v>
      </c>
      <c r="L292" s="14" t="s">
        <v>99</v>
      </c>
      <c r="M292" s="14" t="s">
        <v>103</v>
      </c>
      <c r="N292" s="14" t="s">
        <v>104</v>
      </c>
      <c r="O292" s="14" t="s">
        <v>99</v>
      </c>
      <c r="P292" s="14" t="s">
        <v>99</v>
      </c>
      <c r="Q292" s="14" t="s">
        <v>99</v>
      </c>
      <c r="R292" s="14" t="s">
        <v>99</v>
      </c>
      <c r="S292" s="14" t="s">
        <v>99</v>
      </c>
      <c r="T292" s="14" t="s">
        <v>5992</v>
      </c>
      <c r="U292" s="14" t="s">
        <v>5993</v>
      </c>
      <c r="V292" s="14" t="s">
        <v>5994</v>
      </c>
      <c r="W292" s="14" t="s">
        <v>5995</v>
      </c>
      <c r="X292" s="14" t="s">
        <v>5996</v>
      </c>
      <c r="Y292" s="14" t="s">
        <v>5997</v>
      </c>
      <c r="Z292" s="14" t="s">
        <v>5998</v>
      </c>
      <c r="AA292" s="14" t="s">
        <v>5999</v>
      </c>
      <c r="AB292" s="14" t="s">
        <v>6000</v>
      </c>
      <c r="AC292" s="14" t="s">
        <v>6001</v>
      </c>
      <c r="AD292" s="14" t="s">
        <v>6002</v>
      </c>
      <c r="AE292" s="14" t="s">
        <v>6003</v>
      </c>
      <c r="AF292" s="14" t="s">
        <v>99</v>
      </c>
      <c r="AG292" s="14">
        <v>73.0</v>
      </c>
      <c r="AH292" s="14">
        <v>148.0</v>
      </c>
      <c r="AI292" s="14">
        <v>173.0</v>
      </c>
      <c r="AJ292" s="14">
        <v>1.0</v>
      </c>
      <c r="AK292" s="14">
        <v>104.0</v>
      </c>
      <c r="AL292" s="14" t="s">
        <v>493</v>
      </c>
      <c r="AM292" s="14" t="s">
        <v>468</v>
      </c>
      <c r="AN292" s="14" t="s">
        <v>635</v>
      </c>
      <c r="AO292" s="14" t="s">
        <v>1112</v>
      </c>
      <c r="AP292" s="14" t="s">
        <v>1113</v>
      </c>
      <c r="AQ292" s="14" t="s">
        <v>99</v>
      </c>
      <c r="AR292" s="14" t="s">
        <v>1114</v>
      </c>
      <c r="AS292" s="14" t="s">
        <v>1115</v>
      </c>
      <c r="AT292" s="14" t="s">
        <v>935</v>
      </c>
      <c r="AU292" s="14">
        <v>2011.0</v>
      </c>
      <c r="AV292" s="14">
        <v>144.0</v>
      </c>
      <c r="AW292" s="14">
        <v>1.0</v>
      </c>
      <c r="AX292" s="14" t="s">
        <v>99</v>
      </c>
      <c r="AY292" s="14" t="s">
        <v>99</v>
      </c>
      <c r="AZ292" s="14" t="s">
        <v>99</v>
      </c>
      <c r="BA292" s="14" t="s">
        <v>99</v>
      </c>
      <c r="BB292" s="14">
        <v>166.0</v>
      </c>
      <c r="BC292" s="14">
        <v>174.0</v>
      </c>
      <c r="BD292" s="14" t="s">
        <v>99</v>
      </c>
      <c r="BE292" s="14" t="s">
        <v>6004</v>
      </c>
      <c r="BF292" s="15" t="str">
        <f>HYPERLINK("http://dx.doi.org/10.1016/j.biocon.2010.08.011","http://dx.doi.org/10.1016/j.biocon.2010.08.011")</f>
        <v>http://dx.doi.org/10.1016/j.biocon.2010.08.011</v>
      </c>
      <c r="BG292" s="14" t="s">
        <v>99</v>
      </c>
      <c r="BH292" s="14" t="s">
        <v>99</v>
      </c>
      <c r="BI292" s="14">
        <v>9.0</v>
      </c>
      <c r="BJ292" s="14" t="s">
        <v>351</v>
      </c>
      <c r="BK292" s="14" t="s">
        <v>122</v>
      </c>
      <c r="BL292" s="14" t="s">
        <v>352</v>
      </c>
      <c r="BM292" s="14" t="s">
        <v>6005</v>
      </c>
      <c r="BN292" s="14" t="s">
        <v>99</v>
      </c>
      <c r="BO292" s="14" t="s">
        <v>99</v>
      </c>
      <c r="BP292" s="14" t="s">
        <v>99</v>
      </c>
      <c r="BQ292" s="14" t="s">
        <v>99</v>
      </c>
      <c r="BR292" s="14" t="s">
        <v>124</v>
      </c>
      <c r="BS292" s="14" t="s">
        <v>6006</v>
      </c>
      <c r="BT292" s="14" t="str">
        <f>HYPERLINK("https%3A%2F%2Fwww.webofscience.com%2Fwos%2Fwoscc%2Ffull-record%2FWOS:000287168100017","View Full Record in Web of Science")</f>
        <v>View Full Record in Web of Science</v>
      </c>
    </row>
    <row r="293" ht="12.75" customHeight="1">
      <c r="A293" s="14" t="s">
        <v>97</v>
      </c>
      <c r="B293" s="14" t="s">
        <v>6007</v>
      </c>
      <c r="C293" s="14" t="s">
        <v>99</v>
      </c>
      <c r="D293" s="14" t="s">
        <v>99</v>
      </c>
      <c r="E293" s="14" t="s">
        <v>99</v>
      </c>
      <c r="F293" s="14" t="s">
        <v>6008</v>
      </c>
      <c r="G293" s="14" t="s">
        <v>99</v>
      </c>
      <c r="H293" s="14" t="s">
        <v>99</v>
      </c>
      <c r="I293" s="14" t="s">
        <v>6009</v>
      </c>
      <c r="J293" s="14" t="s">
        <v>5603</v>
      </c>
      <c r="K293" s="14" t="s">
        <v>99</v>
      </c>
      <c r="L293" s="14" t="s">
        <v>99</v>
      </c>
      <c r="M293" s="14" t="s">
        <v>103</v>
      </c>
      <c r="N293" s="14" t="s">
        <v>104</v>
      </c>
      <c r="O293" s="14" t="s">
        <v>99</v>
      </c>
      <c r="P293" s="14" t="s">
        <v>99</v>
      </c>
      <c r="Q293" s="14" t="s">
        <v>99</v>
      </c>
      <c r="R293" s="14" t="s">
        <v>99</v>
      </c>
      <c r="S293" s="14" t="s">
        <v>99</v>
      </c>
      <c r="T293" s="14" t="s">
        <v>6010</v>
      </c>
      <c r="U293" s="14" t="s">
        <v>6011</v>
      </c>
      <c r="V293" s="14" t="s">
        <v>6012</v>
      </c>
      <c r="W293" s="14" t="s">
        <v>6013</v>
      </c>
      <c r="X293" s="14" t="s">
        <v>6014</v>
      </c>
      <c r="Y293" s="14" t="s">
        <v>6015</v>
      </c>
      <c r="Z293" s="14" t="s">
        <v>6016</v>
      </c>
      <c r="AA293" s="14" t="s">
        <v>6017</v>
      </c>
      <c r="AB293" s="14" t="s">
        <v>6018</v>
      </c>
      <c r="AC293" s="14" t="s">
        <v>6019</v>
      </c>
      <c r="AD293" s="14" t="s">
        <v>6020</v>
      </c>
      <c r="AE293" s="14" t="s">
        <v>6021</v>
      </c>
      <c r="AF293" s="14" t="s">
        <v>99</v>
      </c>
      <c r="AG293" s="14">
        <v>51.0</v>
      </c>
      <c r="AH293" s="14">
        <v>52.0</v>
      </c>
      <c r="AI293" s="14">
        <v>60.0</v>
      </c>
      <c r="AJ293" s="14">
        <v>1.0</v>
      </c>
      <c r="AK293" s="14">
        <v>82.0</v>
      </c>
      <c r="AL293" s="14" t="s">
        <v>1033</v>
      </c>
      <c r="AM293" s="14" t="s">
        <v>442</v>
      </c>
      <c r="AN293" s="14" t="s">
        <v>1034</v>
      </c>
      <c r="AO293" s="14" t="s">
        <v>5616</v>
      </c>
      <c r="AP293" s="14" t="s">
        <v>99</v>
      </c>
      <c r="AQ293" s="14" t="s">
        <v>99</v>
      </c>
      <c r="AR293" s="14" t="s">
        <v>5618</v>
      </c>
      <c r="AS293" s="14" t="s">
        <v>5619</v>
      </c>
      <c r="AT293" s="14" t="s">
        <v>4519</v>
      </c>
      <c r="AU293" s="14">
        <v>2010.0</v>
      </c>
      <c r="AV293" s="14">
        <v>139.0</v>
      </c>
      <c r="AW293" s="14">
        <v>4.0</v>
      </c>
      <c r="AX293" s="14" t="s">
        <v>99</v>
      </c>
      <c r="AY293" s="14" t="s">
        <v>99</v>
      </c>
      <c r="AZ293" s="14" t="s">
        <v>99</v>
      </c>
      <c r="BA293" s="14" t="s">
        <v>99</v>
      </c>
      <c r="BB293" s="14">
        <v>571.0</v>
      </c>
      <c r="BC293" s="14">
        <v>577.0</v>
      </c>
      <c r="BD293" s="14" t="s">
        <v>99</v>
      </c>
      <c r="BE293" s="14" t="s">
        <v>6022</v>
      </c>
      <c r="BF293" s="15" t="str">
        <f>HYPERLINK("http://dx.doi.org/10.1016/j.agee.2010.09.018","http://dx.doi.org/10.1016/j.agee.2010.09.018")</f>
        <v>http://dx.doi.org/10.1016/j.agee.2010.09.018</v>
      </c>
      <c r="BG293" s="14" t="s">
        <v>99</v>
      </c>
      <c r="BH293" s="14" t="s">
        <v>99</v>
      </c>
      <c r="BI293" s="14">
        <v>7.0</v>
      </c>
      <c r="BJ293" s="14" t="s">
        <v>5622</v>
      </c>
      <c r="BK293" s="14" t="s">
        <v>122</v>
      </c>
      <c r="BL293" s="14" t="s">
        <v>5623</v>
      </c>
      <c r="BM293" s="14" t="s">
        <v>6023</v>
      </c>
      <c r="BN293" s="14" t="s">
        <v>99</v>
      </c>
      <c r="BO293" s="14" t="s">
        <v>576</v>
      </c>
      <c r="BP293" s="14" t="s">
        <v>99</v>
      </c>
      <c r="BQ293" s="14" t="s">
        <v>99</v>
      </c>
      <c r="BR293" s="14" t="s">
        <v>124</v>
      </c>
      <c r="BS293" s="14" t="s">
        <v>6024</v>
      </c>
      <c r="BT293" s="14" t="str">
        <f>HYPERLINK("https%3A%2F%2Fwww.webofscience.com%2Fwos%2Fwoscc%2Ffull-record%2FWOS:000287277100016","View Full Record in Web of Science")</f>
        <v>View Full Record in Web of Science</v>
      </c>
    </row>
    <row r="294" ht="12.75" customHeight="1">
      <c r="A294" s="14" t="s">
        <v>97</v>
      </c>
      <c r="B294" s="14" t="s">
        <v>6025</v>
      </c>
      <c r="C294" s="14" t="s">
        <v>99</v>
      </c>
      <c r="D294" s="14" t="s">
        <v>99</v>
      </c>
      <c r="E294" s="14" t="s">
        <v>99</v>
      </c>
      <c r="F294" s="14" t="s">
        <v>6026</v>
      </c>
      <c r="G294" s="14" t="s">
        <v>99</v>
      </c>
      <c r="H294" s="14" t="s">
        <v>99</v>
      </c>
      <c r="I294" s="14" t="s">
        <v>6027</v>
      </c>
      <c r="J294" s="14" t="s">
        <v>2500</v>
      </c>
      <c r="K294" s="14" t="s">
        <v>99</v>
      </c>
      <c r="L294" s="14" t="s">
        <v>99</v>
      </c>
      <c r="M294" s="14" t="s">
        <v>103</v>
      </c>
      <c r="N294" s="14" t="s">
        <v>104</v>
      </c>
      <c r="O294" s="14" t="s">
        <v>99</v>
      </c>
      <c r="P294" s="14" t="s">
        <v>99</v>
      </c>
      <c r="Q294" s="14" t="s">
        <v>99</v>
      </c>
      <c r="R294" s="14" t="s">
        <v>99</v>
      </c>
      <c r="S294" s="14" t="s">
        <v>99</v>
      </c>
      <c r="T294" s="14" t="s">
        <v>99</v>
      </c>
      <c r="U294" s="14" t="s">
        <v>6028</v>
      </c>
      <c r="V294" s="14" t="s">
        <v>6029</v>
      </c>
      <c r="W294" s="14" t="s">
        <v>6030</v>
      </c>
      <c r="X294" s="14" t="s">
        <v>6031</v>
      </c>
      <c r="Y294" s="14" t="s">
        <v>6032</v>
      </c>
      <c r="Z294" s="14" t="s">
        <v>6033</v>
      </c>
      <c r="AA294" s="14" t="s">
        <v>6034</v>
      </c>
      <c r="AB294" s="14" t="s">
        <v>6035</v>
      </c>
      <c r="AC294" s="14" t="s">
        <v>6036</v>
      </c>
      <c r="AD294" s="14" t="s">
        <v>6037</v>
      </c>
      <c r="AE294" s="14" t="s">
        <v>6038</v>
      </c>
      <c r="AF294" s="14" t="s">
        <v>99</v>
      </c>
      <c r="AG294" s="14">
        <v>118.0</v>
      </c>
      <c r="AH294" s="14">
        <v>202.0</v>
      </c>
      <c r="AI294" s="14">
        <v>259.0</v>
      </c>
      <c r="AJ294" s="14">
        <v>5.0</v>
      </c>
      <c r="AK294" s="14">
        <v>238.0</v>
      </c>
      <c r="AL294" s="14" t="s">
        <v>2512</v>
      </c>
      <c r="AM294" s="14" t="s">
        <v>2513</v>
      </c>
      <c r="AN294" s="14" t="s">
        <v>2514</v>
      </c>
      <c r="AO294" s="14" t="s">
        <v>2515</v>
      </c>
      <c r="AP294" s="14" t="s">
        <v>99</v>
      </c>
      <c r="AQ294" s="14" t="s">
        <v>99</v>
      </c>
      <c r="AR294" s="14" t="s">
        <v>2500</v>
      </c>
      <c r="AS294" s="14" t="s">
        <v>2516</v>
      </c>
      <c r="AT294" s="14" t="s">
        <v>4519</v>
      </c>
      <c r="AU294" s="14">
        <v>2010.0</v>
      </c>
      <c r="AV294" s="14">
        <v>5.0</v>
      </c>
      <c r="AW294" s="14">
        <v>12.0</v>
      </c>
      <c r="AX294" s="14" t="s">
        <v>99</v>
      </c>
      <c r="AY294" s="14" t="s">
        <v>99</v>
      </c>
      <c r="AZ294" s="14" t="s">
        <v>99</v>
      </c>
      <c r="BA294" s="14" t="s">
        <v>99</v>
      </c>
      <c r="BB294" s="14" t="s">
        <v>99</v>
      </c>
      <c r="BC294" s="14" t="s">
        <v>99</v>
      </c>
      <c r="BD294" s="14" t="s">
        <v>6039</v>
      </c>
      <c r="BE294" s="14" t="s">
        <v>6040</v>
      </c>
      <c r="BF294" s="15" t="str">
        <f>HYPERLINK("http://dx.doi.org/10.1371/journal.pone.0014327","http://dx.doi.org/10.1371/journal.pone.0014327")</f>
        <v>http://dx.doi.org/10.1371/journal.pone.0014327</v>
      </c>
      <c r="BG294" s="14" t="s">
        <v>99</v>
      </c>
      <c r="BH294" s="14" t="s">
        <v>99</v>
      </c>
      <c r="BI294" s="14">
        <v>22.0</v>
      </c>
      <c r="BJ294" s="14" t="s">
        <v>799</v>
      </c>
      <c r="BK294" s="14" t="s">
        <v>800</v>
      </c>
      <c r="BL294" s="14" t="s">
        <v>801</v>
      </c>
      <c r="BM294" s="14" t="s">
        <v>6041</v>
      </c>
      <c r="BN294" s="14">
        <v>2.1179509E7</v>
      </c>
      <c r="BO294" s="14" t="s">
        <v>1251</v>
      </c>
      <c r="BP294" s="14" t="s">
        <v>99</v>
      </c>
      <c r="BQ294" s="14" t="s">
        <v>99</v>
      </c>
      <c r="BR294" s="14" t="s">
        <v>124</v>
      </c>
      <c r="BS294" s="14" t="s">
        <v>6042</v>
      </c>
      <c r="BT294" s="14" t="str">
        <f>HYPERLINK("https%3A%2F%2Fwww.webofscience.com%2Fwos%2Fwoscc%2Ffull-record%2FWOS:000285340000006","View Full Record in Web of Science")</f>
        <v>View Full Record in Web of Science</v>
      </c>
    </row>
    <row r="295" ht="12.75" customHeight="1">
      <c r="A295" s="14" t="s">
        <v>97</v>
      </c>
      <c r="B295" s="14" t="s">
        <v>6043</v>
      </c>
      <c r="C295" s="14" t="s">
        <v>99</v>
      </c>
      <c r="D295" s="14" t="s">
        <v>99</v>
      </c>
      <c r="E295" s="14" t="s">
        <v>99</v>
      </c>
      <c r="F295" s="14" t="s">
        <v>6044</v>
      </c>
      <c r="G295" s="14" t="s">
        <v>99</v>
      </c>
      <c r="H295" s="14" t="s">
        <v>99</v>
      </c>
      <c r="I295" s="14" t="s">
        <v>6045</v>
      </c>
      <c r="J295" s="14" t="s">
        <v>6046</v>
      </c>
      <c r="K295" s="14" t="s">
        <v>99</v>
      </c>
      <c r="L295" s="14" t="s">
        <v>99</v>
      </c>
      <c r="M295" s="14" t="s">
        <v>103</v>
      </c>
      <c r="N295" s="14" t="s">
        <v>104</v>
      </c>
      <c r="O295" s="14" t="s">
        <v>99</v>
      </c>
      <c r="P295" s="14" t="s">
        <v>99</v>
      </c>
      <c r="Q295" s="14" t="s">
        <v>99</v>
      </c>
      <c r="R295" s="14" t="s">
        <v>99</v>
      </c>
      <c r="S295" s="14" t="s">
        <v>99</v>
      </c>
      <c r="T295" s="14" t="s">
        <v>6047</v>
      </c>
      <c r="U295" s="14" t="s">
        <v>6048</v>
      </c>
      <c r="V295" s="14" t="s">
        <v>6049</v>
      </c>
      <c r="W295" s="14" t="s">
        <v>6050</v>
      </c>
      <c r="X295" s="14" t="s">
        <v>6051</v>
      </c>
      <c r="Y295" s="14" t="s">
        <v>6052</v>
      </c>
      <c r="Z295" s="14" t="s">
        <v>99</v>
      </c>
      <c r="AA295" s="14" t="s">
        <v>6053</v>
      </c>
      <c r="AB295" s="14" t="s">
        <v>6054</v>
      </c>
      <c r="AC295" s="14" t="s">
        <v>6055</v>
      </c>
      <c r="AD295" s="14" t="s">
        <v>6056</v>
      </c>
      <c r="AE295" s="14" t="s">
        <v>6057</v>
      </c>
      <c r="AF295" s="14" t="s">
        <v>99</v>
      </c>
      <c r="AG295" s="14">
        <v>60.0</v>
      </c>
      <c r="AH295" s="14">
        <v>379.0</v>
      </c>
      <c r="AI295" s="14">
        <v>443.0</v>
      </c>
      <c r="AJ295" s="14">
        <v>4.0</v>
      </c>
      <c r="AK295" s="14">
        <v>131.0</v>
      </c>
      <c r="AL295" s="14" t="s">
        <v>6058</v>
      </c>
      <c r="AM295" s="14" t="s">
        <v>789</v>
      </c>
      <c r="AN295" s="14" t="s">
        <v>6059</v>
      </c>
      <c r="AO295" s="14" t="s">
        <v>6060</v>
      </c>
      <c r="AP295" s="14" t="s">
        <v>99</v>
      </c>
      <c r="AQ295" s="14" t="s">
        <v>99</v>
      </c>
      <c r="AR295" s="14" t="s">
        <v>6046</v>
      </c>
      <c r="AS295" s="14" t="s">
        <v>6061</v>
      </c>
      <c r="AT295" s="14" t="s">
        <v>1058</v>
      </c>
      <c r="AU295" s="14">
        <v>2010.0</v>
      </c>
      <c r="AV295" s="14">
        <v>60.0</v>
      </c>
      <c r="AW295" s="14">
        <v>11.0</v>
      </c>
      <c r="AX295" s="14" t="s">
        <v>99</v>
      </c>
      <c r="AY295" s="14" t="s">
        <v>99</v>
      </c>
      <c r="AZ295" s="14" t="s">
        <v>99</v>
      </c>
      <c r="BA295" s="14" t="s">
        <v>99</v>
      </c>
      <c r="BB295" s="14">
        <v>886.0</v>
      </c>
      <c r="BC295" s="14">
        <v>897.0</v>
      </c>
      <c r="BD295" s="14" t="s">
        <v>99</v>
      </c>
      <c r="BE295" s="14" t="s">
        <v>6062</v>
      </c>
      <c r="BF295" s="15" t="str">
        <f>HYPERLINK("http://dx.doi.org/10.1525/bio.2010.60.11.5","http://dx.doi.org/10.1525/bio.2010.60.11.5")</f>
        <v>http://dx.doi.org/10.1525/bio.2010.60.11.5</v>
      </c>
      <c r="BG295" s="14" t="s">
        <v>99</v>
      </c>
      <c r="BH295" s="14" t="s">
        <v>99</v>
      </c>
      <c r="BI295" s="14">
        <v>12.0</v>
      </c>
      <c r="BJ295" s="14" t="s">
        <v>1803</v>
      </c>
      <c r="BK295" s="14" t="s">
        <v>122</v>
      </c>
      <c r="BL295" s="14" t="s">
        <v>1804</v>
      </c>
      <c r="BM295" s="14" t="s">
        <v>6063</v>
      </c>
      <c r="BN295" s="14" t="s">
        <v>99</v>
      </c>
      <c r="BO295" s="14" t="s">
        <v>99</v>
      </c>
      <c r="BP295" s="14" t="s">
        <v>99</v>
      </c>
      <c r="BQ295" s="14" t="s">
        <v>99</v>
      </c>
      <c r="BR295" s="14" t="s">
        <v>124</v>
      </c>
      <c r="BS295" s="14" t="s">
        <v>6064</v>
      </c>
      <c r="BT295" s="14" t="str">
        <f>HYPERLINK("https%3A%2F%2Fwww.webofscience.com%2Fwos%2Fwoscc%2Ffull-record%2FWOS:000285328400005","View Full Record in Web of Science")</f>
        <v>View Full Record in Web of Science</v>
      </c>
    </row>
    <row r="296" ht="12.75" customHeight="1">
      <c r="A296" s="14" t="s">
        <v>97</v>
      </c>
      <c r="B296" s="14" t="s">
        <v>6065</v>
      </c>
      <c r="C296" s="14" t="s">
        <v>99</v>
      </c>
      <c r="D296" s="14" t="s">
        <v>99</v>
      </c>
      <c r="E296" s="14" t="s">
        <v>99</v>
      </c>
      <c r="F296" s="14" t="s">
        <v>6066</v>
      </c>
      <c r="G296" s="14" t="s">
        <v>99</v>
      </c>
      <c r="H296" s="14" t="s">
        <v>99</v>
      </c>
      <c r="I296" s="14" t="s">
        <v>6067</v>
      </c>
      <c r="J296" s="14" t="s">
        <v>3842</v>
      </c>
      <c r="K296" s="14" t="s">
        <v>99</v>
      </c>
      <c r="L296" s="14" t="s">
        <v>99</v>
      </c>
      <c r="M296" s="14" t="s">
        <v>103</v>
      </c>
      <c r="N296" s="14" t="s">
        <v>104</v>
      </c>
      <c r="O296" s="14" t="s">
        <v>99</v>
      </c>
      <c r="P296" s="14" t="s">
        <v>99</v>
      </c>
      <c r="Q296" s="14" t="s">
        <v>99</v>
      </c>
      <c r="R296" s="14" t="s">
        <v>99</v>
      </c>
      <c r="S296" s="14" t="s">
        <v>99</v>
      </c>
      <c r="T296" s="14" t="s">
        <v>6068</v>
      </c>
      <c r="U296" s="14" t="s">
        <v>6069</v>
      </c>
      <c r="V296" s="14" t="s">
        <v>6070</v>
      </c>
      <c r="W296" s="14" t="s">
        <v>6071</v>
      </c>
      <c r="X296" s="14" t="s">
        <v>6072</v>
      </c>
      <c r="Y296" s="14" t="s">
        <v>6073</v>
      </c>
      <c r="Z296" s="14" t="s">
        <v>6074</v>
      </c>
      <c r="AA296" s="14" t="s">
        <v>6075</v>
      </c>
      <c r="AB296" s="14" t="s">
        <v>6076</v>
      </c>
      <c r="AC296" s="14" t="s">
        <v>6077</v>
      </c>
      <c r="AD296" s="14" t="s">
        <v>6078</v>
      </c>
      <c r="AE296" s="14" t="s">
        <v>6079</v>
      </c>
      <c r="AF296" s="14" t="s">
        <v>99</v>
      </c>
      <c r="AG296" s="14">
        <v>59.0</v>
      </c>
      <c r="AH296" s="14">
        <v>32.0</v>
      </c>
      <c r="AI296" s="14">
        <v>33.0</v>
      </c>
      <c r="AJ296" s="14">
        <v>0.0</v>
      </c>
      <c r="AK296" s="14">
        <v>53.0</v>
      </c>
      <c r="AL296" s="14" t="s">
        <v>341</v>
      </c>
      <c r="AM296" s="14" t="s">
        <v>342</v>
      </c>
      <c r="AN296" s="14" t="s">
        <v>343</v>
      </c>
      <c r="AO296" s="14" t="s">
        <v>3853</v>
      </c>
      <c r="AP296" s="14" t="s">
        <v>3854</v>
      </c>
      <c r="AQ296" s="14" t="s">
        <v>99</v>
      </c>
      <c r="AR296" s="14" t="s">
        <v>3855</v>
      </c>
      <c r="AS296" s="14" t="s">
        <v>3856</v>
      </c>
      <c r="AT296" s="14" t="s">
        <v>2372</v>
      </c>
      <c r="AU296" s="14">
        <v>2010.0</v>
      </c>
      <c r="AV296" s="14">
        <v>13.0</v>
      </c>
      <c r="AW296" s="14">
        <v>5.0</v>
      </c>
      <c r="AX296" s="14" t="s">
        <v>99</v>
      </c>
      <c r="AY296" s="14" t="s">
        <v>99</v>
      </c>
      <c r="AZ296" s="14" t="s">
        <v>99</v>
      </c>
      <c r="BA296" s="14" t="s">
        <v>99</v>
      </c>
      <c r="BB296" s="14">
        <v>495.0</v>
      </c>
      <c r="BC296" s="14">
        <v>504.0</v>
      </c>
      <c r="BD296" s="14" t="s">
        <v>99</v>
      </c>
      <c r="BE296" s="14" t="s">
        <v>6080</v>
      </c>
      <c r="BF296" s="15" t="str">
        <f>HYPERLINK("http://dx.doi.org/10.1111/j.1469-1795.2010.00369.x","http://dx.doi.org/10.1111/j.1469-1795.2010.00369.x")</f>
        <v>http://dx.doi.org/10.1111/j.1469-1795.2010.00369.x</v>
      </c>
      <c r="BG296" s="14" t="s">
        <v>99</v>
      </c>
      <c r="BH296" s="14" t="s">
        <v>99</v>
      </c>
      <c r="BI296" s="14">
        <v>10.0</v>
      </c>
      <c r="BJ296" s="14" t="s">
        <v>550</v>
      </c>
      <c r="BK296" s="14" t="s">
        <v>122</v>
      </c>
      <c r="BL296" s="14" t="s">
        <v>352</v>
      </c>
      <c r="BM296" s="14" t="s">
        <v>6081</v>
      </c>
      <c r="BN296" s="14" t="s">
        <v>99</v>
      </c>
      <c r="BO296" s="14" t="s">
        <v>373</v>
      </c>
      <c r="BP296" s="14" t="s">
        <v>99</v>
      </c>
      <c r="BQ296" s="14" t="s">
        <v>99</v>
      </c>
      <c r="BR296" s="14" t="s">
        <v>124</v>
      </c>
      <c r="BS296" s="14" t="s">
        <v>6082</v>
      </c>
      <c r="BT296" s="14" t="str">
        <f>HYPERLINK("https%3A%2F%2Fwww.webofscience.com%2Fwos%2Fwoscc%2Ffull-record%2FWOS:000282370500011","View Full Record in Web of Science")</f>
        <v>View Full Record in Web of Science</v>
      </c>
    </row>
    <row r="297" ht="12.75" customHeight="1">
      <c r="A297" s="14" t="s">
        <v>97</v>
      </c>
      <c r="B297" s="14" t="s">
        <v>6083</v>
      </c>
      <c r="C297" s="14" t="s">
        <v>99</v>
      </c>
      <c r="D297" s="14" t="s">
        <v>99</v>
      </c>
      <c r="E297" s="14" t="s">
        <v>99</v>
      </c>
      <c r="F297" s="14" t="s">
        <v>6084</v>
      </c>
      <c r="G297" s="14" t="s">
        <v>99</v>
      </c>
      <c r="H297" s="14" t="s">
        <v>99</v>
      </c>
      <c r="I297" s="14" t="s">
        <v>6085</v>
      </c>
      <c r="J297" s="14" t="s">
        <v>776</v>
      </c>
      <c r="K297" s="14" t="s">
        <v>99</v>
      </c>
      <c r="L297" s="14" t="s">
        <v>99</v>
      </c>
      <c r="M297" s="14" t="s">
        <v>103</v>
      </c>
      <c r="N297" s="14" t="s">
        <v>104</v>
      </c>
      <c r="O297" s="14" t="s">
        <v>99</v>
      </c>
      <c r="P297" s="14" t="s">
        <v>99</v>
      </c>
      <c r="Q297" s="14" t="s">
        <v>99</v>
      </c>
      <c r="R297" s="14" t="s">
        <v>99</v>
      </c>
      <c r="S297" s="14" t="s">
        <v>99</v>
      </c>
      <c r="T297" s="14" t="s">
        <v>6086</v>
      </c>
      <c r="U297" s="14" t="s">
        <v>6087</v>
      </c>
      <c r="V297" s="14" t="s">
        <v>6088</v>
      </c>
      <c r="W297" s="14" t="s">
        <v>6089</v>
      </c>
      <c r="X297" s="14" t="s">
        <v>6090</v>
      </c>
      <c r="Y297" s="14" t="s">
        <v>6091</v>
      </c>
      <c r="Z297" s="14" t="s">
        <v>6092</v>
      </c>
      <c r="AA297" s="14" t="s">
        <v>6093</v>
      </c>
      <c r="AB297" s="14" t="s">
        <v>6094</v>
      </c>
      <c r="AC297" s="14" t="s">
        <v>6095</v>
      </c>
      <c r="AD297" s="14" t="s">
        <v>6096</v>
      </c>
      <c r="AE297" s="14" t="s">
        <v>6097</v>
      </c>
      <c r="AF297" s="14" t="s">
        <v>99</v>
      </c>
      <c r="AG297" s="14">
        <v>50.0</v>
      </c>
      <c r="AH297" s="14">
        <v>1274.0</v>
      </c>
      <c r="AI297" s="14">
        <v>1515.0</v>
      </c>
      <c r="AJ297" s="14">
        <v>12.0</v>
      </c>
      <c r="AK297" s="14">
        <v>381.0</v>
      </c>
      <c r="AL297" s="14" t="s">
        <v>788</v>
      </c>
      <c r="AM297" s="14" t="s">
        <v>789</v>
      </c>
      <c r="AN297" s="14" t="s">
        <v>790</v>
      </c>
      <c r="AO297" s="14" t="s">
        <v>791</v>
      </c>
      <c r="AP297" s="14" t="s">
        <v>99</v>
      </c>
      <c r="AQ297" s="14" t="s">
        <v>99</v>
      </c>
      <c r="AR297" s="14" t="s">
        <v>793</v>
      </c>
      <c r="AS297" s="14" t="s">
        <v>794</v>
      </c>
      <c r="AT297" s="14" t="s">
        <v>6098</v>
      </c>
      <c r="AU297" s="14">
        <v>2010.0</v>
      </c>
      <c r="AV297" s="14">
        <v>107.0</v>
      </c>
      <c r="AW297" s="14">
        <v>38.0</v>
      </c>
      <c r="AX297" s="14" t="s">
        <v>99</v>
      </c>
      <c r="AY297" s="14" t="s">
        <v>99</v>
      </c>
      <c r="AZ297" s="14" t="s">
        <v>99</v>
      </c>
      <c r="BA297" s="14" t="s">
        <v>99</v>
      </c>
      <c r="BB297" s="14">
        <v>16732.0</v>
      </c>
      <c r="BC297" s="14">
        <v>16737.0</v>
      </c>
      <c r="BD297" s="14" t="s">
        <v>99</v>
      </c>
      <c r="BE297" s="14" t="s">
        <v>6099</v>
      </c>
      <c r="BF297" s="15" t="str">
        <f>HYPERLINK("http://dx.doi.org/10.1073/pnas.0910275107","http://dx.doi.org/10.1073/pnas.0910275107")</f>
        <v>http://dx.doi.org/10.1073/pnas.0910275107</v>
      </c>
      <c r="BG297" s="14" t="s">
        <v>99</v>
      </c>
      <c r="BH297" s="14" t="s">
        <v>99</v>
      </c>
      <c r="BI297" s="14">
        <v>6.0</v>
      </c>
      <c r="BJ297" s="14" t="s">
        <v>799</v>
      </c>
      <c r="BK297" s="14" t="s">
        <v>122</v>
      </c>
      <c r="BL297" s="14" t="s">
        <v>801</v>
      </c>
      <c r="BM297" s="14" t="s">
        <v>6100</v>
      </c>
      <c r="BN297" s="14">
        <v>2.080775E7</v>
      </c>
      <c r="BO297" s="14" t="s">
        <v>373</v>
      </c>
      <c r="BP297" s="14" t="s">
        <v>99</v>
      </c>
      <c r="BQ297" s="14" t="s">
        <v>99</v>
      </c>
      <c r="BR297" s="14" t="s">
        <v>124</v>
      </c>
      <c r="BS297" s="14" t="s">
        <v>6101</v>
      </c>
      <c r="BT297" s="14" t="str">
        <f>HYPERLINK("https%3A%2F%2Fwww.webofscience.com%2Fwos%2Fwoscc%2Ffull-record%2FWOS:000282003700063","View Full Record in Web of Science")</f>
        <v>View Full Record in Web of Science</v>
      </c>
    </row>
    <row r="298" ht="12.75" customHeight="1">
      <c r="A298" s="14" t="s">
        <v>97</v>
      </c>
      <c r="B298" s="14" t="s">
        <v>6102</v>
      </c>
      <c r="C298" s="14" t="s">
        <v>99</v>
      </c>
      <c r="D298" s="14" t="s">
        <v>99</v>
      </c>
      <c r="E298" s="14" t="s">
        <v>99</v>
      </c>
      <c r="F298" s="14" t="s">
        <v>6103</v>
      </c>
      <c r="G298" s="14" t="s">
        <v>99</v>
      </c>
      <c r="H298" s="14" t="s">
        <v>99</v>
      </c>
      <c r="I298" s="14" t="s">
        <v>6104</v>
      </c>
      <c r="J298" s="14" t="s">
        <v>2566</v>
      </c>
      <c r="K298" s="14" t="s">
        <v>99</v>
      </c>
      <c r="L298" s="14" t="s">
        <v>99</v>
      </c>
      <c r="M298" s="14" t="s">
        <v>103</v>
      </c>
      <c r="N298" s="14" t="s">
        <v>104</v>
      </c>
      <c r="O298" s="14" t="s">
        <v>99</v>
      </c>
      <c r="P298" s="14" t="s">
        <v>99</v>
      </c>
      <c r="Q298" s="14" t="s">
        <v>99</v>
      </c>
      <c r="R298" s="14" t="s">
        <v>99</v>
      </c>
      <c r="S298" s="14" t="s">
        <v>99</v>
      </c>
      <c r="T298" s="14" t="s">
        <v>99</v>
      </c>
      <c r="U298" s="14" t="s">
        <v>6105</v>
      </c>
      <c r="V298" s="14" t="s">
        <v>6106</v>
      </c>
      <c r="W298" s="14" t="s">
        <v>6107</v>
      </c>
      <c r="X298" s="14" t="s">
        <v>6108</v>
      </c>
      <c r="Y298" s="14" t="s">
        <v>6109</v>
      </c>
      <c r="Z298" s="14" t="s">
        <v>6110</v>
      </c>
      <c r="AA298" s="14" t="s">
        <v>6111</v>
      </c>
      <c r="AB298" s="14" t="s">
        <v>6112</v>
      </c>
      <c r="AC298" s="14" t="s">
        <v>6113</v>
      </c>
      <c r="AD298" s="14" t="s">
        <v>6114</v>
      </c>
      <c r="AE298" s="14" t="s">
        <v>6115</v>
      </c>
      <c r="AF298" s="14" t="s">
        <v>99</v>
      </c>
      <c r="AG298" s="14">
        <v>31.0</v>
      </c>
      <c r="AH298" s="14">
        <v>972.0</v>
      </c>
      <c r="AI298" s="14">
        <v>1165.0</v>
      </c>
      <c r="AJ298" s="14">
        <v>13.0</v>
      </c>
      <c r="AK298" s="14">
        <v>677.0</v>
      </c>
      <c r="AL298" s="14" t="s">
        <v>1243</v>
      </c>
      <c r="AM298" s="14" t="s">
        <v>789</v>
      </c>
      <c r="AN298" s="14" t="s">
        <v>1244</v>
      </c>
      <c r="AO298" s="14" t="s">
        <v>2578</v>
      </c>
      <c r="AP298" s="14" t="s">
        <v>99</v>
      </c>
      <c r="AQ298" s="14" t="s">
        <v>99</v>
      </c>
      <c r="AR298" s="14" t="s">
        <v>2566</v>
      </c>
      <c r="AS298" s="14" t="s">
        <v>2580</v>
      </c>
      <c r="AT298" s="14" t="s">
        <v>6116</v>
      </c>
      <c r="AU298" s="14">
        <v>2010.0</v>
      </c>
      <c r="AV298" s="14">
        <v>329.0</v>
      </c>
      <c r="AW298" s="14">
        <v>5996.0</v>
      </c>
      <c r="AX298" s="14" t="s">
        <v>99</v>
      </c>
      <c r="AY298" s="14" t="s">
        <v>99</v>
      </c>
      <c r="AZ298" s="14" t="s">
        <v>99</v>
      </c>
      <c r="BA298" s="14" t="s">
        <v>99</v>
      </c>
      <c r="BB298" s="14">
        <v>1185.0</v>
      </c>
      <c r="BC298" s="14">
        <v>1188.0</v>
      </c>
      <c r="BD298" s="14" t="s">
        <v>99</v>
      </c>
      <c r="BE298" s="14" t="s">
        <v>6117</v>
      </c>
      <c r="BF298" s="15" t="str">
        <f>HYPERLINK("http://dx.doi.org/10.1126/science.1192321","http://dx.doi.org/10.1126/science.1192321")</f>
        <v>http://dx.doi.org/10.1126/science.1192321</v>
      </c>
      <c r="BG298" s="14" t="s">
        <v>99</v>
      </c>
      <c r="BH298" s="14" t="s">
        <v>99</v>
      </c>
      <c r="BI298" s="14">
        <v>4.0</v>
      </c>
      <c r="BJ298" s="14" t="s">
        <v>799</v>
      </c>
      <c r="BK298" s="14" t="s">
        <v>122</v>
      </c>
      <c r="BL298" s="14" t="s">
        <v>801</v>
      </c>
      <c r="BM298" s="14" t="s">
        <v>6118</v>
      </c>
      <c r="BN298" s="14">
        <v>2.0724586E7</v>
      </c>
      <c r="BO298" s="14" t="s">
        <v>238</v>
      </c>
      <c r="BP298" s="14" t="s">
        <v>99</v>
      </c>
      <c r="BQ298" s="14" t="s">
        <v>99</v>
      </c>
      <c r="BR298" s="14" t="s">
        <v>124</v>
      </c>
      <c r="BS298" s="14" t="s">
        <v>6119</v>
      </c>
      <c r="BT298" s="14" t="str">
        <f>HYPERLINK("https%3A%2F%2Fwww.webofscience.com%2Fwos%2Fwoscc%2Ffull-record%2FWOS:000281485600030","View Full Record in Web of Science")</f>
        <v>View Full Record in Web of Science</v>
      </c>
    </row>
    <row r="299" ht="12.75" customHeight="1">
      <c r="A299" s="14" t="s">
        <v>97</v>
      </c>
      <c r="B299" s="14" t="s">
        <v>6120</v>
      </c>
      <c r="C299" s="14" t="s">
        <v>99</v>
      </c>
      <c r="D299" s="14" t="s">
        <v>99</v>
      </c>
      <c r="E299" s="14" t="s">
        <v>99</v>
      </c>
      <c r="F299" s="14" t="s">
        <v>6121</v>
      </c>
      <c r="G299" s="14" t="s">
        <v>99</v>
      </c>
      <c r="H299" s="14" t="s">
        <v>99</v>
      </c>
      <c r="I299" s="14" t="s">
        <v>6122</v>
      </c>
      <c r="J299" s="14" t="s">
        <v>6123</v>
      </c>
      <c r="K299" s="14" t="s">
        <v>99</v>
      </c>
      <c r="L299" s="14" t="s">
        <v>99</v>
      </c>
      <c r="M299" s="14" t="s">
        <v>103</v>
      </c>
      <c r="N299" s="14" t="s">
        <v>104</v>
      </c>
      <c r="O299" s="14" t="s">
        <v>99</v>
      </c>
      <c r="P299" s="14" t="s">
        <v>99</v>
      </c>
      <c r="Q299" s="14" t="s">
        <v>99</v>
      </c>
      <c r="R299" s="14" t="s">
        <v>99</v>
      </c>
      <c r="S299" s="14" t="s">
        <v>99</v>
      </c>
      <c r="T299" s="14" t="s">
        <v>6124</v>
      </c>
      <c r="U299" s="14" t="s">
        <v>6125</v>
      </c>
      <c r="V299" s="14" t="s">
        <v>6126</v>
      </c>
      <c r="W299" s="14" t="s">
        <v>6127</v>
      </c>
      <c r="X299" s="14" t="s">
        <v>6128</v>
      </c>
      <c r="Y299" s="14" t="s">
        <v>6129</v>
      </c>
      <c r="Z299" s="14" t="s">
        <v>99</v>
      </c>
      <c r="AA299" s="14" t="s">
        <v>6130</v>
      </c>
      <c r="AB299" s="14" t="s">
        <v>6131</v>
      </c>
      <c r="AC299" s="14" t="s">
        <v>99</v>
      </c>
      <c r="AD299" s="14" t="s">
        <v>99</v>
      </c>
      <c r="AE299" s="14" t="s">
        <v>99</v>
      </c>
      <c r="AF299" s="14" t="s">
        <v>99</v>
      </c>
      <c r="AG299" s="14">
        <v>58.0</v>
      </c>
      <c r="AH299" s="14">
        <v>159.0</v>
      </c>
      <c r="AI299" s="14">
        <v>180.0</v>
      </c>
      <c r="AJ299" s="14">
        <v>3.0</v>
      </c>
      <c r="AK299" s="14">
        <v>124.0</v>
      </c>
      <c r="AL299" s="14" t="s">
        <v>441</v>
      </c>
      <c r="AM299" s="14" t="s">
        <v>442</v>
      </c>
      <c r="AN299" s="14" t="s">
        <v>443</v>
      </c>
      <c r="AO299" s="14" t="s">
        <v>6132</v>
      </c>
      <c r="AP299" s="14" t="s">
        <v>6133</v>
      </c>
      <c r="AQ299" s="14" t="s">
        <v>99</v>
      </c>
      <c r="AR299" s="14" t="s">
        <v>6134</v>
      </c>
      <c r="AS299" s="14" t="s">
        <v>6135</v>
      </c>
      <c r="AT299" s="14" t="s">
        <v>6136</v>
      </c>
      <c r="AU299" s="14">
        <v>2010.0</v>
      </c>
      <c r="AV299" s="14">
        <v>99.0</v>
      </c>
      <c r="AW299" s="14">
        <v>3.0</v>
      </c>
      <c r="AX299" s="14" t="s">
        <v>99</v>
      </c>
      <c r="AY299" s="14" t="s">
        <v>99</v>
      </c>
      <c r="AZ299" s="14" t="s">
        <v>99</v>
      </c>
      <c r="BA299" s="14" t="s">
        <v>99</v>
      </c>
      <c r="BB299" s="14">
        <v>397.0</v>
      </c>
      <c r="BC299" s="14">
        <v>404.0</v>
      </c>
      <c r="BD299" s="14" t="s">
        <v>99</v>
      </c>
      <c r="BE299" s="14" t="s">
        <v>6137</v>
      </c>
      <c r="BF299" s="15" t="str">
        <f>HYPERLINK("http://dx.doi.org/10.1016/j.aquatox.2010.05.019","http://dx.doi.org/10.1016/j.aquatox.2010.05.019")</f>
        <v>http://dx.doi.org/10.1016/j.aquatox.2010.05.019</v>
      </c>
      <c r="BG299" s="14" t="s">
        <v>99</v>
      </c>
      <c r="BH299" s="14" t="s">
        <v>99</v>
      </c>
      <c r="BI299" s="14">
        <v>8.0</v>
      </c>
      <c r="BJ299" s="14" t="s">
        <v>6138</v>
      </c>
      <c r="BK299" s="14" t="s">
        <v>122</v>
      </c>
      <c r="BL299" s="14" t="s">
        <v>6138</v>
      </c>
      <c r="BM299" s="14" t="s">
        <v>6139</v>
      </c>
      <c r="BN299" s="14">
        <v>2.0591511E7</v>
      </c>
      <c r="BO299" s="14" t="s">
        <v>99</v>
      </c>
      <c r="BP299" s="14" t="s">
        <v>99</v>
      </c>
      <c r="BQ299" s="14" t="s">
        <v>99</v>
      </c>
      <c r="BR299" s="14" t="s">
        <v>124</v>
      </c>
      <c r="BS299" s="14" t="s">
        <v>6140</v>
      </c>
      <c r="BT299" s="14" t="str">
        <f>HYPERLINK("https%3A%2F%2Fwww.webofscience.com%2Fwos%2Fwoscc%2Ffull-record%2FWOS:000281493400010","View Full Record in Web of Science")</f>
        <v>View Full Record in Web of Science</v>
      </c>
    </row>
    <row r="300" ht="12.75" customHeight="1">
      <c r="A300" s="14" t="s">
        <v>97</v>
      </c>
      <c r="B300" s="14" t="s">
        <v>6141</v>
      </c>
      <c r="C300" s="14" t="s">
        <v>99</v>
      </c>
      <c r="D300" s="14" t="s">
        <v>99</v>
      </c>
      <c r="E300" s="14" t="s">
        <v>99</v>
      </c>
      <c r="F300" s="14" t="s">
        <v>6142</v>
      </c>
      <c r="G300" s="14" t="s">
        <v>99</v>
      </c>
      <c r="H300" s="14" t="s">
        <v>99</v>
      </c>
      <c r="I300" s="14" t="s">
        <v>6143</v>
      </c>
      <c r="J300" s="14" t="s">
        <v>5068</v>
      </c>
      <c r="K300" s="14" t="s">
        <v>99</v>
      </c>
      <c r="L300" s="14" t="s">
        <v>99</v>
      </c>
      <c r="M300" s="14" t="s">
        <v>103</v>
      </c>
      <c r="N300" s="14" t="s">
        <v>104</v>
      </c>
      <c r="O300" s="14" t="s">
        <v>99</v>
      </c>
      <c r="P300" s="14" t="s">
        <v>99</v>
      </c>
      <c r="Q300" s="14" t="s">
        <v>99</v>
      </c>
      <c r="R300" s="14" t="s">
        <v>99</v>
      </c>
      <c r="S300" s="14" t="s">
        <v>99</v>
      </c>
      <c r="T300" s="14" t="s">
        <v>6144</v>
      </c>
      <c r="U300" s="14" t="s">
        <v>6145</v>
      </c>
      <c r="V300" s="14" t="s">
        <v>6146</v>
      </c>
      <c r="W300" s="14" t="s">
        <v>6147</v>
      </c>
      <c r="X300" s="14" t="s">
        <v>6148</v>
      </c>
      <c r="Y300" s="14" t="s">
        <v>6149</v>
      </c>
      <c r="Z300" s="14" t="s">
        <v>6150</v>
      </c>
      <c r="AA300" s="14" t="s">
        <v>99</v>
      </c>
      <c r="AB300" s="14" t="s">
        <v>99</v>
      </c>
      <c r="AC300" s="14" t="s">
        <v>6151</v>
      </c>
      <c r="AD300" s="14" t="s">
        <v>6152</v>
      </c>
      <c r="AE300" s="14" t="s">
        <v>6153</v>
      </c>
      <c r="AF300" s="14" t="s">
        <v>99</v>
      </c>
      <c r="AG300" s="14">
        <v>30.0</v>
      </c>
      <c r="AH300" s="14">
        <v>33.0</v>
      </c>
      <c r="AI300" s="14">
        <v>37.0</v>
      </c>
      <c r="AJ300" s="14">
        <v>1.0</v>
      </c>
      <c r="AK300" s="14">
        <v>24.0</v>
      </c>
      <c r="AL300" s="14" t="s">
        <v>493</v>
      </c>
      <c r="AM300" s="14" t="s">
        <v>468</v>
      </c>
      <c r="AN300" s="14" t="s">
        <v>635</v>
      </c>
      <c r="AO300" s="14" t="s">
        <v>5078</v>
      </c>
      <c r="AP300" s="14" t="s">
        <v>5079</v>
      </c>
      <c r="AQ300" s="14" t="s">
        <v>99</v>
      </c>
      <c r="AR300" s="14" t="s">
        <v>5080</v>
      </c>
      <c r="AS300" s="14" t="s">
        <v>5081</v>
      </c>
      <c r="AT300" s="14" t="s">
        <v>421</v>
      </c>
      <c r="AU300" s="14">
        <v>2010.0</v>
      </c>
      <c r="AV300" s="14">
        <v>29.0</v>
      </c>
      <c r="AW300" s="14">
        <v>9.0</v>
      </c>
      <c r="AX300" s="14" t="s">
        <v>99</v>
      </c>
      <c r="AY300" s="14" t="s">
        <v>99</v>
      </c>
      <c r="AZ300" s="14" t="s">
        <v>99</v>
      </c>
      <c r="BA300" s="14" t="s">
        <v>99</v>
      </c>
      <c r="BB300" s="14">
        <v>957.0</v>
      </c>
      <c r="BC300" s="14">
        <v>962.0</v>
      </c>
      <c r="BD300" s="14" t="s">
        <v>99</v>
      </c>
      <c r="BE300" s="14" t="s">
        <v>6154</v>
      </c>
      <c r="BF300" s="15" t="str">
        <f>HYPERLINK("http://dx.doi.org/10.1016/j.cropro.2010.05.001","http://dx.doi.org/10.1016/j.cropro.2010.05.001")</f>
        <v>http://dx.doi.org/10.1016/j.cropro.2010.05.001</v>
      </c>
      <c r="BG300" s="14" t="s">
        <v>99</v>
      </c>
      <c r="BH300" s="14" t="s">
        <v>99</v>
      </c>
      <c r="BI300" s="14">
        <v>6.0</v>
      </c>
      <c r="BJ300" s="14" t="s">
        <v>2968</v>
      </c>
      <c r="BK300" s="14" t="s">
        <v>122</v>
      </c>
      <c r="BL300" s="14" t="s">
        <v>2969</v>
      </c>
      <c r="BM300" s="14" t="s">
        <v>6155</v>
      </c>
      <c r="BN300" s="14" t="s">
        <v>99</v>
      </c>
      <c r="BO300" s="14" t="s">
        <v>99</v>
      </c>
      <c r="BP300" s="14" t="s">
        <v>99</v>
      </c>
      <c r="BQ300" s="14" t="s">
        <v>99</v>
      </c>
      <c r="BR300" s="14" t="s">
        <v>124</v>
      </c>
      <c r="BS300" s="14" t="s">
        <v>6156</v>
      </c>
      <c r="BT300" s="14" t="str">
        <f>HYPERLINK("https%3A%2F%2Fwww.webofscience.com%2Fwos%2Fwoscc%2Ffull-record%2FWOS:000281107700008","View Full Record in Web of Science")</f>
        <v>View Full Record in Web of Science</v>
      </c>
    </row>
    <row r="301" ht="12.75" customHeight="1">
      <c r="A301" s="14" t="s">
        <v>97</v>
      </c>
      <c r="B301" s="14" t="s">
        <v>6157</v>
      </c>
      <c r="C301" s="14" t="s">
        <v>99</v>
      </c>
      <c r="D301" s="14" t="s">
        <v>99</v>
      </c>
      <c r="E301" s="14" t="s">
        <v>99</v>
      </c>
      <c r="F301" s="14" t="s">
        <v>6158</v>
      </c>
      <c r="G301" s="14" t="s">
        <v>99</v>
      </c>
      <c r="H301" s="14" t="s">
        <v>99</v>
      </c>
      <c r="I301" s="14" t="s">
        <v>6159</v>
      </c>
      <c r="J301" s="14" t="s">
        <v>776</v>
      </c>
      <c r="K301" s="14" t="s">
        <v>99</v>
      </c>
      <c r="L301" s="14" t="s">
        <v>99</v>
      </c>
      <c r="M301" s="14" t="s">
        <v>103</v>
      </c>
      <c r="N301" s="14" t="s">
        <v>104</v>
      </c>
      <c r="O301" s="14" t="s">
        <v>99</v>
      </c>
      <c r="P301" s="14" t="s">
        <v>99</v>
      </c>
      <c r="Q301" s="14" t="s">
        <v>99</v>
      </c>
      <c r="R301" s="14" t="s">
        <v>99</v>
      </c>
      <c r="S301" s="14" t="s">
        <v>99</v>
      </c>
      <c r="T301" s="14" t="s">
        <v>6160</v>
      </c>
      <c r="U301" s="14" t="s">
        <v>6161</v>
      </c>
      <c r="V301" s="14" t="s">
        <v>6162</v>
      </c>
      <c r="W301" s="14" t="s">
        <v>6163</v>
      </c>
      <c r="X301" s="14" t="s">
        <v>6164</v>
      </c>
      <c r="Y301" s="14" t="s">
        <v>6165</v>
      </c>
      <c r="Z301" s="14" t="s">
        <v>6166</v>
      </c>
      <c r="AA301" s="14" t="s">
        <v>6167</v>
      </c>
      <c r="AB301" s="14" t="s">
        <v>6168</v>
      </c>
      <c r="AC301" s="14" t="s">
        <v>6169</v>
      </c>
      <c r="AD301" s="14" t="s">
        <v>6170</v>
      </c>
      <c r="AE301" s="14" t="s">
        <v>6171</v>
      </c>
      <c r="AF301" s="14" t="s">
        <v>99</v>
      </c>
      <c r="AG301" s="14">
        <v>56.0</v>
      </c>
      <c r="AH301" s="14">
        <v>224.0</v>
      </c>
      <c r="AI301" s="14">
        <v>260.0</v>
      </c>
      <c r="AJ301" s="14">
        <v>0.0</v>
      </c>
      <c r="AK301" s="14">
        <v>108.0</v>
      </c>
      <c r="AL301" s="14" t="s">
        <v>788</v>
      </c>
      <c r="AM301" s="14" t="s">
        <v>789</v>
      </c>
      <c r="AN301" s="14" t="s">
        <v>790</v>
      </c>
      <c r="AO301" s="14" t="s">
        <v>791</v>
      </c>
      <c r="AP301" s="14" t="s">
        <v>792</v>
      </c>
      <c r="AQ301" s="14" t="s">
        <v>99</v>
      </c>
      <c r="AR301" s="14" t="s">
        <v>793</v>
      </c>
      <c r="AS301" s="14" t="s">
        <v>794</v>
      </c>
      <c r="AT301" s="14" t="s">
        <v>6172</v>
      </c>
      <c r="AU301" s="14">
        <v>2010.0</v>
      </c>
      <c r="AV301" s="14">
        <v>107.0</v>
      </c>
      <c r="AW301" s="14">
        <v>33.0</v>
      </c>
      <c r="AX301" s="14" t="s">
        <v>99</v>
      </c>
      <c r="AY301" s="14" t="s">
        <v>99</v>
      </c>
      <c r="AZ301" s="14" t="s">
        <v>99</v>
      </c>
      <c r="BA301" s="14" t="s">
        <v>99</v>
      </c>
      <c r="BB301" s="14">
        <v>14556.0</v>
      </c>
      <c r="BC301" s="14">
        <v>14561.0</v>
      </c>
      <c r="BD301" s="14" t="s">
        <v>99</v>
      </c>
      <c r="BE301" s="14" t="s">
        <v>6173</v>
      </c>
      <c r="BF301" s="15" t="str">
        <f>HYPERLINK("http://dx.doi.org/10.1073/pnas.0914471107","http://dx.doi.org/10.1073/pnas.0914471107")</f>
        <v>http://dx.doi.org/10.1073/pnas.0914471107</v>
      </c>
      <c r="BG301" s="14" t="s">
        <v>99</v>
      </c>
      <c r="BH301" s="14" t="s">
        <v>99</v>
      </c>
      <c r="BI301" s="14">
        <v>6.0</v>
      </c>
      <c r="BJ301" s="14" t="s">
        <v>799</v>
      </c>
      <c r="BK301" s="14" t="s">
        <v>800</v>
      </c>
      <c r="BL301" s="14" t="s">
        <v>801</v>
      </c>
      <c r="BM301" s="14" t="s">
        <v>6174</v>
      </c>
      <c r="BN301" s="14">
        <v>2.06792E7</v>
      </c>
      <c r="BO301" s="14" t="s">
        <v>425</v>
      </c>
      <c r="BP301" s="14" t="s">
        <v>99</v>
      </c>
      <c r="BQ301" s="14" t="s">
        <v>99</v>
      </c>
      <c r="BR301" s="14" t="s">
        <v>124</v>
      </c>
      <c r="BS301" s="14" t="s">
        <v>6175</v>
      </c>
      <c r="BT301" s="14" t="str">
        <f>HYPERLINK("https%3A%2F%2Fwww.webofscience.com%2Fwos%2Fwoscc%2Ffull-record%2FWOS:000281287600010","View Full Record in Web of Science")</f>
        <v>View Full Record in Web of Science</v>
      </c>
    </row>
    <row r="302" ht="12.75" customHeight="1">
      <c r="A302" s="14" t="s">
        <v>97</v>
      </c>
      <c r="B302" s="14" t="s">
        <v>6176</v>
      </c>
      <c r="C302" s="14" t="s">
        <v>99</v>
      </c>
      <c r="D302" s="14" t="s">
        <v>99</v>
      </c>
      <c r="E302" s="14" t="s">
        <v>99</v>
      </c>
      <c r="F302" s="14" t="s">
        <v>6177</v>
      </c>
      <c r="G302" s="14" t="s">
        <v>99</v>
      </c>
      <c r="H302" s="14" t="s">
        <v>99</v>
      </c>
      <c r="I302" s="14" t="s">
        <v>6178</v>
      </c>
      <c r="J302" s="14" t="s">
        <v>6179</v>
      </c>
      <c r="K302" s="14" t="s">
        <v>99</v>
      </c>
      <c r="L302" s="14" t="s">
        <v>99</v>
      </c>
      <c r="M302" s="14" t="s">
        <v>103</v>
      </c>
      <c r="N302" s="14" t="s">
        <v>104</v>
      </c>
      <c r="O302" s="14" t="s">
        <v>99</v>
      </c>
      <c r="P302" s="14" t="s">
        <v>99</v>
      </c>
      <c r="Q302" s="14" t="s">
        <v>99</v>
      </c>
      <c r="R302" s="14" t="s">
        <v>99</v>
      </c>
      <c r="S302" s="14" t="s">
        <v>99</v>
      </c>
      <c r="T302" s="14" t="s">
        <v>6180</v>
      </c>
      <c r="U302" s="14" t="s">
        <v>6181</v>
      </c>
      <c r="V302" s="14" t="s">
        <v>6182</v>
      </c>
      <c r="W302" s="14" t="s">
        <v>6183</v>
      </c>
      <c r="X302" s="14" t="s">
        <v>6184</v>
      </c>
      <c r="Y302" s="14" t="s">
        <v>6185</v>
      </c>
      <c r="Z302" s="14" t="s">
        <v>6186</v>
      </c>
      <c r="AA302" s="14" t="s">
        <v>6187</v>
      </c>
      <c r="AB302" s="14" t="s">
        <v>6188</v>
      </c>
      <c r="AC302" s="14" t="s">
        <v>6189</v>
      </c>
      <c r="AD302" s="14" t="s">
        <v>6190</v>
      </c>
      <c r="AE302" s="14" t="s">
        <v>6191</v>
      </c>
      <c r="AF302" s="14" t="s">
        <v>99</v>
      </c>
      <c r="AG302" s="14">
        <v>205.0</v>
      </c>
      <c r="AH302" s="14">
        <v>255.0</v>
      </c>
      <c r="AI302" s="14">
        <v>288.0</v>
      </c>
      <c r="AJ302" s="14">
        <v>1.0</v>
      </c>
      <c r="AK302" s="14">
        <v>174.0</v>
      </c>
      <c r="AL302" s="14" t="s">
        <v>467</v>
      </c>
      <c r="AM302" s="14" t="s">
        <v>468</v>
      </c>
      <c r="AN302" s="14" t="s">
        <v>469</v>
      </c>
      <c r="AO302" s="14" t="s">
        <v>6192</v>
      </c>
      <c r="AP302" s="14" t="s">
        <v>6193</v>
      </c>
      <c r="AQ302" s="14" t="s">
        <v>99</v>
      </c>
      <c r="AR302" s="14" t="s">
        <v>6194</v>
      </c>
      <c r="AS302" s="14" t="s">
        <v>6195</v>
      </c>
      <c r="AT302" s="14" t="s">
        <v>448</v>
      </c>
      <c r="AU302" s="14">
        <v>2010.0</v>
      </c>
      <c r="AV302" s="14">
        <v>57.0</v>
      </c>
      <c r="AW302" s="14">
        <v>16.0</v>
      </c>
      <c r="AX302" s="14" t="s">
        <v>99</v>
      </c>
      <c r="AY302" s="14" t="s">
        <v>99</v>
      </c>
      <c r="AZ302" s="14" t="s">
        <v>99</v>
      </c>
      <c r="BA302" s="14" t="s">
        <v>99</v>
      </c>
      <c r="BB302" s="14">
        <v>1504.0</v>
      </c>
      <c r="BC302" s="14">
        <v>1518.0</v>
      </c>
      <c r="BD302" s="14" t="s">
        <v>99</v>
      </c>
      <c r="BE302" s="14" t="s">
        <v>6196</v>
      </c>
      <c r="BF302" s="15" t="str">
        <f>HYPERLINK("http://dx.doi.org/10.1016/j.dsr2.2010.02.018","http://dx.doi.org/10.1016/j.dsr2.2010.02.018")</f>
        <v>http://dx.doi.org/10.1016/j.dsr2.2010.02.018</v>
      </c>
      <c r="BG302" s="14" t="s">
        <v>99</v>
      </c>
      <c r="BH302" s="14" t="s">
        <v>99</v>
      </c>
      <c r="BI302" s="14">
        <v>15.0</v>
      </c>
      <c r="BJ302" s="14" t="s">
        <v>2034</v>
      </c>
      <c r="BK302" s="14" t="s">
        <v>122</v>
      </c>
      <c r="BL302" s="14" t="s">
        <v>2034</v>
      </c>
      <c r="BM302" s="14" t="s">
        <v>6197</v>
      </c>
      <c r="BN302" s="14" t="s">
        <v>99</v>
      </c>
      <c r="BO302" s="14" t="s">
        <v>425</v>
      </c>
      <c r="BP302" s="14" t="s">
        <v>99</v>
      </c>
      <c r="BQ302" s="14" t="s">
        <v>99</v>
      </c>
      <c r="BR302" s="14" t="s">
        <v>124</v>
      </c>
      <c r="BS302" s="14" t="s">
        <v>6198</v>
      </c>
      <c r="BT302" s="14" t="str">
        <f>HYPERLINK("https%3A%2F%2Fwww.webofscience.com%2Fwos%2Fwoscc%2Ffull-record%2FWOS:000280377900008","View Full Record in Web of Science")</f>
        <v>View Full Record in Web of Science</v>
      </c>
    </row>
    <row r="303" ht="12.75" customHeight="1">
      <c r="A303" s="14" t="s">
        <v>97</v>
      </c>
      <c r="B303" s="14" t="s">
        <v>6199</v>
      </c>
      <c r="C303" s="14" t="s">
        <v>99</v>
      </c>
      <c r="D303" s="14" t="s">
        <v>99</v>
      </c>
      <c r="E303" s="14" t="s">
        <v>99</v>
      </c>
      <c r="F303" s="14" t="s">
        <v>6200</v>
      </c>
      <c r="G303" s="14" t="s">
        <v>99</v>
      </c>
      <c r="H303" s="14" t="s">
        <v>99</v>
      </c>
      <c r="I303" s="14" t="s">
        <v>6201</v>
      </c>
      <c r="J303" s="14" t="s">
        <v>456</v>
      </c>
      <c r="K303" s="14" t="s">
        <v>99</v>
      </c>
      <c r="L303" s="14" t="s">
        <v>99</v>
      </c>
      <c r="M303" s="14" t="s">
        <v>103</v>
      </c>
      <c r="N303" s="14" t="s">
        <v>104</v>
      </c>
      <c r="O303" s="14" t="s">
        <v>99</v>
      </c>
      <c r="P303" s="14" t="s">
        <v>99</v>
      </c>
      <c r="Q303" s="14" t="s">
        <v>99</v>
      </c>
      <c r="R303" s="14" t="s">
        <v>99</v>
      </c>
      <c r="S303" s="14" t="s">
        <v>99</v>
      </c>
      <c r="T303" s="14" t="s">
        <v>6202</v>
      </c>
      <c r="U303" s="14" t="s">
        <v>6203</v>
      </c>
      <c r="V303" s="14" t="s">
        <v>6204</v>
      </c>
      <c r="W303" s="14" t="s">
        <v>6205</v>
      </c>
      <c r="X303" s="14" t="s">
        <v>6206</v>
      </c>
      <c r="Y303" s="14" t="s">
        <v>6207</v>
      </c>
      <c r="Z303" s="14" t="s">
        <v>6208</v>
      </c>
      <c r="AA303" s="14" t="s">
        <v>99</v>
      </c>
      <c r="AB303" s="14" t="s">
        <v>99</v>
      </c>
      <c r="AC303" s="14" t="s">
        <v>6209</v>
      </c>
      <c r="AD303" s="14" t="s">
        <v>6209</v>
      </c>
      <c r="AE303" s="14" t="s">
        <v>6210</v>
      </c>
      <c r="AF303" s="14" t="s">
        <v>99</v>
      </c>
      <c r="AG303" s="14">
        <v>38.0</v>
      </c>
      <c r="AH303" s="14">
        <v>13.0</v>
      </c>
      <c r="AI303" s="14">
        <v>16.0</v>
      </c>
      <c r="AJ303" s="14">
        <v>1.0</v>
      </c>
      <c r="AK303" s="14">
        <v>35.0</v>
      </c>
      <c r="AL303" s="14" t="s">
        <v>467</v>
      </c>
      <c r="AM303" s="14" t="s">
        <v>468</v>
      </c>
      <c r="AN303" s="14" t="s">
        <v>469</v>
      </c>
      <c r="AO303" s="14" t="s">
        <v>470</v>
      </c>
      <c r="AP303" s="14" t="s">
        <v>471</v>
      </c>
      <c r="AQ303" s="14" t="s">
        <v>99</v>
      </c>
      <c r="AR303" s="14" t="s">
        <v>472</v>
      </c>
      <c r="AS303" s="14" t="s">
        <v>473</v>
      </c>
      <c r="AT303" s="14" t="s">
        <v>474</v>
      </c>
      <c r="AU303" s="14">
        <v>2010.0</v>
      </c>
      <c r="AV303" s="14">
        <v>60.0</v>
      </c>
      <c r="AW303" s="14">
        <v>8.0</v>
      </c>
      <c r="AX303" s="14" t="s">
        <v>99</v>
      </c>
      <c r="AY303" s="14" t="s">
        <v>99</v>
      </c>
      <c r="AZ303" s="14" t="s">
        <v>99</v>
      </c>
      <c r="BA303" s="14" t="s">
        <v>99</v>
      </c>
      <c r="BB303" s="14">
        <v>1299.0</v>
      </c>
      <c r="BC303" s="14">
        <v>1306.0</v>
      </c>
      <c r="BD303" s="14" t="s">
        <v>99</v>
      </c>
      <c r="BE303" s="14" t="s">
        <v>6211</v>
      </c>
      <c r="BF303" s="15" t="str">
        <f>HYPERLINK("http://dx.doi.org/10.1016/j.marpolbul.2010.03.012","http://dx.doi.org/10.1016/j.marpolbul.2010.03.012")</f>
        <v>http://dx.doi.org/10.1016/j.marpolbul.2010.03.012</v>
      </c>
      <c r="BG303" s="14" t="s">
        <v>99</v>
      </c>
      <c r="BH303" s="14" t="s">
        <v>99</v>
      </c>
      <c r="BI303" s="14">
        <v>8.0</v>
      </c>
      <c r="BJ303" s="14" t="s">
        <v>396</v>
      </c>
      <c r="BK303" s="14" t="s">
        <v>122</v>
      </c>
      <c r="BL303" s="14" t="s">
        <v>397</v>
      </c>
      <c r="BM303" s="14" t="s">
        <v>6212</v>
      </c>
      <c r="BN303" s="14">
        <v>2.0392464E7</v>
      </c>
      <c r="BO303" s="14" t="s">
        <v>99</v>
      </c>
      <c r="BP303" s="14" t="s">
        <v>99</v>
      </c>
      <c r="BQ303" s="14" t="s">
        <v>99</v>
      </c>
      <c r="BR303" s="14" t="s">
        <v>124</v>
      </c>
      <c r="BS303" s="14" t="s">
        <v>6213</v>
      </c>
      <c r="BT303" s="14" t="str">
        <f>HYPERLINK("https%3A%2F%2Fwww.webofscience.com%2Fwos%2Fwoscc%2Ffull-record%2FWOS:000281474000029","View Full Record in Web of Science")</f>
        <v>View Full Record in Web of Science</v>
      </c>
    </row>
    <row r="304" ht="12.75" customHeight="1">
      <c r="A304" s="14" t="s">
        <v>97</v>
      </c>
      <c r="B304" s="14" t="s">
        <v>6214</v>
      </c>
      <c r="C304" s="14" t="s">
        <v>99</v>
      </c>
      <c r="D304" s="14" t="s">
        <v>99</v>
      </c>
      <c r="E304" s="14" t="s">
        <v>99</v>
      </c>
      <c r="F304" s="14" t="s">
        <v>6215</v>
      </c>
      <c r="G304" s="14" t="s">
        <v>99</v>
      </c>
      <c r="H304" s="14" t="s">
        <v>99</v>
      </c>
      <c r="I304" s="14" t="s">
        <v>6216</v>
      </c>
      <c r="J304" s="14" t="s">
        <v>6217</v>
      </c>
      <c r="K304" s="14" t="s">
        <v>99</v>
      </c>
      <c r="L304" s="14" t="s">
        <v>99</v>
      </c>
      <c r="M304" s="14" t="s">
        <v>103</v>
      </c>
      <c r="N304" s="14" t="s">
        <v>104</v>
      </c>
      <c r="O304" s="14" t="s">
        <v>99</v>
      </c>
      <c r="P304" s="14" t="s">
        <v>99</v>
      </c>
      <c r="Q304" s="14" t="s">
        <v>99</v>
      </c>
      <c r="R304" s="14" t="s">
        <v>99</v>
      </c>
      <c r="S304" s="14" t="s">
        <v>99</v>
      </c>
      <c r="T304" s="14" t="s">
        <v>99</v>
      </c>
      <c r="U304" s="14" t="s">
        <v>6218</v>
      </c>
      <c r="V304" s="14" t="s">
        <v>6219</v>
      </c>
      <c r="W304" s="14" t="s">
        <v>6220</v>
      </c>
      <c r="X304" s="14" t="s">
        <v>6221</v>
      </c>
      <c r="Y304" s="14" t="s">
        <v>6222</v>
      </c>
      <c r="Z304" s="14" t="s">
        <v>6223</v>
      </c>
      <c r="AA304" s="14" t="s">
        <v>6224</v>
      </c>
      <c r="AB304" s="14" t="s">
        <v>6225</v>
      </c>
      <c r="AC304" s="14" t="s">
        <v>6226</v>
      </c>
      <c r="AD304" s="14" t="s">
        <v>6227</v>
      </c>
      <c r="AE304" s="14" t="s">
        <v>6228</v>
      </c>
      <c r="AF304" s="14" t="s">
        <v>99</v>
      </c>
      <c r="AG304" s="14">
        <v>101.0</v>
      </c>
      <c r="AH304" s="14">
        <v>33.0</v>
      </c>
      <c r="AI304" s="14">
        <v>44.0</v>
      </c>
      <c r="AJ304" s="14">
        <v>1.0</v>
      </c>
      <c r="AK304" s="14">
        <v>56.0</v>
      </c>
      <c r="AL304" s="14" t="s">
        <v>6229</v>
      </c>
      <c r="AM304" s="14" t="s">
        <v>6230</v>
      </c>
      <c r="AN304" s="14" t="s">
        <v>6231</v>
      </c>
      <c r="AO304" s="14" t="s">
        <v>6232</v>
      </c>
      <c r="AP304" s="14" t="s">
        <v>6233</v>
      </c>
      <c r="AQ304" s="14" t="s">
        <v>99</v>
      </c>
      <c r="AR304" s="14" t="s">
        <v>6234</v>
      </c>
      <c r="AS304" s="14" t="s">
        <v>6235</v>
      </c>
      <c r="AT304" s="14" t="s">
        <v>474</v>
      </c>
      <c r="AU304" s="14">
        <v>2010.0</v>
      </c>
      <c r="AV304" s="14">
        <v>50.0</v>
      </c>
      <c r="AW304" s="14">
        <v>2.0</v>
      </c>
      <c r="AX304" s="14" t="s">
        <v>99</v>
      </c>
      <c r="AY304" s="14" t="s">
        <v>99</v>
      </c>
      <c r="AZ304" s="14" t="s">
        <v>99</v>
      </c>
      <c r="BA304" s="14" t="s">
        <v>99</v>
      </c>
      <c r="BB304" s="14">
        <v>201.0</v>
      </c>
      <c r="BC304" s="14">
        <v>212.0</v>
      </c>
      <c r="BD304" s="14" t="s">
        <v>99</v>
      </c>
      <c r="BE304" s="14" t="s">
        <v>6236</v>
      </c>
      <c r="BF304" s="15" t="str">
        <f>HYPERLINK("http://dx.doi.org/10.1093/icb/icq072","http://dx.doi.org/10.1093/icb/icq072")</f>
        <v>http://dx.doi.org/10.1093/icb/icq072</v>
      </c>
      <c r="BG304" s="14" t="s">
        <v>99</v>
      </c>
      <c r="BH304" s="14" t="s">
        <v>99</v>
      </c>
      <c r="BI304" s="14">
        <v>12.0</v>
      </c>
      <c r="BJ304" s="14" t="s">
        <v>121</v>
      </c>
      <c r="BK304" s="14" t="s">
        <v>122</v>
      </c>
      <c r="BL304" s="14" t="s">
        <v>121</v>
      </c>
      <c r="BM304" s="14" t="s">
        <v>6237</v>
      </c>
      <c r="BN304" s="14">
        <v>2.1558199E7</v>
      </c>
      <c r="BO304" s="14" t="s">
        <v>238</v>
      </c>
      <c r="BP304" s="14" t="s">
        <v>99</v>
      </c>
      <c r="BQ304" s="14" t="s">
        <v>99</v>
      </c>
      <c r="BR304" s="14" t="s">
        <v>124</v>
      </c>
      <c r="BS304" s="14" t="s">
        <v>6238</v>
      </c>
      <c r="BT304" s="14" t="str">
        <f>HYPERLINK("https%3A%2F%2Fwww.webofscience.com%2Fwos%2Fwoscc%2Ffull-record%2FWOS:000280279800005","View Full Record in Web of Science")</f>
        <v>View Full Record in Web of Science</v>
      </c>
    </row>
    <row r="305" ht="12.75" customHeight="1">
      <c r="A305" s="14" t="s">
        <v>97</v>
      </c>
      <c r="B305" s="14" t="s">
        <v>6239</v>
      </c>
      <c r="C305" s="14" t="s">
        <v>99</v>
      </c>
      <c r="D305" s="14" t="s">
        <v>99</v>
      </c>
      <c r="E305" s="14" t="s">
        <v>99</v>
      </c>
      <c r="F305" s="14" t="s">
        <v>6240</v>
      </c>
      <c r="G305" s="14" t="s">
        <v>99</v>
      </c>
      <c r="H305" s="14" t="s">
        <v>99</v>
      </c>
      <c r="I305" s="14" t="s">
        <v>6241</v>
      </c>
      <c r="J305" s="14" t="s">
        <v>6242</v>
      </c>
      <c r="K305" s="14" t="s">
        <v>99</v>
      </c>
      <c r="L305" s="14" t="s">
        <v>99</v>
      </c>
      <c r="M305" s="14" t="s">
        <v>103</v>
      </c>
      <c r="N305" s="14" t="s">
        <v>104</v>
      </c>
      <c r="O305" s="14" t="s">
        <v>99</v>
      </c>
      <c r="P305" s="14" t="s">
        <v>99</v>
      </c>
      <c r="Q305" s="14" t="s">
        <v>99</v>
      </c>
      <c r="R305" s="14" t="s">
        <v>99</v>
      </c>
      <c r="S305" s="14" t="s">
        <v>99</v>
      </c>
      <c r="T305" s="14" t="s">
        <v>6243</v>
      </c>
      <c r="U305" s="14" t="s">
        <v>6244</v>
      </c>
      <c r="V305" s="14" t="s">
        <v>6245</v>
      </c>
      <c r="W305" s="14" t="s">
        <v>6246</v>
      </c>
      <c r="X305" s="14" t="s">
        <v>6247</v>
      </c>
      <c r="Y305" s="14" t="s">
        <v>6248</v>
      </c>
      <c r="Z305" s="14" t="s">
        <v>6249</v>
      </c>
      <c r="AA305" s="14" t="s">
        <v>6250</v>
      </c>
      <c r="AB305" s="14" t="s">
        <v>6251</v>
      </c>
      <c r="AC305" s="14" t="s">
        <v>6252</v>
      </c>
      <c r="AD305" s="14" t="s">
        <v>6253</v>
      </c>
      <c r="AE305" s="14" t="s">
        <v>6254</v>
      </c>
      <c r="AF305" s="14" t="s">
        <v>99</v>
      </c>
      <c r="AG305" s="14">
        <v>52.0</v>
      </c>
      <c r="AH305" s="14">
        <v>70.0</v>
      </c>
      <c r="AI305" s="14">
        <v>78.0</v>
      </c>
      <c r="AJ305" s="14">
        <v>4.0</v>
      </c>
      <c r="AK305" s="14">
        <v>96.0</v>
      </c>
      <c r="AL305" s="14" t="s">
        <v>1731</v>
      </c>
      <c r="AM305" s="14" t="s">
        <v>1732</v>
      </c>
      <c r="AN305" s="14" t="s">
        <v>1733</v>
      </c>
      <c r="AO305" s="14" t="s">
        <v>6255</v>
      </c>
      <c r="AP305" s="14" t="s">
        <v>6256</v>
      </c>
      <c r="AQ305" s="14" t="s">
        <v>99</v>
      </c>
      <c r="AR305" s="14" t="s">
        <v>6257</v>
      </c>
      <c r="AS305" s="14" t="s">
        <v>6258</v>
      </c>
      <c r="AT305" s="14" t="s">
        <v>616</v>
      </c>
      <c r="AU305" s="14">
        <v>2010.0</v>
      </c>
      <c r="AV305" s="14">
        <v>45.0</v>
      </c>
      <c r="AW305" s="14">
        <v>2.0</v>
      </c>
      <c r="AX305" s="14" t="s">
        <v>99</v>
      </c>
      <c r="AY305" s="14" t="s">
        <v>99</v>
      </c>
      <c r="AZ305" s="14" t="s">
        <v>99</v>
      </c>
      <c r="BA305" s="14" t="s">
        <v>99</v>
      </c>
      <c r="BB305" s="14">
        <v>125.0</v>
      </c>
      <c r="BC305" s="14">
        <v>142.0</v>
      </c>
      <c r="BD305" s="14" t="s">
        <v>99</v>
      </c>
      <c r="BE305" s="14" t="s">
        <v>6259</v>
      </c>
      <c r="BF305" s="15" t="str">
        <f>HYPERLINK("http://dx.doi.org/10.1007/s12224-010-9062-9","http://dx.doi.org/10.1007/s12224-010-9062-9")</f>
        <v>http://dx.doi.org/10.1007/s12224-010-9062-9</v>
      </c>
      <c r="BG305" s="14" t="s">
        <v>99</v>
      </c>
      <c r="BH305" s="14" t="s">
        <v>99</v>
      </c>
      <c r="BI305" s="14">
        <v>18.0</v>
      </c>
      <c r="BJ305" s="14" t="s">
        <v>214</v>
      </c>
      <c r="BK305" s="14" t="s">
        <v>122</v>
      </c>
      <c r="BL305" s="14" t="s">
        <v>214</v>
      </c>
      <c r="BM305" s="14" t="s">
        <v>6260</v>
      </c>
      <c r="BN305" s="14" t="s">
        <v>99</v>
      </c>
      <c r="BO305" s="14" t="s">
        <v>99</v>
      </c>
      <c r="BP305" s="14" t="s">
        <v>99</v>
      </c>
      <c r="BQ305" s="14" t="s">
        <v>99</v>
      </c>
      <c r="BR305" s="14" t="s">
        <v>124</v>
      </c>
      <c r="BS305" s="14" t="s">
        <v>6261</v>
      </c>
      <c r="BT305" s="14" t="str">
        <f>HYPERLINK("https%3A%2F%2Fwww.webofscience.com%2Fwos%2Fwoscc%2Ffull-record%2FWOS:000281207800002","View Full Record in Web of Science")</f>
        <v>View Full Record in Web of Science</v>
      </c>
    </row>
    <row r="306" ht="12.75" customHeight="1">
      <c r="A306" s="14" t="s">
        <v>97</v>
      </c>
      <c r="B306" s="14" t="s">
        <v>6262</v>
      </c>
      <c r="C306" s="14" t="s">
        <v>99</v>
      </c>
      <c r="D306" s="14" t="s">
        <v>99</v>
      </c>
      <c r="E306" s="14" t="s">
        <v>99</v>
      </c>
      <c r="F306" s="14" t="s">
        <v>6263</v>
      </c>
      <c r="G306" s="14" t="s">
        <v>99</v>
      </c>
      <c r="H306" s="14" t="s">
        <v>99</v>
      </c>
      <c r="I306" s="14" t="s">
        <v>6264</v>
      </c>
      <c r="J306" s="14" t="s">
        <v>6265</v>
      </c>
      <c r="K306" s="14" t="s">
        <v>99</v>
      </c>
      <c r="L306" s="14" t="s">
        <v>99</v>
      </c>
      <c r="M306" s="14" t="s">
        <v>103</v>
      </c>
      <c r="N306" s="14" t="s">
        <v>104</v>
      </c>
      <c r="O306" s="14" t="s">
        <v>99</v>
      </c>
      <c r="P306" s="14" t="s">
        <v>99</v>
      </c>
      <c r="Q306" s="14" t="s">
        <v>99</v>
      </c>
      <c r="R306" s="14" t="s">
        <v>99</v>
      </c>
      <c r="S306" s="14" t="s">
        <v>99</v>
      </c>
      <c r="T306" s="14" t="s">
        <v>6266</v>
      </c>
      <c r="U306" s="14" t="s">
        <v>6267</v>
      </c>
      <c r="V306" s="14" t="s">
        <v>6268</v>
      </c>
      <c r="W306" s="14" t="s">
        <v>6269</v>
      </c>
      <c r="X306" s="14" t="s">
        <v>6270</v>
      </c>
      <c r="Y306" s="14" t="s">
        <v>6271</v>
      </c>
      <c r="Z306" s="14" t="s">
        <v>3886</v>
      </c>
      <c r="AA306" s="14" t="s">
        <v>3887</v>
      </c>
      <c r="AB306" s="14" t="s">
        <v>3888</v>
      </c>
      <c r="AC306" s="14" t="s">
        <v>6272</v>
      </c>
      <c r="AD306" s="14" t="s">
        <v>6273</v>
      </c>
      <c r="AE306" s="14" t="s">
        <v>6274</v>
      </c>
      <c r="AF306" s="14" t="s">
        <v>99</v>
      </c>
      <c r="AG306" s="14">
        <v>41.0</v>
      </c>
      <c r="AH306" s="14">
        <v>26.0</v>
      </c>
      <c r="AI306" s="14">
        <v>36.0</v>
      </c>
      <c r="AJ306" s="14">
        <v>1.0</v>
      </c>
      <c r="AK306" s="14">
        <v>57.0</v>
      </c>
      <c r="AL306" s="14" t="s">
        <v>341</v>
      </c>
      <c r="AM306" s="14" t="s">
        <v>342</v>
      </c>
      <c r="AN306" s="14" t="s">
        <v>343</v>
      </c>
      <c r="AO306" s="14" t="s">
        <v>6275</v>
      </c>
      <c r="AP306" s="14" t="s">
        <v>6276</v>
      </c>
      <c r="AQ306" s="14" t="s">
        <v>99</v>
      </c>
      <c r="AR306" s="14" t="s">
        <v>6277</v>
      </c>
      <c r="AS306" s="14" t="s">
        <v>6278</v>
      </c>
      <c r="AT306" s="14" t="s">
        <v>616</v>
      </c>
      <c r="AU306" s="14">
        <v>2010.0</v>
      </c>
      <c r="AV306" s="14">
        <v>5.0</v>
      </c>
      <c r="AW306" s="14">
        <v>2.0</v>
      </c>
      <c r="AX306" s="14" t="s">
        <v>99</v>
      </c>
      <c r="AY306" s="14" t="s">
        <v>99</v>
      </c>
      <c r="AZ306" s="14" t="s">
        <v>99</v>
      </c>
      <c r="BA306" s="14" t="s">
        <v>99</v>
      </c>
      <c r="BB306" s="14">
        <v>154.0</v>
      </c>
      <c r="BC306" s="14">
        <v>163.0</v>
      </c>
      <c r="BD306" s="14" t="s">
        <v>99</v>
      </c>
      <c r="BE306" s="14" t="s">
        <v>6279</v>
      </c>
      <c r="BF306" s="15" t="str">
        <f>HYPERLINK("http://dx.doi.org/10.1111/j.1749-4877.2010.00198.x","http://dx.doi.org/10.1111/j.1749-4877.2010.00198.x")</f>
        <v>http://dx.doi.org/10.1111/j.1749-4877.2010.00198.x</v>
      </c>
      <c r="BG306" s="14" t="s">
        <v>99</v>
      </c>
      <c r="BH306" s="14" t="s">
        <v>99</v>
      </c>
      <c r="BI306" s="14">
        <v>10.0</v>
      </c>
      <c r="BJ306" s="14" t="s">
        <v>121</v>
      </c>
      <c r="BK306" s="14" t="s">
        <v>122</v>
      </c>
      <c r="BL306" s="14" t="s">
        <v>121</v>
      </c>
      <c r="BM306" s="14" t="s">
        <v>6280</v>
      </c>
      <c r="BN306" s="14">
        <v>2.1392333E7</v>
      </c>
      <c r="BO306" s="14" t="s">
        <v>99</v>
      </c>
      <c r="BP306" s="14" t="s">
        <v>99</v>
      </c>
      <c r="BQ306" s="14" t="s">
        <v>99</v>
      </c>
      <c r="BR306" s="14" t="s">
        <v>124</v>
      </c>
      <c r="BS306" s="14" t="s">
        <v>6281</v>
      </c>
      <c r="BT306" s="14" t="str">
        <f>HYPERLINK("https%3A%2F%2Fwww.webofscience.com%2Fwos%2Fwoscc%2Ffull-record%2FWOS:000278345400009","View Full Record in Web of Science")</f>
        <v>View Full Record in Web of Science</v>
      </c>
    </row>
    <row r="307" ht="12.75" customHeight="1">
      <c r="A307" s="14" t="s">
        <v>97</v>
      </c>
      <c r="B307" s="14" t="s">
        <v>6282</v>
      </c>
      <c r="C307" s="14" t="s">
        <v>99</v>
      </c>
      <c r="D307" s="14" t="s">
        <v>99</v>
      </c>
      <c r="E307" s="14" t="s">
        <v>99</v>
      </c>
      <c r="F307" s="14" t="s">
        <v>6283</v>
      </c>
      <c r="G307" s="14" t="s">
        <v>99</v>
      </c>
      <c r="H307" s="14" t="s">
        <v>99</v>
      </c>
      <c r="I307" s="14" t="s">
        <v>6284</v>
      </c>
      <c r="J307" s="14" t="s">
        <v>6285</v>
      </c>
      <c r="K307" s="14" t="s">
        <v>99</v>
      </c>
      <c r="L307" s="14" t="s">
        <v>99</v>
      </c>
      <c r="M307" s="14" t="s">
        <v>103</v>
      </c>
      <c r="N307" s="14" t="s">
        <v>104</v>
      </c>
      <c r="O307" s="14" t="s">
        <v>99</v>
      </c>
      <c r="P307" s="14" t="s">
        <v>99</v>
      </c>
      <c r="Q307" s="14" t="s">
        <v>99</v>
      </c>
      <c r="R307" s="14" t="s">
        <v>99</v>
      </c>
      <c r="S307" s="14" t="s">
        <v>99</v>
      </c>
      <c r="T307" s="14" t="s">
        <v>6286</v>
      </c>
      <c r="U307" s="14" t="s">
        <v>6287</v>
      </c>
      <c r="V307" s="14" t="s">
        <v>6288</v>
      </c>
      <c r="W307" s="14" t="s">
        <v>6289</v>
      </c>
      <c r="X307" s="14" t="s">
        <v>6290</v>
      </c>
      <c r="Y307" s="14" t="s">
        <v>6291</v>
      </c>
      <c r="Z307" s="14" t="s">
        <v>6292</v>
      </c>
      <c r="AA307" s="14" t="s">
        <v>6293</v>
      </c>
      <c r="AB307" s="14" t="s">
        <v>6294</v>
      </c>
      <c r="AC307" s="14" t="s">
        <v>6295</v>
      </c>
      <c r="AD307" s="14" t="s">
        <v>6296</v>
      </c>
      <c r="AE307" s="14" t="s">
        <v>6297</v>
      </c>
      <c r="AF307" s="14" t="s">
        <v>99</v>
      </c>
      <c r="AG307" s="14">
        <v>45.0</v>
      </c>
      <c r="AH307" s="14">
        <v>1319.0</v>
      </c>
      <c r="AI307" s="14">
        <v>1455.0</v>
      </c>
      <c r="AJ307" s="14">
        <v>11.0</v>
      </c>
      <c r="AK307" s="14">
        <v>719.0</v>
      </c>
      <c r="AL307" s="14" t="s">
        <v>6298</v>
      </c>
      <c r="AM307" s="14" t="s">
        <v>6299</v>
      </c>
      <c r="AN307" s="14" t="s">
        <v>6300</v>
      </c>
      <c r="AO307" s="14" t="s">
        <v>6301</v>
      </c>
      <c r="AP307" s="14" t="s">
        <v>6302</v>
      </c>
      <c r="AQ307" s="14" t="s">
        <v>99</v>
      </c>
      <c r="AR307" s="14" t="s">
        <v>6303</v>
      </c>
      <c r="AS307" s="14" t="s">
        <v>6304</v>
      </c>
      <c r="AT307" s="14" t="s">
        <v>616</v>
      </c>
      <c r="AU307" s="14">
        <v>2010.0</v>
      </c>
      <c r="AV307" s="14">
        <v>118.0</v>
      </c>
      <c r="AW307" s="14">
        <v>6.0</v>
      </c>
      <c r="AX307" s="14" t="s">
        <v>99</v>
      </c>
      <c r="AY307" s="14" t="s">
        <v>99</v>
      </c>
      <c r="AZ307" s="14" t="s">
        <v>99</v>
      </c>
      <c r="BA307" s="14" t="s">
        <v>99</v>
      </c>
      <c r="BB307" s="14">
        <v>847.0</v>
      </c>
      <c r="BC307" s="14">
        <v>855.0</v>
      </c>
      <c r="BD307" s="14" t="s">
        <v>99</v>
      </c>
      <c r="BE307" s="14" t="s">
        <v>6305</v>
      </c>
      <c r="BF307" s="15" t="str">
        <f>HYPERLINK("http://dx.doi.org/10.1289/ehp.0901623","http://dx.doi.org/10.1289/ehp.0901623")</f>
        <v>http://dx.doi.org/10.1289/ehp.0901623</v>
      </c>
      <c r="BG307" s="14" t="s">
        <v>99</v>
      </c>
      <c r="BH307" s="14" t="s">
        <v>99</v>
      </c>
      <c r="BI307" s="14">
        <v>9.0</v>
      </c>
      <c r="BJ307" s="14" t="s">
        <v>6306</v>
      </c>
      <c r="BK307" s="14" t="s">
        <v>122</v>
      </c>
      <c r="BL307" s="14" t="s">
        <v>6307</v>
      </c>
      <c r="BM307" s="14" t="s">
        <v>6308</v>
      </c>
      <c r="BN307" s="14">
        <v>2.0519161E7</v>
      </c>
      <c r="BO307" s="14" t="s">
        <v>1251</v>
      </c>
      <c r="BP307" s="14" t="s">
        <v>99</v>
      </c>
      <c r="BQ307" s="14" t="s">
        <v>99</v>
      </c>
      <c r="BR307" s="14" t="s">
        <v>124</v>
      </c>
      <c r="BS307" s="14" t="s">
        <v>6309</v>
      </c>
      <c r="BT307" s="14" t="str">
        <f>HYPERLINK("https%3A%2F%2Fwww.webofscience.com%2Fwos%2Fwoscc%2Ffull-record%2FWOS:000278591300031","View Full Record in Web of Science")</f>
        <v>View Full Record in Web of Science</v>
      </c>
    </row>
    <row r="308" ht="12.75" customHeight="1">
      <c r="A308" s="14" t="s">
        <v>97</v>
      </c>
      <c r="B308" s="14" t="s">
        <v>6310</v>
      </c>
      <c r="C308" s="14" t="s">
        <v>99</v>
      </c>
      <c r="D308" s="14" t="s">
        <v>99</v>
      </c>
      <c r="E308" s="14" t="s">
        <v>99</v>
      </c>
      <c r="F308" s="14" t="s">
        <v>6311</v>
      </c>
      <c r="G308" s="14" t="s">
        <v>99</v>
      </c>
      <c r="H308" s="14" t="s">
        <v>99</v>
      </c>
      <c r="I308" s="14" t="s">
        <v>6312</v>
      </c>
      <c r="J308" s="14" t="s">
        <v>2566</v>
      </c>
      <c r="K308" s="14" t="s">
        <v>99</v>
      </c>
      <c r="L308" s="14" t="s">
        <v>99</v>
      </c>
      <c r="M308" s="14" t="s">
        <v>103</v>
      </c>
      <c r="N308" s="14" t="s">
        <v>104</v>
      </c>
      <c r="O308" s="14" t="s">
        <v>99</v>
      </c>
      <c r="P308" s="14" t="s">
        <v>99</v>
      </c>
      <c r="Q308" s="14" t="s">
        <v>99</v>
      </c>
      <c r="R308" s="14" t="s">
        <v>99</v>
      </c>
      <c r="S308" s="14" t="s">
        <v>99</v>
      </c>
      <c r="T308" s="14" t="s">
        <v>99</v>
      </c>
      <c r="U308" s="14" t="s">
        <v>6313</v>
      </c>
      <c r="V308" s="14" t="s">
        <v>6314</v>
      </c>
      <c r="W308" s="14" t="s">
        <v>6315</v>
      </c>
      <c r="X308" s="14" t="s">
        <v>6316</v>
      </c>
      <c r="Y308" s="14" t="s">
        <v>6317</v>
      </c>
      <c r="Z308" s="14" t="s">
        <v>6318</v>
      </c>
      <c r="AA308" s="14" t="s">
        <v>6319</v>
      </c>
      <c r="AB308" s="14" t="s">
        <v>6320</v>
      </c>
      <c r="AC308" s="14" t="s">
        <v>6321</v>
      </c>
      <c r="AD308" s="14" t="s">
        <v>6322</v>
      </c>
      <c r="AE308" s="14" t="s">
        <v>6323</v>
      </c>
      <c r="AF308" s="14" t="s">
        <v>99</v>
      </c>
      <c r="AG308" s="14">
        <v>26.0</v>
      </c>
      <c r="AH308" s="14">
        <v>3585.0</v>
      </c>
      <c r="AI308" s="14">
        <v>4250.0</v>
      </c>
      <c r="AJ308" s="14">
        <v>56.0</v>
      </c>
      <c r="AK308" s="14">
        <v>4484.0</v>
      </c>
      <c r="AL308" s="14" t="s">
        <v>1243</v>
      </c>
      <c r="AM308" s="14" t="s">
        <v>789</v>
      </c>
      <c r="AN308" s="14" t="s">
        <v>1244</v>
      </c>
      <c r="AO308" s="14" t="s">
        <v>2578</v>
      </c>
      <c r="AP308" s="14" t="s">
        <v>2579</v>
      </c>
      <c r="AQ308" s="14" t="s">
        <v>99</v>
      </c>
      <c r="AR308" s="14" t="s">
        <v>2566</v>
      </c>
      <c r="AS308" s="14" t="s">
        <v>2580</v>
      </c>
      <c r="AT308" s="14" t="s">
        <v>6324</v>
      </c>
      <c r="AU308" s="14">
        <v>2010.0</v>
      </c>
      <c r="AV308" s="14">
        <v>328.0</v>
      </c>
      <c r="AW308" s="14">
        <v>5982.0</v>
      </c>
      <c r="AX308" s="14" t="s">
        <v>99</v>
      </c>
      <c r="AY308" s="14" t="s">
        <v>99</v>
      </c>
      <c r="AZ308" s="14" t="s">
        <v>99</v>
      </c>
      <c r="BA308" s="14" t="s">
        <v>99</v>
      </c>
      <c r="BB308" s="14">
        <v>1164.0</v>
      </c>
      <c r="BC308" s="14">
        <v>1168.0</v>
      </c>
      <c r="BD308" s="14" t="s">
        <v>99</v>
      </c>
      <c r="BE308" s="14" t="s">
        <v>6325</v>
      </c>
      <c r="BF308" s="15" t="str">
        <f>HYPERLINK("http://dx.doi.org/10.1126/science.1187512","http://dx.doi.org/10.1126/science.1187512")</f>
        <v>http://dx.doi.org/10.1126/science.1187512</v>
      </c>
      <c r="BG308" s="14" t="s">
        <v>99</v>
      </c>
      <c r="BH308" s="14" t="s">
        <v>99</v>
      </c>
      <c r="BI308" s="14">
        <v>5.0</v>
      </c>
      <c r="BJ308" s="14" t="s">
        <v>799</v>
      </c>
      <c r="BK308" s="14" t="s">
        <v>122</v>
      </c>
      <c r="BL308" s="14" t="s">
        <v>801</v>
      </c>
      <c r="BM308" s="14" t="s">
        <v>6326</v>
      </c>
      <c r="BN308" s="14">
        <v>2.0430971E7</v>
      </c>
      <c r="BO308" s="14" t="s">
        <v>99</v>
      </c>
      <c r="BP308" s="14" t="s">
        <v>99</v>
      </c>
      <c r="BQ308" s="14" t="s">
        <v>99</v>
      </c>
      <c r="BR308" s="14" t="s">
        <v>124</v>
      </c>
      <c r="BS308" s="14" t="s">
        <v>6327</v>
      </c>
      <c r="BT308" s="14" t="str">
        <f>HYPERLINK("https%3A%2F%2Fwww.webofscience.com%2Fwos%2Fwoscc%2Ffull-record%2FWOS:000278104700046","View Full Record in Web of Science")</f>
        <v>View Full Record in Web of Science</v>
      </c>
    </row>
    <row r="309" ht="12.75" customHeight="1">
      <c r="A309" s="14" t="s">
        <v>97</v>
      </c>
      <c r="B309" s="14" t="s">
        <v>6328</v>
      </c>
      <c r="C309" s="14" t="s">
        <v>99</v>
      </c>
      <c r="D309" s="14" t="s">
        <v>99</v>
      </c>
      <c r="E309" s="14" t="s">
        <v>99</v>
      </c>
      <c r="F309" s="14" t="s">
        <v>6329</v>
      </c>
      <c r="G309" s="14" t="s">
        <v>99</v>
      </c>
      <c r="H309" s="14" t="s">
        <v>99</v>
      </c>
      <c r="I309" s="14" t="s">
        <v>6330</v>
      </c>
      <c r="J309" s="14" t="s">
        <v>2566</v>
      </c>
      <c r="K309" s="14" t="s">
        <v>99</v>
      </c>
      <c r="L309" s="14" t="s">
        <v>99</v>
      </c>
      <c r="M309" s="14" t="s">
        <v>103</v>
      </c>
      <c r="N309" s="14" t="s">
        <v>104</v>
      </c>
      <c r="O309" s="14" t="s">
        <v>99</v>
      </c>
      <c r="P309" s="14" t="s">
        <v>99</v>
      </c>
      <c r="Q309" s="14" t="s">
        <v>99</v>
      </c>
      <c r="R309" s="14" t="s">
        <v>99</v>
      </c>
      <c r="S309" s="14" t="s">
        <v>99</v>
      </c>
      <c r="T309" s="14" t="s">
        <v>99</v>
      </c>
      <c r="U309" s="14" t="s">
        <v>6331</v>
      </c>
      <c r="V309" s="14" t="s">
        <v>6332</v>
      </c>
      <c r="W309" s="14" t="s">
        <v>6333</v>
      </c>
      <c r="X309" s="14" t="s">
        <v>6334</v>
      </c>
      <c r="Y309" s="14" t="s">
        <v>6335</v>
      </c>
      <c r="Z309" s="14" t="s">
        <v>6336</v>
      </c>
      <c r="AA309" s="14" t="s">
        <v>6337</v>
      </c>
      <c r="AB309" s="14" t="s">
        <v>6338</v>
      </c>
      <c r="AC309" s="14" t="s">
        <v>6339</v>
      </c>
      <c r="AD309" s="14" t="s">
        <v>6340</v>
      </c>
      <c r="AE309" s="14" t="s">
        <v>6341</v>
      </c>
      <c r="AF309" s="14" t="s">
        <v>99</v>
      </c>
      <c r="AG309" s="14">
        <v>28.0</v>
      </c>
      <c r="AH309" s="14">
        <v>1536.0</v>
      </c>
      <c r="AI309" s="14">
        <v>1775.0</v>
      </c>
      <c r="AJ309" s="14">
        <v>8.0</v>
      </c>
      <c r="AK309" s="14">
        <v>775.0</v>
      </c>
      <c r="AL309" s="14" t="s">
        <v>1243</v>
      </c>
      <c r="AM309" s="14" t="s">
        <v>789</v>
      </c>
      <c r="AN309" s="14" t="s">
        <v>1244</v>
      </c>
      <c r="AO309" s="14" t="s">
        <v>2578</v>
      </c>
      <c r="AP309" s="14" t="s">
        <v>2579</v>
      </c>
      <c r="AQ309" s="14" t="s">
        <v>99</v>
      </c>
      <c r="AR309" s="14" t="s">
        <v>2566</v>
      </c>
      <c r="AS309" s="14" t="s">
        <v>2580</v>
      </c>
      <c r="AT309" s="14" t="s">
        <v>6342</v>
      </c>
      <c r="AU309" s="14">
        <v>2010.0</v>
      </c>
      <c r="AV309" s="14">
        <v>328.0</v>
      </c>
      <c r="AW309" s="14">
        <v>5980.0</v>
      </c>
      <c r="AX309" s="14" t="s">
        <v>99</v>
      </c>
      <c r="AY309" s="14" t="s">
        <v>99</v>
      </c>
      <c r="AZ309" s="14" t="s">
        <v>99</v>
      </c>
      <c r="BA309" s="14" t="s">
        <v>99</v>
      </c>
      <c r="BB309" s="14">
        <v>894.0</v>
      </c>
      <c r="BC309" s="14">
        <v>899.0</v>
      </c>
      <c r="BD309" s="14" t="s">
        <v>99</v>
      </c>
      <c r="BE309" s="14" t="s">
        <v>6343</v>
      </c>
      <c r="BF309" s="15" t="str">
        <f>HYPERLINK("http://dx.doi.org/10.1126/science.1184695","http://dx.doi.org/10.1126/science.1184695")</f>
        <v>http://dx.doi.org/10.1126/science.1184695</v>
      </c>
      <c r="BG309" s="14" t="s">
        <v>99</v>
      </c>
      <c r="BH309" s="14" t="s">
        <v>99</v>
      </c>
      <c r="BI309" s="14">
        <v>6.0</v>
      </c>
      <c r="BJ309" s="14" t="s">
        <v>799</v>
      </c>
      <c r="BK309" s="14" t="s">
        <v>122</v>
      </c>
      <c r="BL309" s="14" t="s">
        <v>801</v>
      </c>
      <c r="BM309" s="14" t="s">
        <v>6344</v>
      </c>
      <c r="BN309" s="14">
        <v>2.0466932E7</v>
      </c>
      <c r="BO309" s="14" t="s">
        <v>425</v>
      </c>
      <c r="BP309" s="14" t="s">
        <v>99</v>
      </c>
      <c r="BQ309" s="14" t="s">
        <v>99</v>
      </c>
      <c r="BR309" s="14" t="s">
        <v>124</v>
      </c>
      <c r="BS309" s="14" t="s">
        <v>6345</v>
      </c>
      <c r="BT309" s="14" t="str">
        <f>HYPERLINK("https%3A%2F%2Fwww.webofscience.com%2Fwos%2Fwoscc%2Ffull-record%2FWOS:000277618800050","View Full Record in Web of Science")</f>
        <v>View Full Record in Web of Science</v>
      </c>
    </row>
    <row r="310" ht="12.75" customHeight="1">
      <c r="A310" s="14" t="s">
        <v>97</v>
      </c>
      <c r="B310" s="14" t="s">
        <v>6346</v>
      </c>
      <c r="C310" s="14" t="s">
        <v>99</v>
      </c>
      <c r="D310" s="14" t="s">
        <v>99</v>
      </c>
      <c r="E310" s="14" t="s">
        <v>99</v>
      </c>
      <c r="F310" s="14" t="s">
        <v>6347</v>
      </c>
      <c r="G310" s="14" t="s">
        <v>99</v>
      </c>
      <c r="H310" s="14" t="s">
        <v>99</v>
      </c>
      <c r="I310" s="14" t="s">
        <v>6348</v>
      </c>
      <c r="J310" s="14" t="s">
        <v>4070</v>
      </c>
      <c r="K310" s="14" t="s">
        <v>99</v>
      </c>
      <c r="L310" s="14" t="s">
        <v>99</v>
      </c>
      <c r="M310" s="14" t="s">
        <v>103</v>
      </c>
      <c r="N310" s="14" t="s">
        <v>104</v>
      </c>
      <c r="O310" s="14" t="s">
        <v>99</v>
      </c>
      <c r="P310" s="14" t="s">
        <v>99</v>
      </c>
      <c r="Q310" s="14" t="s">
        <v>99</v>
      </c>
      <c r="R310" s="14" t="s">
        <v>99</v>
      </c>
      <c r="S310" s="14" t="s">
        <v>99</v>
      </c>
      <c r="T310" s="14" t="s">
        <v>6349</v>
      </c>
      <c r="U310" s="14" t="s">
        <v>6350</v>
      </c>
      <c r="V310" s="14" t="s">
        <v>6351</v>
      </c>
      <c r="W310" s="14" t="s">
        <v>6352</v>
      </c>
      <c r="X310" s="14" t="s">
        <v>6353</v>
      </c>
      <c r="Y310" s="14" t="s">
        <v>6354</v>
      </c>
      <c r="Z310" s="14" t="s">
        <v>6355</v>
      </c>
      <c r="AA310" s="14" t="s">
        <v>6356</v>
      </c>
      <c r="AB310" s="14" t="s">
        <v>6357</v>
      </c>
      <c r="AC310" s="14" t="s">
        <v>6358</v>
      </c>
      <c r="AD310" s="14" t="s">
        <v>6359</v>
      </c>
      <c r="AE310" s="14" t="s">
        <v>6360</v>
      </c>
      <c r="AF310" s="14" t="s">
        <v>99</v>
      </c>
      <c r="AG310" s="14">
        <v>40.0</v>
      </c>
      <c r="AH310" s="14">
        <v>165.0</v>
      </c>
      <c r="AI310" s="14">
        <v>186.0</v>
      </c>
      <c r="AJ310" s="14">
        <v>0.0</v>
      </c>
      <c r="AK310" s="14">
        <v>145.0</v>
      </c>
      <c r="AL310" s="14" t="s">
        <v>1544</v>
      </c>
      <c r="AM310" s="14" t="s">
        <v>274</v>
      </c>
      <c r="AN310" s="14" t="s">
        <v>1545</v>
      </c>
      <c r="AO310" s="14" t="s">
        <v>4079</v>
      </c>
      <c r="AP310" s="14" t="s">
        <v>4080</v>
      </c>
      <c r="AQ310" s="14" t="s">
        <v>99</v>
      </c>
      <c r="AR310" s="14" t="s">
        <v>4081</v>
      </c>
      <c r="AS310" s="14" t="s">
        <v>4082</v>
      </c>
      <c r="AT310" s="14" t="s">
        <v>6361</v>
      </c>
      <c r="AU310" s="14">
        <v>2010.0</v>
      </c>
      <c r="AV310" s="14">
        <v>277.0</v>
      </c>
      <c r="AW310" s="14">
        <v>1686.0</v>
      </c>
      <c r="AX310" s="14" t="s">
        <v>99</v>
      </c>
      <c r="AY310" s="14" t="s">
        <v>99</v>
      </c>
      <c r="AZ310" s="14" t="s">
        <v>99</v>
      </c>
      <c r="BA310" s="14" t="s">
        <v>99</v>
      </c>
      <c r="BB310" s="14">
        <v>1353.0</v>
      </c>
      <c r="BC310" s="14">
        <v>1360.0</v>
      </c>
      <c r="BD310" s="14" t="s">
        <v>99</v>
      </c>
      <c r="BE310" s="14" t="s">
        <v>6362</v>
      </c>
      <c r="BF310" s="15" t="str">
        <f>HYPERLINK("http://dx.doi.org/10.1098/rspb.2009.1020","http://dx.doi.org/10.1098/rspb.2009.1020")</f>
        <v>http://dx.doi.org/10.1098/rspb.2009.1020</v>
      </c>
      <c r="BG310" s="14" t="s">
        <v>99</v>
      </c>
      <c r="BH310" s="14" t="s">
        <v>99</v>
      </c>
      <c r="BI310" s="14">
        <v>8.0</v>
      </c>
      <c r="BJ310" s="14" t="s">
        <v>1552</v>
      </c>
      <c r="BK310" s="14" t="s">
        <v>122</v>
      </c>
      <c r="BL310" s="14" t="s">
        <v>1553</v>
      </c>
      <c r="BM310" s="14" t="s">
        <v>6363</v>
      </c>
      <c r="BN310" s="14">
        <v>2.0031989E7</v>
      </c>
      <c r="BO310" s="14" t="s">
        <v>99</v>
      </c>
      <c r="BP310" s="14" t="s">
        <v>99</v>
      </c>
      <c r="BQ310" s="14" t="s">
        <v>99</v>
      </c>
      <c r="BR310" s="14" t="s">
        <v>124</v>
      </c>
      <c r="BS310" s="14" t="s">
        <v>6364</v>
      </c>
      <c r="BT310" s="14" t="str">
        <f>HYPERLINK("https%3A%2F%2Fwww.webofscience.com%2Fwos%2Fwoscc%2Ffull-record%2FWOS:000276003400008","View Full Record in Web of Science")</f>
        <v>View Full Record in Web of Science</v>
      </c>
    </row>
    <row r="311" ht="12.75" customHeight="1">
      <c r="A311" s="14" t="s">
        <v>97</v>
      </c>
      <c r="B311" s="14" t="s">
        <v>6365</v>
      </c>
      <c r="C311" s="14" t="s">
        <v>99</v>
      </c>
      <c r="D311" s="14" t="s">
        <v>99</v>
      </c>
      <c r="E311" s="14" t="s">
        <v>99</v>
      </c>
      <c r="F311" s="14" t="s">
        <v>6366</v>
      </c>
      <c r="G311" s="14" t="s">
        <v>99</v>
      </c>
      <c r="H311" s="14" t="s">
        <v>99</v>
      </c>
      <c r="I311" s="14" t="s">
        <v>6367</v>
      </c>
      <c r="J311" s="14" t="s">
        <v>826</v>
      </c>
      <c r="K311" s="14" t="s">
        <v>99</v>
      </c>
      <c r="L311" s="14" t="s">
        <v>99</v>
      </c>
      <c r="M311" s="14" t="s">
        <v>103</v>
      </c>
      <c r="N311" s="14" t="s">
        <v>104</v>
      </c>
      <c r="O311" s="14" t="s">
        <v>99</v>
      </c>
      <c r="P311" s="14" t="s">
        <v>99</v>
      </c>
      <c r="Q311" s="14" t="s">
        <v>99</v>
      </c>
      <c r="R311" s="14" t="s">
        <v>99</v>
      </c>
      <c r="S311" s="14" t="s">
        <v>99</v>
      </c>
      <c r="T311" s="14" t="s">
        <v>6368</v>
      </c>
      <c r="U311" s="14" t="s">
        <v>6369</v>
      </c>
      <c r="V311" s="14" t="s">
        <v>6370</v>
      </c>
      <c r="W311" s="14" t="s">
        <v>6371</v>
      </c>
      <c r="X311" s="14" t="s">
        <v>6372</v>
      </c>
      <c r="Y311" s="14" t="s">
        <v>6373</v>
      </c>
      <c r="Z311" s="14" t="s">
        <v>6374</v>
      </c>
      <c r="AA311" s="14" t="s">
        <v>6375</v>
      </c>
      <c r="AB311" s="14" t="s">
        <v>6376</v>
      </c>
      <c r="AC311" s="14" t="s">
        <v>6377</v>
      </c>
      <c r="AD311" s="14" t="s">
        <v>6378</v>
      </c>
      <c r="AE311" s="14" t="s">
        <v>6379</v>
      </c>
      <c r="AF311" s="14" t="s">
        <v>99</v>
      </c>
      <c r="AG311" s="14">
        <v>85.0</v>
      </c>
      <c r="AH311" s="14">
        <v>24.0</v>
      </c>
      <c r="AI311" s="14">
        <v>25.0</v>
      </c>
      <c r="AJ311" s="14">
        <v>0.0</v>
      </c>
      <c r="AK311" s="14">
        <v>54.0</v>
      </c>
      <c r="AL311" s="14" t="s">
        <v>341</v>
      </c>
      <c r="AM311" s="14" t="s">
        <v>342</v>
      </c>
      <c r="AN311" s="14" t="s">
        <v>343</v>
      </c>
      <c r="AO311" s="14" t="s">
        <v>839</v>
      </c>
      <c r="AP311" s="14" t="s">
        <v>840</v>
      </c>
      <c r="AQ311" s="14" t="s">
        <v>99</v>
      </c>
      <c r="AR311" s="14" t="s">
        <v>841</v>
      </c>
      <c r="AS311" s="14" t="s">
        <v>842</v>
      </c>
      <c r="AT311" s="14" t="s">
        <v>640</v>
      </c>
      <c r="AU311" s="14">
        <v>2010.0</v>
      </c>
      <c r="AV311" s="14">
        <v>20.0</v>
      </c>
      <c r="AW311" s="14">
        <v>3.0</v>
      </c>
      <c r="AX311" s="14" t="s">
        <v>99</v>
      </c>
      <c r="AY311" s="14" t="s">
        <v>99</v>
      </c>
      <c r="AZ311" s="14" t="s">
        <v>99</v>
      </c>
      <c r="BA311" s="14" t="s">
        <v>99</v>
      </c>
      <c r="BB311" s="14">
        <v>297.0</v>
      </c>
      <c r="BC311" s="14">
        <v>311.0</v>
      </c>
      <c r="BD311" s="14" t="s">
        <v>99</v>
      </c>
      <c r="BE311" s="14" t="s">
        <v>6380</v>
      </c>
      <c r="BF311" s="15" t="str">
        <f>HYPERLINK("http://dx.doi.org/10.1002/aqc.1079","http://dx.doi.org/10.1002/aqc.1079")</f>
        <v>http://dx.doi.org/10.1002/aqc.1079</v>
      </c>
      <c r="BG311" s="14" t="s">
        <v>99</v>
      </c>
      <c r="BH311" s="14" t="s">
        <v>99</v>
      </c>
      <c r="BI311" s="14">
        <v>15.0</v>
      </c>
      <c r="BJ311" s="14" t="s">
        <v>844</v>
      </c>
      <c r="BK311" s="14" t="s">
        <v>122</v>
      </c>
      <c r="BL311" s="14" t="s">
        <v>845</v>
      </c>
      <c r="BM311" s="14" t="s">
        <v>6381</v>
      </c>
      <c r="BN311" s="14" t="s">
        <v>99</v>
      </c>
      <c r="BO311" s="14" t="s">
        <v>99</v>
      </c>
      <c r="BP311" s="14" t="s">
        <v>99</v>
      </c>
      <c r="BQ311" s="14" t="s">
        <v>99</v>
      </c>
      <c r="BR311" s="14" t="s">
        <v>124</v>
      </c>
      <c r="BS311" s="14" t="s">
        <v>6382</v>
      </c>
      <c r="BT311" s="14" t="str">
        <f>HYPERLINK("https%3A%2F%2Fwww.webofscience.com%2Fwos%2Fwoscc%2Ffull-record%2FWOS:000277830200007","View Full Record in Web of Science")</f>
        <v>View Full Record in Web of Science</v>
      </c>
    </row>
    <row r="312" ht="12.75" customHeight="1">
      <c r="A312" s="14" t="s">
        <v>97</v>
      </c>
      <c r="B312" s="14" t="s">
        <v>6383</v>
      </c>
      <c r="C312" s="14" t="s">
        <v>99</v>
      </c>
      <c r="D312" s="14" t="s">
        <v>99</v>
      </c>
      <c r="E312" s="14" t="s">
        <v>99</v>
      </c>
      <c r="F312" s="14" t="s">
        <v>6384</v>
      </c>
      <c r="G312" s="14" t="s">
        <v>99</v>
      </c>
      <c r="H312" s="14" t="s">
        <v>99</v>
      </c>
      <c r="I312" s="14" t="s">
        <v>6385</v>
      </c>
      <c r="J312" s="14" t="s">
        <v>5840</v>
      </c>
      <c r="K312" s="14" t="s">
        <v>99</v>
      </c>
      <c r="L312" s="14" t="s">
        <v>99</v>
      </c>
      <c r="M312" s="14" t="s">
        <v>103</v>
      </c>
      <c r="N312" s="14" t="s">
        <v>104</v>
      </c>
      <c r="O312" s="14" t="s">
        <v>99</v>
      </c>
      <c r="P312" s="14" t="s">
        <v>99</v>
      </c>
      <c r="Q312" s="14" t="s">
        <v>99</v>
      </c>
      <c r="R312" s="14" t="s">
        <v>99</v>
      </c>
      <c r="S312" s="14" t="s">
        <v>99</v>
      </c>
      <c r="T312" s="14" t="s">
        <v>99</v>
      </c>
      <c r="U312" s="14" t="s">
        <v>6386</v>
      </c>
      <c r="V312" s="14" t="s">
        <v>6387</v>
      </c>
      <c r="W312" s="14" t="s">
        <v>6388</v>
      </c>
      <c r="X312" s="14" t="s">
        <v>6389</v>
      </c>
      <c r="Y312" s="14" t="s">
        <v>6390</v>
      </c>
      <c r="Z312" s="14" t="s">
        <v>6391</v>
      </c>
      <c r="AA312" s="14" t="s">
        <v>6392</v>
      </c>
      <c r="AB312" s="14" t="s">
        <v>6393</v>
      </c>
      <c r="AC312" s="14" t="s">
        <v>6394</v>
      </c>
      <c r="AD312" s="14" t="s">
        <v>6395</v>
      </c>
      <c r="AE312" s="14" t="s">
        <v>6396</v>
      </c>
      <c r="AF312" s="14" t="s">
        <v>99</v>
      </c>
      <c r="AG312" s="14">
        <v>37.0</v>
      </c>
      <c r="AH312" s="14">
        <v>708.0</v>
      </c>
      <c r="AI312" s="14">
        <v>796.0</v>
      </c>
      <c r="AJ312" s="14">
        <v>31.0</v>
      </c>
      <c r="AK312" s="14">
        <v>916.0</v>
      </c>
      <c r="AL312" s="14" t="s">
        <v>1326</v>
      </c>
      <c r="AM312" s="14" t="s">
        <v>1594</v>
      </c>
      <c r="AN312" s="14" t="s">
        <v>5852</v>
      </c>
      <c r="AO312" s="14" t="s">
        <v>5853</v>
      </c>
      <c r="AP312" s="14" t="s">
        <v>5854</v>
      </c>
      <c r="AQ312" s="14" t="s">
        <v>99</v>
      </c>
      <c r="AR312" s="14" t="s">
        <v>5855</v>
      </c>
      <c r="AS312" s="14" t="s">
        <v>5856</v>
      </c>
      <c r="AT312" s="14" t="s">
        <v>640</v>
      </c>
      <c r="AU312" s="14">
        <v>2010.0</v>
      </c>
      <c r="AV312" s="14">
        <v>3.0</v>
      </c>
      <c r="AW312" s="14">
        <v>5.0</v>
      </c>
      <c r="AX312" s="14" t="s">
        <v>99</v>
      </c>
      <c r="AY312" s="14" t="s">
        <v>99</v>
      </c>
      <c r="AZ312" s="14" t="s">
        <v>1738</v>
      </c>
      <c r="BA312" s="14" t="s">
        <v>99</v>
      </c>
      <c r="BB312" s="14">
        <v>311.0</v>
      </c>
      <c r="BC312" s="14">
        <v>314.0</v>
      </c>
      <c r="BD312" s="14" t="s">
        <v>99</v>
      </c>
      <c r="BE312" s="14" t="s">
        <v>6397</v>
      </c>
      <c r="BF312" s="15" t="str">
        <f>HYPERLINK("http://dx.doi.org/10.1038/ngeo838","http://dx.doi.org/10.1038/ngeo838")</f>
        <v>http://dx.doi.org/10.1038/ngeo838</v>
      </c>
      <c r="BG312" s="14" t="s">
        <v>99</v>
      </c>
      <c r="BH312" s="14" t="s">
        <v>99</v>
      </c>
      <c r="BI312" s="14">
        <v>4.0</v>
      </c>
      <c r="BJ312" s="14" t="s">
        <v>990</v>
      </c>
      <c r="BK312" s="14" t="s">
        <v>122</v>
      </c>
      <c r="BL312" s="14" t="s">
        <v>991</v>
      </c>
      <c r="BM312" s="14" t="s">
        <v>6398</v>
      </c>
      <c r="BN312" s="14" t="s">
        <v>99</v>
      </c>
      <c r="BO312" s="14" t="s">
        <v>99</v>
      </c>
      <c r="BP312" s="14" t="s">
        <v>99</v>
      </c>
      <c r="BQ312" s="14" t="s">
        <v>99</v>
      </c>
      <c r="BR312" s="14" t="s">
        <v>124</v>
      </c>
      <c r="BS312" s="14" t="s">
        <v>6399</v>
      </c>
      <c r="BT312" s="14" t="str">
        <f>HYPERLINK("https%3A%2F%2Fwww.webofscience.com%2Fwos%2Fwoscc%2Ffull-record%2FWOS:000277188500011","View Full Record in Web of Science")</f>
        <v>View Full Record in Web of Science</v>
      </c>
    </row>
    <row r="313" ht="12.75" customHeight="1">
      <c r="A313" s="14" t="s">
        <v>97</v>
      </c>
      <c r="B313" s="14" t="s">
        <v>6400</v>
      </c>
      <c r="C313" s="14" t="s">
        <v>99</v>
      </c>
      <c r="D313" s="14" t="s">
        <v>99</v>
      </c>
      <c r="E313" s="14" t="s">
        <v>99</v>
      </c>
      <c r="F313" s="14" t="s">
        <v>6401</v>
      </c>
      <c r="G313" s="14" t="s">
        <v>99</v>
      </c>
      <c r="H313" s="14" t="s">
        <v>99</v>
      </c>
      <c r="I313" s="14" t="s">
        <v>6402</v>
      </c>
      <c r="J313" s="14" t="s">
        <v>2500</v>
      </c>
      <c r="K313" s="14" t="s">
        <v>99</v>
      </c>
      <c r="L313" s="14" t="s">
        <v>99</v>
      </c>
      <c r="M313" s="14" t="s">
        <v>103</v>
      </c>
      <c r="N313" s="14" t="s">
        <v>104</v>
      </c>
      <c r="O313" s="14" t="s">
        <v>99</v>
      </c>
      <c r="P313" s="14" t="s">
        <v>99</v>
      </c>
      <c r="Q313" s="14" t="s">
        <v>99</v>
      </c>
      <c r="R313" s="14" t="s">
        <v>99</v>
      </c>
      <c r="S313" s="14" t="s">
        <v>99</v>
      </c>
      <c r="T313" s="14" t="s">
        <v>99</v>
      </c>
      <c r="U313" s="14" t="s">
        <v>6403</v>
      </c>
      <c r="V313" s="14" t="s">
        <v>6404</v>
      </c>
      <c r="W313" s="14" t="s">
        <v>6405</v>
      </c>
      <c r="X313" s="14" t="s">
        <v>6406</v>
      </c>
      <c r="Y313" s="14" t="s">
        <v>6407</v>
      </c>
      <c r="Z313" s="14" t="s">
        <v>6408</v>
      </c>
      <c r="AA313" s="14" t="s">
        <v>6409</v>
      </c>
      <c r="AB313" s="14" t="s">
        <v>99</v>
      </c>
      <c r="AC313" s="14" t="s">
        <v>6410</v>
      </c>
      <c r="AD313" s="14" t="s">
        <v>6411</v>
      </c>
      <c r="AE313" s="14" t="s">
        <v>6412</v>
      </c>
      <c r="AF313" s="14" t="s">
        <v>99</v>
      </c>
      <c r="AG313" s="14">
        <v>86.0</v>
      </c>
      <c r="AH313" s="14">
        <v>132.0</v>
      </c>
      <c r="AI313" s="14">
        <v>149.0</v>
      </c>
      <c r="AJ313" s="14">
        <v>2.0</v>
      </c>
      <c r="AK313" s="14">
        <v>102.0</v>
      </c>
      <c r="AL313" s="14" t="s">
        <v>2512</v>
      </c>
      <c r="AM313" s="14" t="s">
        <v>2513</v>
      </c>
      <c r="AN313" s="14" t="s">
        <v>2514</v>
      </c>
      <c r="AO313" s="14" t="s">
        <v>2515</v>
      </c>
      <c r="AP313" s="14" t="s">
        <v>99</v>
      </c>
      <c r="AQ313" s="14" t="s">
        <v>99</v>
      </c>
      <c r="AR313" s="14" t="s">
        <v>2500</v>
      </c>
      <c r="AS313" s="14" t="s">
        <v>2516</v>
      </c>
      <c r="AT313" s="14" t="s">
        <v>6413</v>
      </c>
      <c r="AU313" s="14">
        <v>2010.0</v>
      </c>
      <c r="AV313" s="14">
        <v>5.0</v>
      </c>
      <c r="AW313" s="14">
        <v>4.0</v>
      </c>
      <c r="AX313" s="14" t="s">
        <v>99</v>
      </c>
      <c r="AY313" s="14" t="s">
        <v>99</v>
      </c>
      <c r="AZ313" s="14" t="s">
        <v>99</v>
      </c>
      <c r="BA313" s="14" t="s">
        <v>99</v>
      </c>
      <c r="BB313" s="14" t="s">
        <v>99</v>
      </c>
      <c r="BC313" s="14" t="s">
        <v>99</v>
      </c>
      <c r="BD313" s="14" t="s">
        <v>6414</v>
      </c>
      <c r="BE313" s="14" t="s">
        <v>6415</v>
      </c>
      <c r="BF313" s="15" t="str">
        <f>HYPERLINK("http://dx.doi.org/10.1371/journal.pone.0010294","http://dx.doi.org/10.1371/journal.pone.0010294")</f>
        <v>http://dx.doi.org/10.1371/journal.pone.0010294</v>
      </c>
      <c r="BG313" s="14" t="s">
        <v>99</v>
      </c>
      <c r="BH313" s="14" t="s">
        <v>99</v>
      </c>
      <c r="BI313" s="14">
        <v>18.0</v>
      </c>
      <c r="BJ313" s="14" t="s">
        <v>799</v>
      </c>
      <c r="BK313" s="14" t="s">
        <v>122</v>
      </c>
      <c r="BL313" s="14" t="s">
        <v>801</v>
      </c>
      <c r="BM313" s="14" t="s">
        <v>6416</v>
      </c>
      <c r="BN313" s="14">
        <v>2.0428233E7</v>
      </c>
      <c r="BO313" s="14" t="s">
        <v>1251</v>
      </c>
      <c r="BP313" s="14" t="s">
        <v>99</v>
      </c>
      <c r="BQ313" s="14" t="s">
        <v>99</v>
      </c>
      <c r="BR313" s="14" t="s">
        <v>124</v>
      </c>
      <c r="BS313" s="14" t="s">
        <v>6417</v>
      </c>
      <c r="BT313" s="14" t="str">
        <f>HYPERLINK("https%3A%2F%2Fwww.webofscience.com%2Fwos%2Fwoscc%2Ffull-record%2FWOS:000277079300006","View Full Record in Web of Science")</f>
        <v>View Full Record in Web of Science</v>
      </c>
    </row>
    <row r="314" ht="12.75" customHeight="1">
      <c r="A314" s="14" t="s">
        <v>97</v>
      </c>
      <c r="B314" s="14" t="s">
        <v>6418</v>
      </c>
      <c r="C314" s="14" t="s">
        <v>99</v>
      </c>
      <c r="D314" s="14" t="s">
        <v>99</v>
      </c>
      <c r="E314" s="14" t="s">
        <v>99</v>
      </c>
      <c r="F314" s="14" t="s">
        <v>6419</v>
      </c>
      <c r="G314" s="14" t="s">
        <v>99</v>
      </c>
      <c r="H314" s="14" t="s">
        <v>99</v>
      </c>
      <c r="I314" s="14" t="s">
        <v>6420</v>
      </c>
      <c r="J314" s="14" t="s">
        <v>2500</v>
      </c>
      <c r="K314" s="14" t="s">
        <v>99</v>
      </c>
      <c r="L314" s="14" t="s">
        <v>99</v>
      </c>
      <c r="M314" s="14" t="s">
        <v>103</v>
      </c>
      <c r="N314" s="14" t="s">
        <v>104</v>
      </c>
      <c r="O314" s="14" t="s">
        <v>99</v>
      </c>
      <c r="P314" s="14" t="s">
        <v>99</v>
      </c>
      <c r="Q314" s="14" t="s">
        <v>99</v>
      </c>
      <c r="R314" s="14" t="s">
        <v>99</v>
      </c>
      <c r="S314" s="14" t="s">
        <v>99</v>
      </c>
      <c r="T314" s="14" t="s">
        <v>99</v>
      </c>
      <c r="U314" s="14" t="s">
        <v>6421</v>
      </c>
      <c r="V314" s="14" t="s">
        <v>6422</v>
      </c>
      <c r="W314" s="14" t="s">
        <v>6423</v>
      </c>
      <c r="X314" s="14" t="s">
        <v>6424</v>
      </c>
      <c r="Y314" s="14" t="s">
        <v>6425</v>
      </c>
      <c r="Z314" s="14" t="s">
        <v>6426</v>
      </c>
      <c r="AA314" s="14" t="s">
        <v>6427</v>
      </c>
      <c r="AB314" s="14" t="s">
        <v>6428</v>
      </c>
      <c r="AC314" s="14" t="s">
        <v>6429</v>
      </c>
      <c r="AD314" s="14" t="s">
        <v>6429</v>
      </c>
      <c r="AE314" s="14" t="s">
        <v>6430</v>
      </c>
      <c r="AF314" s="14" t="s">
        <v>99</v>
      </c>
      <c r="AG314" s="14">
        <v>86.0</v>
      </c>
      <c r="AH314" s="14">
        <v>888.0</v>
      </c>
      <c r="AI314" s="14">
        <v>1076.0</v>
      </c>
      <c r="AJ314" s="14">
        <v>14.0</v>
      </c>
      <c r="AK314" s="14">
        <v>156.0</v>
      </c>
      <c r="AL314" s="14" t="s">
        <v>2512</v>
      </c>
      <c r="AM314" s="14" t="s">
        <v>2513</v>
      </c>
      <c r="AN314" s="14" t="s">
        <v>2514</v>
      </c>
      <c r="AO314" s="14" t="s">
        <v>2515</v>
      </c>
      <c r="AP314" s="14" t="s">
        <v>99</v>
      </c>
      <c r="AQ314" s="14" t="s">
        <v>99</v>
      </c>
      <c r="AR314" s="14" t="s">
        <v>2500</v>
      </c>
      <c r="AS314" s="14" t="s">
        <v>2516</v>
      </c>
      <c r="AT314" s="14" t="s">
        <v>6431</v>
      </c>
      <c r="AU314" s="14">
        <v>2010.0</v>
      </c>
      <c r="AV314" s="14">
        <v>5.0</v>
      </c>
      <c r="AW314" s="14">
        <v>4.0</v>
      </c>
      <c r="AX314" s="14" t="s">
        <v>99</v>
      </c>
      <c r="AY314" s="14" t="s">
        <v>99</v>
      </c>
      <c r="AZ314" s="14" t="s">
        <v>99</v>
      </c>
      <c r="BA314" s="14" t="s">
        <v>99</v>
      </c>
      <c r="BB314" s="14" t="s">
        <v>99</v>
      </c>
      <c r="BC314" s="14" t="s">
        <v>99</v>
      </c>
      <c r="BD314" s="14" t="s">
        <v>6432</v>
      </c>
      <c r="BE314" s="14" t="s">
        <v>6433</v>
      </c>
      <c r="BF314" s="15" t="str">
        <f>HYPERLINK("http://dx.doi.org/10.1371/journal.pone.0010095","http://dx.doi.org/10.1371/journal.pone.0010095")</f>
        <v>http://dx.doi.org/10.1371/journal.pone.0010095</v>
      </c>
      <c r="BG314" s="14" t="s">
        <v>99</v>
      </c>
      <c r="BH314" s="14" t="s">
        <v>99</v>
      </c>
      <c r="BI314" s="14">
        <v>10.0</v>
      </c>
      <c r="BJ314" s="14" t="s">
        <v>799</v>
      </c>
      <c r="BK314" s="14" t="s">
        <v>122</v>
      </c>
      <c r="BL314" s="14" t="s">
        <v>801</v>
      </c>
      <c r="BM314" s="14" t="s">
        <v>6434</v>
      </c>
      <c r="BN314" s="14">
        <v>2.038671E7</v>
      </c>
      <c r="BO314" s="14" t="s">
        <v>1251</v>
      </c>
      <c r="BP314" s="14" t="s">
        <v>99</v>
      </c>
      <c r="BQ314" s="14" t="s">
        <v>99</v>
      </c>
      <c r="BR314" s="14" t="s">
        <v>124</v>
      </c>
      <c r="BS314" s="14" t="s">
        <v>6435</v>
      </c>
      <c r="BT314" s="14" t="str">
        <f>HYPERLINK("https%3A%2F%2Fwww.webofscience.com%2Fwos%2Fwoscc%2Ffull-record%2FWOS:000276482000021","View Full Record in Web of Science")</f>
        <v>View Full Record in Web of Science</v>
      </c>
    </row>
    <row r="315" ht="12.75" customHeight="1">
      <c r="A315" s="14" t="s">
        <v>97</v>
      </c>
      <c r="B315" s="14" t="s">
        <v>6436</v>
      </c>
      <c r="C315" s="14" t="s">
        <v>99</v>
      </c>
      <c r="D315" s="14" t="s">
        <v>99</v>
      </c>
      <c r="E315" s="14" t="s">
        <v>99</v>
      </c>
      <c r="F315" s="14" t="s">
        <v>6437</v>
      </c>
      <c r="G315" s="14" t="s">
        <v>99</v>
      </c>
      <c r="H315" s="14" t="s">
        <v>99</v>
      </c>
      <c r="I315" s="14" t="s">
        <v>6438</v>
      </c>
      <c r="J315" s="14" t="s">
        <v>430</v>
      </c>
      <c r="K315" s="14" t="s">
        <v>99</v>
      </c>
      <c r="L315" s="14" t="s">
        <v>99</v>
      </c>
      <c r="M315" s="14" t="s">
        <v>103</v>
      </c>
      <c r="N315" s="14" t="s">
        <v>104</v>
      </c>
      <c r="O315" s="14" t="s">
        <v>99</v>
      </c>
      <c r="P315" s="14" t="s">
        <v>99</v>
      </c>
      <c r="Q315" s="14" t="s">
        <v>99</v>
      </c>
      <c r="R315" s="14" t="s">
        <v>99</v>
      </c>
      <c r="S315" s="14" t="s">
        <v>99</v>
      </c>
      <c r="T315" s="14" t="s">
        <v>6439</v>
      </c>
      <c r="U315" s="14" t="s">
        <v>6440</v>
      </c>
      <c r="V315" s="14" t="s">
        <v>6441</v>
      </c>
      <c r="W315" s="14" t="s">
        <v>6442</v>
      </c>
      <c r="X315" s="14" t="s">
        <v>6443</v>
      </c>
      <c r="Y315" s="14" t="s">
        <v>6444</v>
      </c>
      <c r="Z315" s="14" t="s">
        <v>6445</v>
      </c>
      <c r="AA315" s="14" t="s">
        <v>99</v>
      </c>
      <c r="AB315" s="14" t="s">
        <v>99</v>
      </c>
      <c r="AC315" s="14" t="s">
        <v>6446</v>
      </c>
      <c r="AD315" s="14" t="s">
        <v>6447</v>
      </c>
      <c r="AE315" s="14" t="s">
        <v>6448</v>
      </c>
      <c r="AF315" s="14" t="s">
        <v>99</v>
      </c>
      <c r="AG315" s="14">
        <v>61.0</v>
      </c>
      <c r="AH315" s="14">
        <v>37.0</v>
      </c>
      <c r="AI315" s="14">
        <v>48.0</v>
      </c>
      <c r="AJ315" s="14">
        <v>1.0</v>
      </c>
      <c r="AK315" s="14">
        <v>49.0</v>
      </c>
      <c r="AL315" s="14" t="s">
        <v>441</v>
      </c>
      <c r="AM315" s="14" t="s">
        <v>442</v>
      </c>
      <c r="AN315" s="14" t="s">
        <v>443</v>
      </c>
      <c r="AO315" s="14" t="s">
        <v>444</v>
      </c>
      <c r="AP315" s="14" t="s">
        <v>445</v>
      </c>
      <c r="AQ315" s="14" t="s">
        <v>99</v>
      </c>
      <c r="AR315" s="14" t="s">
        <v>446</v>
      </c>
      <c r="AS315" s="14" t="s">
        <v>447</v>
      </c>
      <c r="AT315" s="14" t="s">
        <v>5795</v>
      </c>
      <c r="AU315" s="14">
        <v>2010.0</v>
      </c>
      <c r="AV315" s="14">
        <v>259.0</v>
      </c>
      <c r="AW315" s="14">
        <v>8.0</v>
      </c>
      <c r="AX315" s="14" t="s">
        <v>99</v>
      </c>
      <c r="AY315" s="14" t="s">
        <v>99</v>
      </c>
      <c r="AZ315" s="14" t="s">
        <v>99</v>
      </c>
      <c r="BA315" s="14" t="s">
        <v>99</v>
      </c>
      <c r="BB315" s="14">
        <v>1522.0</v>
      </c>
      <c r="BC315" s="14">
        <v>1529.0</v>
      </c>
      <c r="BD315" s="14" t="s">
        <v>99</v>
      </c>
      <c r="BE315" s="14" t="s">
        <v>6449</v>
      </c>
      <c r="BF315" s="15" t="str">
        <f>HYPERLINK("http://dx.doi.org/10.1016/j.foreco.2010.01.028","http://dx.doi.org/10.1016/j.foreco.2010.01.028")</f>
        <v>http://dx.doi.org/10.1016/j.foreco.2010.01.028</v>
      </c>
      <c r="BG315" s="14" t="s">
        <v>99</v>
      </c>
      <c r="BH315" s="14" t="s">
        <v>99</v>
      </c>
      <c r="BI315" s="14">
        <v>8.0</v>
      </c>
      <c r="BJ315" s="14" t="s">
        <v>281</v>
      </c>
      <c r="BK315" s="14" t="s">
        <v>122</v>
      </c>
      <c r="BL315" s="14" t="s">
        <v>281</v>
      </c>
      <c r="BM315" s="14" t="s">
        <v>6450</v>
      </c>
      <c r="BN315" s="14" t="s">
        <v>99</v>
      </c>
      <c r="BO315" s="14" t="s">
        <v>99</v>
      </c>
      <c r="BP315" s="14" t="s">
        <v>99</v>
      </c>
      <c r="BQ315" s="14" t="s">
        <v>99</v>
      </c>
      <c r="BR315" s="14" t="s">
        <v>124</v>
      </c>
      <c r="BS315" s="14" t="s">
        <v>6451</v>
      </c>
      <c r="BT315" s="14" t="str">
        <f>HYPERLINK("https%3A%2F%2Fwww.webofscience.com%2Fwos%2Fwoscc%2Ffull-record%2FWOS:000276292900019","View Full Record in Web of Science")</f>
        <v>View Full Record in Web of Science</v>
      </c>
    </row>
    <row r="316" ht="12.75" customHeight="1">
      <c r="A316" s="14" t="s">
        <v>97</v>
      </c>
      <c r="B316" s="14" t="s">
        <v>6452</v>
      </c>
      <c r="C316" s="14" t="s">
        <v>99</v>
      </c>
      <c r="D316" s="14" t="s">
        <v>99</v>
      </c>
      <c r="E316" s="14" t="s">
        <v>99</v>
      </c>
      <c r="F316" s="14" t="s">
        <v>6453</v>
      </c>
      <c r="G316" s="14" t="s">
        <v>99</v>
      </c>
      <c r="H316" s="14" t="s">
        <v>99</v>
      </c>
      <c r="I316" s="14" t="s">
        <v>6454</v>
      </c>
      <c r="J316" s="14" t="s">
        <v>6455</v>
      </c>
      <c r="K316" s="14" t="s">
        <v>99</v>
      </c>
      <c r="L316" s="14" t="s">
        <v>99</v>
      </c>
      <c r="M316" s="14" t="s">
        <v>103</v>
      </c>
      <c r="N316" s="14" t="s">
        <v>104</v>
      </c>
      <c r="O316" s="14" t="s">
        <v>99</v>
      </c>
      <c r="P316" s="14" t="s">
        <v>99</v>
      </c>
      <c r="Q316" s="14" t="s">
        <v>99</v>
      </c>
      <c r="R316" s="14" t="s">
        <v>99</v>
      </c>
      <c r="S316" s="14" t="s">
        <v>99</v>
      </c>
      <c r="T316" s="14" t="s">
        <v>6456</v>
      </c>
      <c r="U316" s="14" t="s">
        <v>6457</v>
      </c>
      <c r="V316" s="14" t="s">
        <v>6458</v>
      </c>
      <c r="W316" s="14" t="s">
        <v>6459</v>
      </c>
      <c r="X316" s="14" t="s">
        <v>6460</v>
      </c>
      <c r="Y316" s="14" t="s">
        <v>6461</v>
      </c>
      <c r="Z316" s="14" t="s">
        <v>6462</v>
      </c>
      <c r="AA316" s="14" t="s">
        <v>6463</v>
      </c>
      <c r="AB316" s="14" t="s">
        <v>6464</v>
      </c>
      <c r="AC316" s="14" t="s">
        <v>6465</v>
      </c>
      <c r="AD316" s="14" t="s">
        <v>6466</v>
      </c>
      <c r="AE316" s="14" t="s">
        <v>6467</v>
      </c>
      <c r="AF316" s="14" t="s">
        <v>99</v>
      </c>
      <c r="AG316" s="14">
        <v>66.0</v>
      </c>
      <c r="AH316" s="14">
        <v>68.0</v>
      </c>
      <c r="AI316" s="14">
        <v>84.0</v>
      </c>
      <c r="AJ316" s="14">
        <v>0.0</v>
      </c>
      <c r="AK316" s="14">
        <v>91.0</v>
      </c>
      <c r="AL316" s="14" t="s">
        <v>341</v>
      </c>
      <c r="AM316" s="14" t="s">
        <v>342</v>
      </c>
      <c r="AN316" s="14" t="s">
        <v>343</v>
      </c>
      <c r="AO316" s="14" t="s">
        <v>6468</v>
      </c>
      <c r="AP316" s="14" t="s">
        <v>6469</v>
      </c>
      <c r="AQ316" s="14" t="s">
        <v>99</v>
      </c>
      <c r="AR316" s="14" t="s">
        <v>6455</v>
      </c>
      <c r="AS316" s="14" t="s">
        <v>6470</v>
      </c>
      <c r="AT316" s="14" t="s">
        <v>1485</v>
      </c>
      <c r="AU316" s="14">
        <v>2010.0</v>
      </c>
      <c r="AV316" s="14">
        <v>42.0</v>
      </c>
      <c r="AW316" s="14">
        <v>2.0</v>
      </c>
      <c r="AX316" s="14" t="s">
        <v>99</v>
      </c>
      <c r="AY316" s="14" t="s">
        <v>99</v>
      </c>
      <c r="AZ316" s="14" t="s">
        <v>99</v>
      </c>
      <c r="BA316" s="14" t="s">
        <v>99</v>
      </c>
      <c r="BB316" s="14">
        <v>251.0</v>
      </c>
      <c r="BC316" s="14">
        <v>261.0</v>
      </c>
      <c r="BD316" s="14" t="s">
        <v>99</v>
      </c>
      <c r="BE316" s="14" t="s">
        <v>6471</v>
      </c>
      <c r="BF316" s="15" t="str">
        <f>HYPERLINK("http://dx.doi.org/10.1111/j.1744-7429.2009.00546.x","http://dx.doi.org/10.1111/j.1744-7429.2009.00546.x")</f>
        <v>http://dx.doi.org/10.1111/j.1744-7429.2009.00546.x</v>
      </c>
      <c r="BG316" s="14" t="s">
        <v>99</v>
      </c>
      <c r="BH316" s="14" t="s">
        <v>99</v>
      </c>
      <c r="BI316" s="14">
        <v>11.0</v>
      </c>
      <c r="BJ316" s="14" t="s">
        <v>259</v>
      </c>
      <c r="BK316" s="14" t="s">
        <v>122</v>
      </c>
      <c r="BL316" s="14" t="s">
        <v>260</v>
      </c>
      <c r="BM316" s="14" t="s">
        <v>6472</v>
      </c>
      <c r="BN316" s="14" t="s">
        <v>99</v>
      </c>
      <c r="BO316" s="14" t="s">
        <v>238</v>
      </c>
      <c r="BP316" s="14" t="s">
        <v>99</v>
      </c>
      <c r="BQ316" s="14" t="s">
        <v>99</v>
      </c>
      <c r="BR316" s="14" t="s">
        <v>124</v>
      </c>
      <c r="BS316" s="14" t="s">
        <v>6473</v>
      </c>
      <c r="BT316" s="14" t="str">
        <f>HYPERLINK("https%3A%2F%2Fwww.webofscience.com%2Fwos%2Fwoscc%2Ffull-record%2FWOS:000275215700017","View Full Record in Web of Science")</f>
        <v>View Full Record in Web of Science</v>
      </c>
    </row>
    <row r="317" ht="12.75" customHeight="1">
      <c r="A317" s="14" t="s">
        <v>97</v>
      </c>
      <c r="B317" s="14" t="s">
        <v>6474</v>
      </c>
      <c r="C317" s="14" t="s">
        <v>99</v>
      </c>
      <c r="D317" s="14" t="s">
        <v>99</v>
      </c>
      <c r="E317" s="14" t="s">
        <v>99</v>
      </c>
      <c r="F317" s="14" t="s">
        <v>6475</v>
      </c>
      <c r="G317" s="14" t="s">
        <v>99</v>
      </c>
      <c r="H317" s="14" t="s">
        <v>99</v>
      </c>
      <c r="I317" s="14" t="s">
        <v>6476</v>
      </c>
      <c r="J317" s="14" t="s">
        <v>1721</v>
      </c>
      <c r="K317" s="14" t="s">
        <v>99</v>
      </c>
      <c r="L317" s="14" t="s">
        <v>99</v>
      </c>
      <c r="M317" s="14" t="s">
        <v>103</v>
      </c>
      <c r="N317" s="14" t="s">
        <v>104</v>
      </c>
      <c r="O317" s="14" t="s">
        <v>99</v>
      </c>
      <c r="P317" s="14" t="s">
        <v>99</v>
      </c>
      <c r="Q317" s="14" t="s">
        <v>99</v>
      </c>
      <c r="R317" s="14" t="s">
        <v>99</v>
      </c>
      <c r="S317" s="14" t="s">
        <v>99</v>
      </c>
      <c r="T317" s="14" t="s">
        <v>6477</v>
      </c>
      <c r="U317" s="14" t="s">
        <v>6478</v>
      </c>
      <c r="V317" s="14" t="s">
        <v>6479</v>
      </c>
      <c r="W317" s="14" t="s">
        <v>6480</v>
      </c>
      <c r="X317" s="14" t="s">
        <v>6481</v>
      </c>
      <c r="Y317" s="14" t="s">
        <v>6482</v>
      </c>
      <c r="Z317" s="14" t="s">
        <v>6483</v>
      </c>
      <c r="AA317" s="14" t="s">
        <v>6484</v>
      </c>
      <c r="AB317" s="14" t="s">
        <v>6485</v>
      </c>
      <c r="AC317" s="14" t="s">
        <v>6486</v>
      </c>
      <c r="AD317" s="14" t="s">
        <v>6487</v>
      </c>
      <c r="AE317" s="14" t="s">
        <v>6488</v>
      </c>
      <c r="AF317" s="14" t="s">
        <v>99</v>
      </c>
      <c r="AG317" s="14">
        <v>89.0</v>
      </c>
      <c r="AH317" s="14">
        <v>66.0</v>
      </c>
      <c r="AI317" s="14">
        <v>81.0</v>
      </c>
      <c r="AJ317" s="14">
        <v>0.0</v>
      </c>
      <c r="AK317" s="14">
        <v>85.0</v>
      </c>
      <c r="AL317" s="14" t="s">
        <v>1731</v>
      </c>
      <c r="AM317" s="14" t="s">
        <v>1732</v>
      </c>
      <c r="AN317" s="14" t="s">
        <v>1733</v>
      </c>
      <c r="AO317" s="14" t="s">
        <v>1734</v>
      </c>
      <c r="AP317" s="14" t="s">
        <v>1735</v>
      </c>
      <c r="AQ317" s="14" t="s">
        <v>99</v>
      </c>
      <c r="AR317" s="14" t="s">
        <v>1736</v>
      </c>
      <c r="AS317" s="14" t="s">
        <v>1737</v>
      </c>
      <c r="AT317" s="14" t="s">
        <v>1485</v>
      </c>
      <c r="AU317" s="14">
        <v>2010.0</v>
      </c>
      <c r="AV317" s="14">
        <v>19.0</v>
      </c>
      <c r="AW317" s="14">
        <v>3.0</v>
      </c>
      <c r="AX317" s="14" t="s">
        <v>99</v>
      </c>
      <c r="AY317" s="14" t="s">
        <v>99</v>
      </c>
      <c r="AZ317" s="14" t="s">
        <v>99</v>
      </c>
      <c r="BA317" s="14" t="s">
        <v>99</v>
      </c>
      <c r="BB317" s="14">
        <v>695.0</v>
      </c>
      <c r="BC317" s="14">
        <v>723.0</v>
      </c>
      <c r="BD317" s="14" t="s">
        <v>99</v>
      </c>
      <c r="BE317" s="14" t="s">
        <v>6489</v>
      </c>
      <c r="BF317" s="15" t="str">
        <f>HYPERLINK("http://dx.doi.org/10.1007/s10531-009-9728-x","http://dx.doi.org/10.1007/s10531-009-9728-x")</f>
        <v>http://dx.doi.org/10.1007/s10531-009-9728-x</v>
      </c>
      <c r="BG317" s="14" t="s">
        <v>99</v>
      </c>
      <c r="BH317" s="14" t="s">
        <v>99</v>
      </c>
      <c r="BI317" s="14">
        <v>29.0</v>
      </c>
      <c r="BJ317" s="14" t="s">
        <v>351</v>
      </c>
      <c r="BK317" s="14" t="s">
        <v>122</v>
      </c>
      <c r="BL317" s="14" t="s">
        <v>352</v>
      </c>
      <c r="BM317" s="14" t="s">
        <v>6490</v>
      </c>
      <c r="BN317" s="14" t="s">
        <v>99</v>
      </c>
      <c r="BO317" s="14" t="s">
        <v>99</v>
      </c>
      <c r="BP317" s="14" t="s">
        <v>99</v>
      </c>
      <c r="BQ317" s="14" t="s">
        <v>99</v>
      </c>
      <c r="BR317" s="14" t="s">
        <v>124</v>
      </c>
      <c r="BS317" s="14" t="s">
        <v>6491</v>
      </c>
      <c r="BT317" s="14" t="str">
        <f>HYPERLINK("https%3A%2F%2Fwww.webofscience.com%2Fwos%2Fwoscc%2Ffull-record%2FWOS:000274330800007","View Full Record in Web of Science")</f>
        <v>View Full Record in Web of Science</v>
      </c>
    </row>
    <row r="318" ht="12.75" customHeight="1">
      <c r="A318" s="14" t="s">
        <v>97</v>
      </c>
      <c r="B318" s="14" t="s">
        <v>6492</v>
      </c>
      <c r="C318" s="14" t="s">
        <v>99</v>
      </c>
      <c r="D318" s="14" t="s">
        <v>99</v>
      </c>
      <c r="E318" s="14" t="s">
        <v>99</v>
      </c>
      <c r="F318" s="14" t="s">
        <v>6493</v>
      </c>
      <c r="G318" s="14" t="s">
        <v>99</v>
      </c>
      <c r="H318" s="14" t="s">
        <v>99</v>
      </c>
      <c r="I318" s="14" t="s">
        <v>6494</v>
      </c>
      <c r="J318" s="14" t="s">
        <v>5708</v>
      </c>
      <c r="K318" s="14" t="s">
        <v>99</v>
      </c>
      <c r="L318" s="14" t="s">
        <v>99</v>
      </c>
      <c r="M318" s="14" t="s">
        <v>103</v>
      </c>
      <c r="N318" s="14" t="s">
        <v>104</v>
      </c>
      <c r="O318" s="14" t="s">
        <v>99</v>
      </c>
      <c r="P318" s="14" t="s">
        <v>99</v>
      </c>
      <c r="Q318" s="14" t="s">
        <v>99</v>
      </c>
      <c r="R318" s="14" t="s">
        <v>99</v>
      </c>
      <c r="S318" s="14" t="s">
        <v>99</v>
      </c>
      <c r="T318" s="14" t="s">
        <v>6495</v>
      </c>
      <c r="U318" s="14" t="s">
        <v>6496</v>
      </c>
      <c r="V318" s="14" t="s">
        <v>6497</v>
      </c>
      <c r="W318" s="14" t="s">
        <v>6498</v>
      </c>
      <c r="X318" s="14" t="s">
        <v>6499</v>
      </c>
      <c r="Y318" s="14" t="s">
        <v>6500</v>
      </c>
      <c r="Z318" s="14" t="s">
        <v>6501</v>
      </c>
      <c r="AA318" s="14" t="s">
        <v>6502</v>
      </c>
      <c r="AB318" s="14" t="s">
        <v>6503</v>
      </c>
      <c r="AC318" s="14" t="s">
        <v>6504</v>
      </c>
      <c r="AD318" s="14" t="s">
        <v>6505</v>
      </c>
      <c r="AE318" s="14" t="s">
        <v>6506</v>
      </c>
      <c r="AF318" s="14" t="s">
        <v>99</v>
      </c>
      <c r="AG318" s="14">
        <v>34.0</v>
      </c>
      <c r="AH318" s="14">
        <v>67.0</v>
      </c>
      <c r="AI318" s="14">
        <v>79.0</v>
      </c>
      <c r="AJ318" s="14">
        <v>1.0</v>
      </c>
      <c r="AK318" s="14">
        <v>29.0</v>
      </c>
      <c r="AL318" s="14" t="s">
        <v>1822</v>
      </c>
      <c r="AM318" s="14" t="s">
        <v>342</v>
      </c>
      <c r="AN318" s="14" t="s">
        <v>343</v>
      </c>
      <c r="AO318" s="14" t="s">
        <v>5719</v>
      </c>
      <c r="AP318" s="14" t="s">
        <v>99</v>
      </c>
      <c r="AQ318" s="14" t="s">
        <v>99</v>
      </c>
      <c r="AR318" s="14" t="s">
        <v>5721</v>
      </c>
      <c r="AS318" s="14" t="s">
        <v>5722</v>
      </c>
      <c r="AT318" s="14" t="s">
        <v>1485</v>
      </c>
      <c r="AU318" s="14">
        <v>2010.0</v>
      </c>
      <c r="AV318" s="14">
        <v>48.0</v>
      </c>
      <c r="AW318" s="14">
        <v>1.0</v>
      </c>
      <c r="AX318" s="14" t="s">
        <v>99</v>
      </c>
      <c r="AY318" s="14" t="s">
        <v>99</v>
      </c>
      <c r="AZ318" s="14" t="s">
        <v>99</v>
      </c>
      <c r="BA318" s="14" t="s">
        <v>99</v>
      </c>
      <c r="BB318" s="14">
        <v>78.0</v>
      </c>
      <c r="BC318" s="14">
        <v>86.0</v>
      </c>
      <c r="BD318" s="14" t="s">
        <v>99</v>
      </c>
      <c r="BE318" s="14" t="s">
        <v>6507</v>
      </c>
      <c r="BF318" s="15" t="str">
        <f>HYPERLINK("http://dx.doi.org/10.1111/j.1365-2028.2009.01084.x","http://dx.doi.org/10.1111/j.1365-2028.2009.01084.x")</f>
        <v>http://dx.doi.org/10.1111/j.1365-2028.2009.01084.x</v>
      </c>
      <c r="BG318" s="14" t="s">
        <v>99</v>
      </c>
      <c r="BH318" s="14" t="s">
        <v>99</v>
      </c>
      <c r="BI318" s="14">
        <v>9.0</v>
      </c>
      <c r="BJ318" s="14" t="s">
        <v>259</v>
      </c>
      <c r="BK318" s="14" t="s">
        <v>122</v>
      </c>
      <c r="BL318" s="14" t="s">
        <v>260</v>
      </c>
      <c r="BM318" s="14" t="s">
        <v>6508</v>
      </c>
      <c r="BN318" s="14" t="s">
        <v>99</v>
      </c>
      <c r="BO318" s="14" t="s">
        <v>99</v>
      </c>
      <c r="BP318" s="14" t="s">
        <v>99</v>
      </c>
      <c r="BQ318" s="14" t="s">
        <v>99</v>
      </c>
      <c r="BR318" s="14" t="s">
        <v>124</v>
      </c>
      <c r="BS318" s="14" t="s">
        <v>6509</v>
      </c>
      <c r="BT318" s="14" t="str">
        <f>HYPERLINK("https%3A%2F%2Fwww.webofscience.com%2Fwos%2Fwoscc%2Ffull-record%2FWOS:000274199800011","View Full Record in Web of Science")</f>
        <v>View Full Record in Web of Science</v>
      </c>
    </row>
    <row r="319" ht="12.75" customHeight="1">
      <c r="A319" s="14" t="s">
        <v>97</v>
      </c>
      <c r="B319" s="14" t="s">
        <v>6510</v>
      </c>
      <c r="C319" s="14" t="s">
        <v>99</v>
      </c>
      <c r="D319" s="14" t="s">
        <v>99</v>
      </c>
      <c r="E319" s="14" t="s">
        <v>99</v>
      </c>
      <c r="F319" s="14" t="s">
        <v>6511</v>
      </c>
      <c r="G319" s="14" t="s">
        <v>99</v>
      </c>
      <c r="H319" s="14" t="s">
        <v>99</v>
      </c>
      <c r="I319" s="14" t="s">
        <v>6512</v>
      </c>
      <c r="J319" s="14" t="s">
        <v>1020</v>
      </c>
      <c r="K319" s="14" t="s">
        <v>99</v>
      </c>
      <c r="L319" s="14" t="s">
        <v>99</v>
      </c>
      <c r="M319" s="14" t="s">
        <v>103</v>
      </c>
      <c r="N319" s="14" t="s">
        <v>104</v>
      </c>
      <c r="O319" s="14" t="s">
        <v>99</v>
      </c>
      <c r="P319" s="14" t="s">
        <v>99</v>
      </c>
      <c r="Q319" s="14" t="s">
        <v>99</v>
      </c>
      <c r="R319" s="14" t="s">
        <v>99</v>
      </c>
      <c r="S319" s="14" t="s">
        <v>99</v>
      </c>
      <c r="T319" s="14" t="s">
        <v>6513</v>
      </c>
      <c r="U319" s="14" t="s">
        <v>6514</v>
      </c>
      <c r="V319" s="14" t="s">
        <v>6515</v>
      </c>
      <c r="W319" s="14" t="s">
        <v>6516</v>
      </c>
      <c r="X319" s="14" t="s">
        <v>6517</v>
      </c>
      <c r="Y319" s="14" t="s">
        <v>6518</v>
      </c>
      <c r="Z319" s="14" t="s">
        <v>6519</v>
      </c>
      <c r="AA319" s="14" t="s">
        <v>6520</v>
      </c>
      <c r="AB319" s="14" t="s">
        <v>6521</v>
      </c>
      <c r="AC319" s="14" t="s">
        <v>6522</v>
      </c>
      <c r="AD319" s="14" t="s">
        <v>6522</v>
      </c>
      <c r="AE319" s="14" t="s">
        <v>6523</v>
      </c>
      <c r="AF319" s="14" t="s">
        <v>99</v>
      </c>
      <c r="AG319" s="14">
        <v>67.0</v>
      </c>
      <c r="AH319" s="14">
        <v>33.0</v>
      </c>
      <c r="AI319" s="14">
        <v>36.0</v>
      </c>
      <c r="AJ319" s="14">
        <v>1.0</v>
      </c>
      <c r="AK319" s="14">
        <v>52.0</v>
      </c>
      <c r="AL319" s="14" t="s">
        <v>441</v>
      </c>
      <c r="AM319" s="14" t="s">
        <v>442</v>
      </c>
      <c r="AN319" s="14" t="s">
        <v>443</v>
      </c>
      <c r="AO319" s="14" t="s">
        <v>1035</v>
      </c>
      <c r="AP319" s="14" t="s">
        <v>1036</v>
      </c>
      <c r="AQ319" s="14" t="s">
        <v>99</v>
      </c>
      <c r="AR319" s="14" t="s">
        <v>1037</v>
      </c>
      <c r="AS319" s="14" t="s">
        <v>1038</v>
      </c>
      <c r="AT319" s="14" t="s">
        <v>1505</v>
      </c>
      <c r="AU319" s="14">
        <v>2010.0</v>
      </c>
      <c r="AV319" s="14">
        <v>408.0</v>
      </c>
      <c r="AW319" s="14">
        <v>6.0</v>
      </c>
      <c r="AX319" s="14" t="s">
        <v>99</v>
      </c>
      <c r="AY319" s="14" t="s">
        <v>99</v>
      </c>
      <c r="AZ319" s="14" t="s">
        <v>99</v>
      </c>
      <c r="BA319" s="14" t="s">
        <v>99</v>
      </c>
      <c r="BB319" s="14">
        <v>1245.0</v>
      </c>
      <c r="BC319" s="14">
        <v>1255.0</v>
      </c>
      <c r="BD319" s="14" t="s">
        <v>99</v>
      </c>
      <c r="BE319" s="14" t="s">
        <v>6524</v>
      </c>
      <c r="BF319" s="15" t="str">
        <f>HYPERLINK("http://dx.doi.org/10.1016/j.scitotenv.2009.12.031","http://dx.doi.org/10.1016/j.scitotenv.2009.12.031")</f>
        <v>http://dx.doi.org/10.1016/j.scitotenv.2009.12.031</v>
      </c>
      <c r="BG319" s="14" t="s">
        <v>99</v>
      </c>
      <c r="BH319" s="14" t="s">
        <v>99</v>
      </c>
      <c r="BI319" s="14">
        <v>11.0</v>
      </c>
      <c r="BJ319" s="14" t="s">
        <v>1041</v>
      </c>
      <c r="BK319" s="14" t="s">
        <v>122</v>
      </c>
      <c r="BL319" s="14" t="s">
        <v>260</v>
      </c>
      <c r="BM319" s="14" t="s">
        <v>6525</v>
      </c>
      <c r="BN319" s="14">
        <v>2.0071008E7</v>
      </c>
      <c r="BO319" s="14" t="s">
        <v>238</v>
      </c>
      <c r="BP319" s="14" t="s">
        <v>99</v>
      </c>
      <c r="BQ319" s="14" t="s">
        <v>99</v>
      </c>
      <c r="BR319" s="14" t="s">
        <v>124</v>
      </c>
      <c r="BS319" s="14" t="s">
        <v>6526</v>
      </c>
      <c r="BT319" s="14" t="str">
        <f>HYPERLINK("https%3A%2F%2Fwww.webofscience.com%2Fwos%2Fwoscc%2Ffull-record%2FWOS:000274948000002","View Full Record in Web of Science")</f>
        <v>View Full Record in Web of Science</v>
      </c>
    </row>
    <row r="320" ht="12.75" customHeight="1">
      <c r="A320" s="14" t="s">
        <v>97</v>
      </c>
      <c r="B320" s="14" t="s">
        <v>6527</v>
      </c>
      <c r="C320" s="14" t="s">
        <v>99</v>
      </c>
      <c r="D320" s="14" t="s">
        <v>99</v>
      </c>
      <c r="E320" s="14" t="s">
        <v>99</v>
      </c>
      <c r="F320" s="14" t="s">
        <v>6528</v>
      </c>
      <c r="G320" s="14" t="s">
        <v>99</v>
      </c>
      <c r="H320" s="14" t="s">
        <v>99</v>
      </c>
      <c r="I320" s="14" t="s">
        <v>6529</v>
      </c>
      <c r="J320" s="14" t="s">
        <v>328</v>
      </c>
      <c r="K320" s="14" t="s">
        <v>99</v>
      </c>
      <c r="L320" s="14" t="s">
        <v>99</v>
      </c>
      <c r="M320" s="14" t="s">
        <v>103</v>
      </c>
      <c r="N320" s="14" t="s">
        <v>104</v>
      </c>
      <c r="O320" s="14" t="s">
        <v>99</v>
      </c>
      <c r="P320" s="14" t="s">
        <v>99</v>
      </c>
      <c r="Q320" s="14" t="s">
        <v>99</v>
      </c>
      <c r="R320" s="14" t="s">
        <v>99</v>
      </c>
      <c r="S320" s="14" t="s">
        <v>99</v>
      </c>
      <c r="T320" s="14" t="s">
        <v>6530</v>
      </c>
      <c r="U320" s="14" t="s">
        <v>6531</v>
      </c>
      <c r="V320" s="14" t="s">
        <v>6532</v>
      </c>
      <c r="W320" s="14" t="s">
        <v>6533</v>
      </c>
      <c r="X320" s="14" t="s">
        <v>6534</v>
      </c>
      <c r="Y320" s="14" t="s">
        <v>6535</v>
      </c>
      <c r="Z320" s="14" t="s">
        <v>6536</v>
      </c>
      <c r="AA320" s="14" t="s">
        <v>6537</v>
      </c>
      <c r="AB320" s="14" t="s">
        <v>6538</v>
      </c>
      <c r="AC320" s="14" t="s">
        <v>6539</v>
      </c>
      <c r="AD320" s="14" t="s">
        <v>6540</v>
      </c>
      <c r="AE320" s="14" t="s">
        <v>6541</v>
      </c>
      <c r="AF320" s="14" t="s">
        <v>99</v>
      </c>
      <c r="AG320" s="14">
        <v>54.0</v>
      </c>
      <c r="AH320" s="14">
        <v>206.0</v>
      </c>
      <c r="AI320" s="14">
        <v>246.0</v>
      </c>
      <c r="AJ320" s="14">
        <v>1.0</v>
      </c>
      <c r="AK320" s="14">
        <v>159.0</v>
      </c>
      <c r="AL320" s="14" t="s">
        <v>341</v>
      </c>
      <c r="AM320" s="14" t="s">
        <v>342</v>
      </c>
      <c r="AN320" s="14" t="s">
        <v>343</v>
      </c>
      <c r="AO320" s="14" t="s">
        <v>344</v>
      </c>
      <c r="AP320" s="14" t="s">
        <v>345</v>
      </c>
      <c r="AQ320" s="14" t="s">
        <v>99</v>
      </c>
      <c r="AR320" s="14" t="s">
        <v>346</v>
      </c>
      <c r="AS320" s="14" t="s">
        <v>347</v>
      </c>
      <c r="AT320" s="14" t="s">
        <v>280</v>
      </c>
      <c r="AU320" s="14">
        <v>2010.0</v>
      </c>
      <c r="AV320" s="14">
        <v>16.0</v>
      </c>
      <c r="AW320" s="14">
        <v>2.0</v>
      </c>
      <c r="AX320" s="14" t="s">
        <v>99</v>
      </c>
      <c r="AY320" s="14" t="s">
        <v>99</v>
      </c>
      <c r="AZ320" s="14" t="s">
        <v>99</v>
      </c>
      <c r="BA320" s="14" t="s">
        <v>99</v>
      </c>
      <c r="BB320" s="14">
        <v>561.0</v>
      </c>
      <c r="BC320" s="14">
        <v>576.0</v>
      </c>
      <c r="BD320" s="14" t="s">
        <v>99</v>
      </c>
      <c r="BE320" s="14" t="s">
        <v>6542</v>
      </c>
      <c r="BF320" s="15" t="str">
        <f>HYPERLINK("http://dx.doi.org/10.1111/j.1365-2486.2009.02021.x","http://dx.doi.org/10.1111/j.1365-2486.2009.02021.x")</f>
        <v>http://dx.doi.org/10.1111/j.1365-2486.2009.02021.x</v>
      </c>
      <c r="BG320" s="14" t="s">
        <v>99</v>
      </c>
      <c r="BH320" s="14" t="s">
        <v>99</v>
      </c>
      <c r="BI320" s="14">
        <v>16.0</v>
      </c>
      <c r="BJ320" s="14" t="s">
        <v>351</v>
      </c>
      <c r="BK320" s="14" t="s">
        <v>122</v>
      </c>
      <c r="BL320" s="14" t="s">
        <v>352</v>
      </c>
      <c r="BM320" s="14" t="s">
        <v>6543</v>
      </c>
      <c r="BN320" s="14" t="s">
        <v>99</v>
      </c>
      <c r="BO320" s="14" t="s">
        <v>99</v>
      </c>
      <c r="BP320" s="14" t="s">
        <v>99</v>
      </c>
      <c r="BQ320" s="14" t="s">
        <v>99</v>
      </c>
      <c r="BR320" s="14" t="s">
        <v>124</v>
      </c>
      <c r="BS320" s="14" t="s">
        <v>6544</v>
      </c>
      <c r="BT320" s="14" t="str">
        <f>HYPERLINK("https%3A%2F%2Fwww.webofscience.com%2Fwos%2Fwoscc%2Ffull-record%2FWOS:000274419400007","View Full Record in Web of Science")</f>
        <v>View Full Record in Web of Science</v>
      </c>
    </row>
    <row r="321" ht="12.75" customHeight="1">
      <c r="A321" s="14" t="s">
        <v>97</v>
      </c>
      <c r="B321" s="14" t="s">
        <v>6545</v>
      </c>
      <c r="C321" s="14" t="s">
        <v>99</v>
      </c>
      <c r="D321" s="14" t="s">
        <v>99</v>
      </c>
      <c r="E321" s="14" t="s">
        <v>99</v>
      </c>
      <c r="F321" s="14" t="s">
        <v>6546</v>
      </c>
      <c r="G321" s="14" t="s">
        <v>99</v>
      </c>
      <c r="H321" s="14" t="s">
        <v>99</v>
      </c>
      <c r="I321" s="14" t="s">
        <v>6547</v>
      </c>
      <c r="J321" s="14" t="s">
        <v>2566</v>
      </c>
      <c r="K321" s="14" t="s">
        <v>99</v>
      </c>
      <c r="L321" s="14" t="s">
        <v>99</v>
      </c>
      <c r="M321" s="14" t="s">
        <v>103</v>
      </c>
      <c r="N321" s="14" t="s">
        <v>104</v>
      </c>
      <c r="O321" s="14" t="s">
        <v>99</v>
      </c>
      <c r="P321" s="14" t="s">
        <v>99</v>
      </c>
      <c r="Q321" s="14" t="s">
        <v>99</v>
      </c>
      <c r="R321" s="14" t="s">
        <v>99</v>
      </c>
      <c r="S321" s="14" t="s">
        <v>99</v>
      </c>
      <c r="T321" s="14" t="s">
        <v>99</v>
      </c>
      <c r="U321" s="14" t="s">
        <v>6548</v>
      </c>
      <c r="V321" s="14" t="s">
        <v>6549</v>
      </c>
      <c r="W321" s="14" t="s">
        <v>6550</v>
      </c>
      <c r="X321" s="14" t="s">
        <v>6551</v>
      </c>
      <c r="Y321" s="14" t="s">
        <v>6552</v>
      </c>
      <c r="Z321" s="14" t="s">
        <v>6553</v>
      </c>
      <c r="AA321" s="14" t="s">
        <v>6554</v>
      </c>
      <c r="AB321" s="14" t="s">
        <v>6555</v>
      </c>
      <c r="AC321" s="14" t="s">
        <v>6556</v>
      </c>
      <c r="AD321" s="14" t="s">
        <v>6557</v>
      </c>
      <c r="AE321" s="14" t="s">
        <v>6558</v>
      </c>
      <c r="AF321" s="14" t="s">
        <v>99</v>
      </c>
      <c r="AG321" s="14">
        <v>22.0</v>
      </c>
      <c r="AH321" s="14">
        <v>806.0</v>
      </c>
      <c r="AI321" s="14">
        <v>1024.0</v>
      </c>
      <c r="AJ321" s="14">
        <v>5.0</v>
      </c>
      <c r="AK321" s="14">
        <v>362.0</v>
      </c>
      <c r="AL321" s="14" t="s">
        <v>1243</v>
      </c>
      <c r="AM321" s="14" t="s">
        <v>789</v>
      </c>
      <c r="AN321" s="14" t="s">
        <v>1244</v>
      </c>
      <c r="AO321" s="14" t="s">
        <v>2578</v>
      </c>
      <c r="AP321" s="14" t="s">
        <v>2579</v>
      </c>
      <c r="AQ321" s="14" t="s">
        <v>99</v>
      </c>
      <c r="AR321" s="14" t="s">
        <v>2566</v>
      </c>
      <c r="AS321" s="14" t="s">
        <v>2580</v>
      </c>
      <c r="AT321" s="14" t="s">
        <v>4442</v>
      </c>
      <c r="AU321" s="14">
        <v>2010.0</v>
      </c>
      <c r="AV321" s="14">
        <v>327.0</v>
      </c>
      <c r="AW321" s="14">
        <v>5964.0</v>
      </c>
      <c r="AX321" s="14" t="s">
        <v>99</v>
      </c>
      <c r="AY321" s="14" t="s">
        <v>99</v>
      </c>
      <c r="AZ321" s="14" t="s">
        <v>99</v>
      </c>
      <c r="BA321" s="14" t="s">
        <v>99</v>
      </c>
      <c r="BB321" s="14">
        <v>454.0</v>
      </c>
      <c r="BC321" s="14">
        <v>458.0</v>
      </c>
      <c r="BD321" s="14" t="s">
        <v>99</v>
      </c>
      <c r="BE321" s="14" t="s">
        <v>6559</v>
      </c>
      <c r="BF321" s="15" t="str">
        <f>HYPERLINK("http://dx.doi.org/10.1126/science.1180568","http://dx.doi.org/10.1126/science.1180568")</f>
        <v>http://dx.doi.org/10.1126/science.1180568</v>
      </c>
      <c r="BG321" s="14" t="s">
        <v>99</v>
      </c>
      <c r="BH321" s="14" t="s">
        <v>99</v>
      </c>
      <c r="BI321" s="14">
        <v>5.0</v>
      </c>
      <c r="BJ321" s="14" t="s">
        <v>799</v>
      </c>
      <c r="BK321" s="14" t="s">
        <v>122</v>
      </c>
      <c r="BL321" s="14" t="s">
        <v>801</v>
      </c>
      <c r="BM321" s="14" t="s">
        <v>6560</v>
      </c>
      <c r="BN321" s="14">
        <v>2.0093471E7</v>
      </c>
      <c r="BO321" s="14" t="s">
        <v>99</v>
      </c>
      <c r="BP321" s="14" t="s">
        <v>99</v>
      </c>
      <c r="BQ321" s="14" t="s">
        <v>99</v>
      </c>
      <c r="BR321" s="14" t="s">
        <v>124</v>
      </c>
      <c r="BS321" s="14" t="s">
        <v>6561</v>
      </c>
      <c r="BT321" s="14" t="str">
        <f>HYPERLINK("https%3A%2F%2Fwww.webofscience.com%2Fwos%2Fwoscc%2Ffull-record%2FWOS:000273783100035","View Full Record in Web of Science")</f>
        <v>View Full Record in Web of Science</v>
      </c>
    </row>
    <row r="322" ht="12.75" customHeight="1">
      <c r="A322" s="14" t="s">
        <v>97</v>
      </c>
      <c r="B322" s="14" t="s">
        <v>6562</v>
      </c>
      <c r="C322" s="14" t="s">
        <v>99</v>
      </c>
      <c r="D322" s="14" t="s">
        <v>99</v>
      </c>
      <c r="E322" s="14" t="s">
        <v>99</v>
      </c>
      <c r="F322" s="14" t="s">
        <v>6563</v>
      </c>
      <c r="G322" s="14" t="s">
        <v>99</v>
      </c>
      <c r="H322" s="14" t="s">
        <v>99</v>
      </c>
      <c r="I322" s="14" t="s">
        <v>6564</v>
      </c>
      <c r="J322" s="14" t="s">
        <v>749</v>
      </c>
      <c r="K322" s="14" t="s">
        <v>99</v>
      </c>
      <c r="L322" s="14" t="s">
        <v>99</v>
      </c>
      <c r="M322" s="14" t="s">
        <v>103</v>
      </c>
      <c r="N322" s="14" t="s">
        <v>104</v>
      </c>
      <c r="O322" s="14" t="s">
        <v>99</v>
      </c>
      <c r="P322" s="14" t="s">
        <v>99</v>
      </c>
      <c r="Q322" s="14" t="s">
        <v>99</v>
      </c>
      <c r="R322" s="14" t="s">
        <v>99</v>
      </c>
      <c r="S322" s="14" t="s">
        <v>99</v>
      </c>
      <c r="T322" s="14" t="s">
        <v>6565</v>
      </c>
      <c r="U322" s="14" t="s">
        <v>6566</v>
      </c>
      <c r="V322" s="14" t="s">
        <v>6567</v>
      </c>
      <c r="W322" s="14" t="s">
        <v>6568</v>
      </c>
      <c r="X322" s="14" t="s">
        <v>1536</v>
      </c>
      <c r="Y322" s="14" t="s">
        <v>6569</v>
      </c>
      <c r="Z322" s="14" t="s">
        <v>6570</v>
      </c>
      <c r="AA322" s="14" t="s">
        <v>99</v>
      </c>
      <c r="AB322" s="14" t="s">
        <v>6571</v>
      </c>
      <c r="AC322" s="14" t="s">
        <v>99</v>
      </c>
      <c r="AD322" s="14" t="s">
        <v>99</v>
      </c>
      <c r="AE322" s="14" t="s">
        <v>99</v>
      </c>
      <c r="AF322" s="14" t="s">
        <v>99</v>
      </c>
      <c r="AG322" s="14">
        <v>45.0</v>
      </c>
      <c r="AH322" s="14">
        <v>85.0</v>
      </c>
      <c r="AI322" s="14">
        <v>87.0</v>
      </c>
      <c r="AJ322" s="14">
        <v>1.0</v>
      </c>
      <c r="AK322" s="14">
        <v>50.0</v>
      </c>
      <c r="AL322" s="14" t="s">
        <v>762</v>
      </c>
      <c r="AM322" s="14" t="s">
        <v>763</v>
      </c>
      <c r="AN322" s="14" t="s">
        <v>764</v>
      </c>
      <c r="AO322" s="14" t="s">
        <v>765</v>
      </c>
      <c r="AP322" s="14" t="s">
        <v>99</v>
      </c>
      <c r="AQ322" s="14" t="s">
        <v>99</v>
      </c>
      <c r="AR322" s="14" t="s">
        <v>767</v>
      </c>
      <c r="AS322" s="14" t="s">
        <v>768</v>
      </c>
      <c r="AT322" s="14" t="s">
        <v>99</v>
      </c>
      <c r="AU322" s="14">
        <v>2010.0</v>
      </c>
      <c r="AV322" s="14">
        <v>413.0</v>
      </c>
      <c r="AW322" s="14" t="s">
        <v>99</v>
      </c>
      <c r="AX322" s="14" t="s">
        <v>99</v>
      </c>
      <c r="AY322" s="14" t="s">
        <v>99</v>
      </c>
      <c r="AZ322" s="14" t="s">
        <v>99</v>
      </c>
      <c r="BA322" s="14" t="s">
        <v>99</v>
      </c>
      <c r="BB322" s="14">
        <v>241.0</v>
      </c>
      <c r="BC322" s="14">
        <v>252.0</v>
      </c>
      <c r="BD322" s="14" t="s">
        <v>99</v>
      </c>
      <c r="BE322" s="14" t="s">
        <v>6572</v>
      </c>
      <c r="BF322" s="15" t="str">
        <f>HYPERLINK("http://dx.doi.org/10.3354/meps08592","http://dx.doi.org/10.3354/meps08592")</f>
        <v>http://dx.doi.org/10.3354/meps08592</v>
      </c>
      <c r="BG322" s="14" t="s">
        <v>99</v>
      </c>
      <c r="BH322" s="14" t="s">
        <v>99</v>
      </c>
      <c r="BI322" s="14">
        <v>12.0</v>
      </c>
      <c r="BJ322" s="14" t="s">
        <v>301</v>
      </c>
      <c r="BK322" s="14" t="s">
        <v>122</v>
      </c>
      <c r="BL322" s="14" t="s">
        <v>303</v>
      </c>
      <c r="BM322" s="14" t="s">
        <v>6573</v>
      </c>
      <c r="BN322" s="14" t="s">
        <v>99</v>
      </c>
      <c r="BO322" s="14" t="s">
        <v>6574</v>
      </c>
      <c r="BP322" s="14" t="s">
        <v>99</v>
      </c>
      <c r="BQ322" s="14" t="s">
        <v>99</v>
      </c>
      <c r="BR322" s="14" t="s">
        <v>124</v>
      </c>
      <c r="BS322" s="14" t="s">
        <v>6575</v>
      </c>
      <c r="BT322" s="14" t="str">
        <f>HYPERLINK("https%3A%2F%2Fwww.webofscience.com%2Fwos%2Fwoscc%2Ffull-record%2FWOS:000281566900019","View Full Record in Web of Science")</f>
        <v>View Full Record in Web of Science</v>
      </c>
    </row>
    <row r="323" ht="12.75" customHeight="1">
      <c r="A323" s="14" t="s">
        <v>97</v>
      </c>
      <c r="B323" s="14" t="s">
        <v>6576</v>
      </c>
      <c r="C323" s="14" t="s">
        <v>99</v>
      </c>
      <c r="D323" s="14" t="s">
        <v>99</v>
      </c>
      <c r="E323" s="14" t="s">
        <v>99</v>
      </c>
      <c r="F323" s="14" t="s">
        <v>6577</v>
      </c>
      <c r="G323" s="14" t="s">
        <v>99</v>
      </c>
      <c r="H323" s="14" t="s">
        <v>99</v>
      </c>
      <c r="I323" s="14" t="s">
        <v>6578</v>
      </c>
      <c r="J323" s="14" t="s">
        <v>726</v>
      </c>
      <c r="K323" s="14" t="s">
        <v>99</v>
      </c>
      <c r="L323" s="14" t="s">
        <v>99</v>
      </c>
      <c r="M323" s="14" t="s">
        <v>103</v>
      </c>
      <c r="N323" s="14" t="s">
        <v>104</v>
      </c>
      <c r="O323" s="14" t="s">
        <v>99</v>
      </c>
      <c r="P323" s="14" t="s">
        <v>99</v>
      </c>
      <c r="Q323" s="14" t="s">
        <v>99</v>
      </c>
      <c r="R323" s="14" t="s">
        <v>99</v>
      </c>
      <c r="S323" s="14" t="s">
        <v>99</v>
      </c>
      <c r="T323" s="14" t="s">
        <v>6579</v>
      </c>
      <c r="U323" s="14" t="s">
        <v>6580</v>
      </c>
      <c r="V323" s="14" t="s">
        <v>6581</v>
      </c>
      <c r="W323" s="14" t="s">
        <v>6582</v>
      </c>
      <c r="X323" s="14" t="s">
        <v>6583</v>
      </c>
      <c r="Y323" s="14" t="s">
        <v>6584</v>
      </c>
      <c r="Z323" s="14" t="s">
        <v>6585</v>
      </c>
      <c r="AA323" s="14" t="s">
        <v>6586</v>
      </c>
      <c r="AB323" s="14" t="s">
        <v>6587</v>
      </c>
      <c r="AC323" s="14" t="s">
        <v>6588</v>
      </c>
      <c r="AD323" s="14" t="s">
        <v>6588</v>
      </c>
      <c r="AE323" s="14" t="s">
        <v>6589</v>
      </c>
      <c r="AF323" s="14" t="s">
        <v>99</v>
      </c>
      <c r="AG323" s="14">
        <v>53.0</v>
      </c>
      <c r="AH323" s="14">
        <v>492.0</v>
      </c>
      <c r="AI323" s="14">
        <v>592.0</v>
      </c>
      <c r="AJ323" s="14">
        <v>9.0</v>
      </c>
      <c r="AK323" s="14">
        <v>413.0</v>
      </c>
      <c r="AL323" s="14" t="s">
        <v>6590</v>
      </c>
      <c r="AM323" s="14" t="s">
        <v>6591</v>
      </c>
      <c r="AN323" s="14" t="s">
        <v>6592</v>
      </c>
      <c r="AO323" s="14" t="s">
        <v>739</v>
      </c>
      <c r="AP323" s="14" t="s">
        <v>99</v>
      </c>
      <c r="AQ323" s="14" t="s">
        <v>99</v>
      </c>
      <c r="AR323" s="14" t="s">
        <v>741</v>
      </c>
      <c r="AS323" s="14" t="s">
        <v>742</v>
      </c>
      <c r="AT323" s="14" t="s">
        <v>935</v>
      </c>
      <c r="AU323" s="14">
        <v>2010.0</v>
      </c>
      <c r="AV323" s="14">
        <v>16.0</v>
      </c>
      <c r="AW323" s="14">
        <v>1.0</v>
      </c>
      <c r="AX323" s="14" t="s">
        <v>99</v>
      </c>
      <c r="AY323" s="14" t="s">
        <v>99</v>
      </c>
      <c r="AZ323" s="14" t="s">
        <v>99</v>
      </c>
      <c r="BA323" s="14" t="s">
        <v>99</v>
      </c>
      <c r="BB323" s="14">
        <v>95.0</v>
      </c>
      <c r="BC323" s="14">
        <v>108.0</v>
      </c>
      <c r="BD323" s="14" t="s">
        <v>99</v>
      </c>
      <c r="BE323" s="14" t="s">
        <v>6593</v>
      </c>
      <c r="BF323" s="15" t="str">
        <f>HYPERLINK("http://dx.doi.org/10.1111/j.1472-4642.2009.00633.x","http://dx.doi.org/10.1111/j.1472-4642.2009.00633.x")</f>
        <v>http://dx.doi.org/10.1111/j.1472-4642.2009.00633.x</v>
      </c>
      <c r="BG323" s="14" t="s">
        <v>99</v>
      </c>
      <c r="BH323" s="14" t="s">
        <v>99</v>
      </c>
      <c r="BI323" s="14">
        <v>14.0</v>
      </c>
      <c r="BJ323" s="14" t="s">
        <v>550</v>
      </c>
      <c r="BK323" s="14" t="s">
        <v>122</v>
      </c>
      <c r="BL323" s="14" t="s">
        <v>352</v>
      </c>
      <c r="BM323" s="14" t="s">
        <v>6594</v>
      </c>
      <c r="BN323" s="14" t="s">
        <v>99</v>
      </c>
      <c r="BO323" s="14" t="s">
        <v>238</v>
      </c>
      <c r="BP323" s="14" t="s">
        <v>99</v>
      </c>
      <c r="BQ323" s="14" t="s">
        <v>99</v>
      </c>
      <c r="BR323" s="14" t="s">
        <v>124</v>
      </c>
      <c r="BS323" s="14" t="s">
        <v>6595</v>
      </c>
      <c r="BT323" s="14" t="str">
        <f>HYPERLINK("https%3A%2F%2Fwww.webofscience.com%2Fwos%2Fwoscc%2Ffull-record%2FWOS:000273723100010","View Full Record in Web of Science")</f>
        <v>View Full Record in Web of Science</v>
      </c>
    </row>
    <row r="324" ht="12.75" customHeight="1">
      <c r="A324" s="14" t="s">
        <v>97</v>
      </c>
      <c r="B324" s="14" t="s">
        <v>6596</v>
      </c>
      <c r="C324" s="14" t="s">
        <v>99</v>
      </c>
      <c r="D324" s="14" t="s">
        <v>99</v>
      </c>
      <c r="E324" s="14" t="s">
        <v>99</v>
      </c>
      <c r="F324" s="14" t="s">
        <v>6597</v>
      </c>
      <c r="G324" s="14" t="s">
        <v>99</v>
      </c>
      <c r="H324" s="14" t="s">
        <v>99</v>
      </c>
      <c r="I324" s="14" t="s">
        <v>6598</v>
      </c>
      <c r="J324" s="14" t="s">
        <v>726</v>
      </c>
      <c r="K324" s="14" t="s">
        <v>99</v>
      </c>
      <c r="L324" s="14" t="s">
        <v>99</v>
      </c>
      <c r="M324" s="14" t="s">
        <v>103</v>
      </c>
      <c r="N324" s="14" t="s">
        <v>104</v>
      </c>
      <c r="O324" s="14" t="s">
        <v>99</v>
      </c>
      <c r="P324" s="14" t="s">
        <v>99</v>
      </c>
      <c r="Q324" s="14" t="s">
        <v>99</v>
      </c>
      <c r="R324" s="14" t="s">
        <v>99</v>
      </c>
      <c r="S324" s="14" t="s">
        <v>99</v>
      </c>
      <c r="T324" s="14" t="s">
        <v>6599</v>
      </c>
      <c r="U324" s="14" t="s">
        <v>6600</v>
      </c>
      <c r="V324" s="14" t="s">
        <v>6601</v>
      </c>
      <c r="W324" s="14" t="s">
        <v>6602</v>
      </c>
      <c r="X324" s="14" t="s">
        <v>6603</v>
      </c>
      <c r="Y324" s="14" t="s">
        <v>6604</v>
      </c>
      <c r="Z324" s="14" t="s">
        <v>6605</v>
      </c>
      <c r="AA324" s="14" t="s">
        <v>6606</v>
      </c>
      <c r="AB324" s="14" t="s">
        <v>6607</v>
      </c>
      <c r="AC324" s="14" t="s">
        <v>6608</v>
      </c>
      <c r="AD324" s="14" t="s">
        <v>6609</v>
      </c>
      <c r="AE324" s="14" t="s">
        <v>6610</v>
      </c>
      <c r="AF324" s="14" t="s">
        <v>99</v>
      </c>
      <c r="AG324" s="14">
        <v>67.0</v>
      </c>
      <c r="AH324" s="14">
        <v>103.0</v>
      </c>
      <c r="AI324" s="14">
        <v>117.0</v>
      </c>
      <c r="AJ324" s="14">
        <v>0.0</v>
      </c>
      <c r="AK324" s="14">
        <v>81.0</v>
      </c>
      <c r="AL324" s="14" t="s">
        <v>341</v>
      </c>
      <c r="AM324" s="14" t="s">
        <v>342</v>
      </c>
      <c r="AN324" s="14" t="s">
        <v>343</v>
      </c>
      <c r="AO324" s="14" t="s">
        <v>739</v>
      </c>
      <c r="AP324" s="14" t="s">
        <v>740</v>
      </c>
      <c r="AQ324" s="14" t="s">
        <v>99</v>
      </c>
      <c r="AR324" s="14" t="s">
        <v>741</v>
      </c>
      <c r="AS324" s="14" t="s">
        <v>742</v>
      </c>
      <c r="AT324" s="14" t="s">
        <v>935</v>
      </c>
      <c r="AU324" s="14">
        <v>2010.0</v>
      </c>
      <c r="AV324" s="14">
        <v>16.0</v>
      </c>
      <c r="AW324" s="14">
        <v>1.0</v>
      </c>
      <c r="AX324" s="14" t="s">
        <v>99</v>
      </c>
      <c r="AY324" s="14" t="s">
        <v>99</v>
      </c>
      <c r="AZ324" s="14" t="s">
        <v>99</v>
      </c>
      <c r="BA324" s="14" t="s">
        <v>99</v>
      </c>
      <c r="BB324" s="14">
        <v>187.0</v>
      </c>
      <c r="BC324" s="14">
        <v>201.0</v>
      </c>
      <c r="BD324" s="14" t="s">
        <v>99</v>
      </c>
      <c r="BE324" s="14" t="s">
        <v>6611</v>
      </c>
      <c r="BF324" s="15" t="str">
        <f>HYPERLINK("http://dx.doi.org/10.1111/j.1472-4642.2009.00623.x","http://dx.doi.org/10.1111/j.1472-4642.2009.00623.x")</f>
        <v>http://dx.doi.org/10.1111/j.1472-4642.2009.00623.x</v>
      </c>
      <c r="BG324" s="14" t="s">
        <v>99</v>
      </c>
      <c r="BH324" s="14" t="s">
        <v>99</v>
      </c>
      <c r="BI324" s="14">
        <v>15.0</v>
      </c>
      <c r="BJ324" s="14" t="s">
        <v>550</v>
      </c>
      <c r="BK324" s="14" t="s">
        <v>122</v>
      </c>
      <c r="BL324" s="14" t="s">
        <v>352</v>
      </c>
      <c r="BM324" s="14" t="s">
        <v>6594</v>
      </c>
      <c r="BN324" s="14" t="s">
        <v>99</v>
      </c>
      <c r="BO324" s="14" t="s">
        <v>99</v>
      </c>
      <c r="BP324" s="14" t="s">
        <v>99</v>
      </c>
      <c r="BQ324" s="14" t="s">
        <v>99</v>
      </c>
      <c r="BR324" s="14" t="s">
        <v>124</v>
      </c>
      <c r="BS324" s="14" t="s">
        <v>6612</v>
      </c>
      <c r="BT324" s="14" t="str">
        <f>HYPERLINK("https%3A%2F%2Fwww.webofscience.com%2Fwos%2Fwoscc%2Ffull-record%2FWOS:000273723100018","View Full Record in Web of Science")</f>
        <v>View Full Record in Web of Science</v>
      </c>
    </row>
    <row r="325" ht="12.75" customHeight="1">
      <c r="A325" s="14" t="s">
        <v>97</v>
      </c>
      <c r="B325" s="14" t="s">
        <v>6613</v>
      </c>
      <c r="C325" s="14" t="s">
        <v>99</v>
      </c>
      <c r="D325" s="14" t="s">
        <v>99</v>
      </c>
      <c r="E325" s="14" t="s">
        <v>99</v>
      </c>
      <c r="F325" s="14" t="s">
        <v>6614</v>
      </c>
      <c r="G325" s="14" t="s">
        <v>99</v>
      </c>
      <c r="H325" s="14" t="s">
        <v>99</v>
      </c>
      <c r="I325" s="14" t="s">
        <v>6615</v>
      </c>
      <c r="J325" s="14" t="s">
        <v>900</v>
      </c>
      <c r="K325" s="14" t="s">
        <v>99</v>
      </c>
      <c r="L325" s="14" t="s">
        <v>99</v>
      </c>
      <c r="M325" s="14" t="s">
        <v>103</v>
      </c>
      <c r="N325" s="14" t="s">
        <v>104</v>
      </c>
      <c r="O325" s="14" t="s">
        <v>99</v>
      </c>
      <c r="P325" s="14" t="s">
        <v>99</v>
      </c>
      <c r="Q325" s="14" t="s">
        <v>99</v>
      </c>
      <c r="R325" s="14" t="s">
        <v>99</v>
      </c>
      <c r="S325" s="14" t="s">
        <v>99</v>
      </c>
      <c r="T325" s="14" t="s">
        <v>99</v>
      </c>
      <c r="U325" s="14" t="s">
        <v>6616</v>
      </c>
      <c r="V325" s="14" t="s">
        <v>6617</v>
      </c>
      <c r="W325" s="14" t="s">
        <v>6618</v>
      </c>
      <c r="X325" s="14" t="s">
        <v>6619</v>
      </c>
      <c r="Y325" s="14" t="s">
        <v>6620</v>
      </c>
      <c r="Z325" s="14" t="s">
        <v>6621</v>
      </c>
      <c r="AA325" s="14" t="s">
        <v>6622</v>
      </c>
      <c r="AB325" s="14" t="s">
        <v>6623</v>
      </c>
      <c r="AC325" s="14" t="s">
        <v>6624</v>
      </c>
      <c r="AD325" s="14" t="s">
        <v>6625</v>
      </c>
      <c r="AE325" s="14" t="s">
        <v>6626</v>
      </c>
      <c r="AF325" s="14" t="s">
        <v>99</v>
      </c>
      <c r="AG325" s="14">
        <v>31.0</v>
      </c>
      <c r="AH325" s="14">
        <v>1863.0</v>
      </c>
      <c r="AI325" s="14">
        <v>2183.0</v>
      </c>
      <c r="AJ325" s="14">
        <v>31.0</v>
      </c>
      <c r="AK325" s="14">
        <v>1498.0</v>
      </c>
      <c r="AL325" s="14" t="s">
        <v>1326</v>
      </c>
      <c r="AM325" s="14" t="s">
        <v>274</v>
      </c>
      <c r="AN325" s="14" t="s">
        <v>1327</v>
      </c>
      <c r="AO325" s="14" t="s">
        <v>912</v>
      </c>
      <c r="AP325" s="14" t="s">
        <v>99</v>
      </c>
      <c r="AQ325" s="14" t="s">
        <v>99</v>
      </c>
      <c r="AR325" s="14" t="s">
        <v>900</v>
      </c>
      <c r="AS325" s="14" t="s">
        <v>914</v>
      </c>
      <c r="AT325" s="14" t="s">
        <v>6627</v>
      </c>
      <c r="AU325" s="14">
        <v>2009.0</v>
      </c>
      <c r="AV325" s="14">
        <v>462.0</v>
      </c>
      <c r="AW325" s="14">
        <v>7276.0</v>
      </c>
      <c r="AX325" s="14" t="s">
        <v>99</v>
      </c>
      <c r="AY325" s="14" t="s">
        <v>99</v>
      </c>
      <c r="AZ325" s="14" t="s">
        <v>99</v>
      </c>
      <c r="BA325" s="14" t="s">
        <v>99</v>
      </c>
      <c r="BB325" s="14">
        <v>1052.0</v>
      </c>
      <c r="BC325" s="14" t="s">
        <v>6628</v>
      </c>
      <c r="BD325" s="14" t="s">
        <v>99</v>
      </c>
      <c r="BE325" s="14" t="s">
        <v>6629</v>
      </c>
      <c r="BF325" s="15" t="str">
        <f>HYPERLINK("http://dx.doi.org/10.1038/nature08649","http://dx.doi.org/10.1038/nature08649")</f>
        <v>http://dx.doi.org/10.1038/nature08649</v>
      </c>
      <c r="BG325" s="14" t="s">
        <v>99</v>
      </c>
      <c r="BH325" s="14" t="s">
        <v>99</v>
      </c>
      <c r="BI325" s="14">
        <v>6.0</v>
      </c>
      <c r="BJ325" s="14" t="s">
        <v>799</v>
      </c>
      <c r="BK325" s="14" t="s">
        <v>122</v>
      </c>
      <c r="BL325" s="14" t="s">
        <v>801</v>
      </c>
      <c r="BM325" s="14" t="s">
        <v>6630</v>
      </c>
      <c r="BN325" s="14">
        <v>2.0033047E7</v>
      </c>
      <c r="BO325" s="14" t="s">
        <v>99</v>
      </c>
      <c r="BP325" s="14" t="s">
        <v>99</v>
      </c>
      <c r="BQ325" s="14" t="s">
        <v>99</v>
      </c>
      <c r="BR325" s="14" t="s">
        <v>124</v>
      </c>
      <c r="BS325" s="14" t="s">
        <v>6631</v>
      </c>
      <c r="BT325" s="14" t="str">
        <f>HYPERLINK("https%3A%2F%2Fwww.webofscience.com%2Fwos%2Fwoscc%2Ffull-record%2FWOS:000272996000046","View Full Record in Web of Science")</f>
        <v>View Full Record in Web of Science</v>
      </c>
    </row>
    <row r="326" ht="12.75" customHeight="1">
      <c r="A326" s="14" t="s">
        <v>97</v>
      </c>
      <c r="B326" s="14" t="s">
        <v>6632</v>
      </c>
      <c r="C326" s="14" t="s">
        <v>99</v>
      </c>
      <c r="D326" s="14" t="s">
        <v>99</v>
      </c>
      <c r="E326" s="14" t="s">
        <v>99</v>
      </c>
      <c r="F326" s="14" t="s">
        <v>6633</v>
      </c>
      <c r="G326" s="14" t="s">
        <v>99</v>
      </c>
      <c r="H326" s="14" t="s">
        <v>99</v>
      </c>
      <c r="I326" s="14" t="s">
        <v>6634</v>
      </c>
      <c r="J326" s="14" t="s">
        <v>623</v>
      </c>
      <c r="K326" s="14" t="s">
        <v>99</v>
      </c>
      <c r="L326" s="14" t="s">
        <v>99</v>
      </c>
      <c r="M326" s="14" t="s">
        <v>103</v>
      </c>
      <c r="N326" s="14" t="s">
        <v>104</v>
      </c>
      <c r="O326" s="14" t="s">
        <v>99</v>
      </c>
      <c r="P326" s="14" t="s">
        <v>99</v>
      </c>
      <c r="Q326" s="14" t="s">
        <v>99</v>
      </c>
      <c r="R326" s="14" t="s">
        <v>99</v>
      </c>
      <c r="S326" s="14" t="s">
        <v>99</v>
      </c>
      <c r="T326" s="14" t="s">
        <v>6635</v>
      </c>
      <c r="U326" s="14" t="s">
        <v>6636</v>
      </c>
      <c r="V326" s="14" t="s">
        <v>6637</v>
      </c>
      <c r="W326" s="14" t="s">
        <v>6638</v>
      </c>
      <c r="X326" s="14" t="s">
        <v>6639</v>
      </c>
      <c r="Y326" s="14" t="s">
        <v>6640</v>
      </c>
      <c r="Z326" s="14" t="s">
        <v>99</v>
      </c>
      <c r="AA326" s="14" t="s">
        <v>6641</v>
      </c>
      <c r="AB326" s="14" t="s">
        <v>99</v>
      </c>
      <c r="AC326" s="14" t="s">
        <v>99</v>
      </c>
      <c r="AD326" s="14" t="s">
        <v>99</v>
      </c>
      <c r="AE326" s="14" t="s">
        <v>99</v>
      </c>
      <c r="AF326" s="14" t="s">
        <v>99</v>
      </c>
      <c r="AG326" s="14">
        <v>40.0</v>
      </c>
      <c r="AH326" s="14">
        <v>290.0</v>
      </c>
      <c r="AI326" s="14">
        <v>351.0</v>
      </c>
      <c r="AJ326" s="14">
        <v>0.0</v>
      </c>
      <c r="AK326" s="14">
        <v>78.0</v>
      </c>
      <c r="AL326" s="14" t="s">
        <v>493</v>
      </c>
      <c r="AM326" s="14" t="s">
        <v>468</v>
      </c>
      <c r="AN326" s="14" t="s">
        <v>635</v>
      </c>
      <c r="AO326" s="14" t="s">
        <v>636</v>
      </c>
      <c r="AP326" s="14" t="s">
        <v>637</v>
      </c>
      <c r="AQ326" s="14" t="s">
        <v>99</v>
      </c>
      <c r="AR326" s="14" t="s">
        <v>638</v>
      </c>
      <c r="AS326" s="14" t="s">
        <v>639</v>
      </c>
      <c r="AT326" s="14" t="s">
        <v>1058</v>
      </c>
      <c r="AU326" s="14">
        <v>2009.0</v>
      </c>
      <c r="AV326" s="14">
        <v>29.0</v>
      </c>
      <c r="AW326" s="14">
        <v>4.0</v>
      </c>
      <c r="AX326" s="14" t="s">
        <v>99</v>
      </c>
      <c r="AY326" s="14" t="s">
        <v>99</v>
      </c>
      <c r="AZ326" s="14" t="s">
        <v>99</v>
      </c>
      <c r="BA326" s="14" t="s">
        <v>99</v>
      </c>
      <c r="BB326" s="14">
        <v>501.0</v>
      </c>
      <c r="BC326" s="14">
        <v>512.0</v>
      </c>
      <c r="BD326" s="14" t="s">
        <v>99</v>
      </c>
      <c r="BE326" s="14" t="s">
        <v>6642</v>
      </c>
      <c r="BF326" s="15" t="str">
        <f>HYPERLINK("http://dx.doi.org/10.1016/j.apgeog.2008.10.004","http://dx.doi.org/10.1016/j.apgeog.2008.10.004")</f>
        <v>http://dx.doi.org/10.1016/j.apgeog.2008.10.004</v>
      </c>
      <c r="BG326" s="14" t="s">
        <v>99</v>
      </c>
      <c r="BH326" s="14" t="s">
        <v>99</v>
      </c>
      <c r="BI326" s="14">
        <v>12.0</v>
      </c>
      <c r="BJ326" s="14" t="s">
        <v>642</v>
      </c>
      <c r="BK326" s="14" t="s">
        <v>643</v>
      </c>
      <c r="BL326" s="14" t="s">
        <v>642</v>
      </c>
      <c r="BM326" s="14" t="s">
        <v>6643</v>
      </c>
      <c r="BN326" s="14" t="s">
        <v>99</v>
      </c>
      <c r="BO326" s="14" t="s">
        <v>99</v>
      </c>
      <c r="BP326" s="14" t="s">
        <v>99</v>
      </c>
      <c r="BQ326" s="14" t="s">
        <v>99</v>
      </c>
      <c r="BR326" s="14" t="s">
        <v>124</v>
      </c>
      <c r="BS326" s="14" t="s">
        <v>6644</v>
      </c>
      <c r="BT326" s="14" t="str">
        <f>HYPERLINK("https%3A%2F%2Fwww.webofscience.com%2Fwos%2Fwoscc%2Ffull-record%2FWOS:000271256000004","View Full Record in Web of Science")</f>
        <v>View Full Record in Web of Science</v>
      </c>
    </row>
    <row r="327" ht="12.75" customHeight="1">
      <c r="A327" s="14" t="s">
        <v>97</v>
      </c>
      <c r="B327" s="14" t="s">
        <v>6645</v>
      </c>
      <c r="C327" s="14" t="s">
        <v>99</v>
      </c>
      <c r="D327" s="14" t="s">
        <v>99</v>
      </c>
      <c r="E327" s="14" t="s">
        <v>99</v>
      </c>
      <c r="F327" s="14" t="s">
        <v>6646</v>
      </c>
      <c r="G327" s="14" t="s">
        <v>99</v>
      </c>
      <c r="H327" s="14" t="s">
        <v>99</v>
      </c>
      <c r="I327" s="14" t="s">
        <v>6647</v>
      </c>
      <c r="J327" s="14" t="s">
        <v>2950</v>
      </c>
      <c r="K327" s="14" t="s">
        <v>99</v>
      </c>
      <c r="L327" s="14" t="s">
        <v>99</v>
      </c>
      <c r="M327" s="14" t="s">
        <v>103</v>
      </c>
      <c r="N327" s="14" t="s">
        <v>104</v>
      </c>
      <c r="O327" s="14" t="s">
        <v>99</v>
      </c>
      <c r="P327" s="14" t="s">
        <v>99</v>
      </c>
      <c r="Q327" s="14" t="s">
        <v>99</v>
      </c>
      <c r="R327" s="14" t="s">
        <v>99</v>
      </c>
      <c r="S327" s="14" t="s">
        <v>99</v>
      </c>
      <c r="T327" s="14" t="s">
        <v>6648</v>
      </c>
      <c r="U327" s="14" t="s">
        <v>6649</v>
      </c>
      <c r="V327" s="14" t="s">
        <v>6650</v>
      </c>
      <c r="W327" s="14" t="s">
        <v>6651</v>
      </c>
      <c r="X327" s="14" t="s">
        <v>6652</v>
      </c>
      <c r="Y327" s="14" t="s">
        <v>6653</v>
      </c>
      <c r="Z327" s="14" t="s">
        <v>6654</v>
      </c>
      <c r="AA327" s="14" t="s">
        <v>99</v>
      </c>
      <c r="AB327" s="14" t="s">
        <v>99</v>
      </c>
      <c r="AC327" s="14" t="s">
        <v>6655</v>
      </c>
      <c r="AD327" s="14" t="s">
        <v>6655</v>
      </c>
      <c r="AE327" s="14" t="s">
        <v>6656</v>
      </c>
      <c r="AF327" s="14" t="s">
        <v>99</v>
      </c>
      <c r="AG327" s="14">
        <v>34.0</v>
      </c>
      <c r="AH327" s="14">
        <v>67.0</v>
      </c>
      <c r="AI327" s="14">
        <v>75.0</v>
      </c>
      <c r="AJ327" s="14">
        <v>0.0</v>
      </c>
      <c r="AK327" s="14">
        <v>99.0</v>
      </c>
      <c r="AL327" s="14" t="s">
        <v>6590</v>
      </c>
      <c r="AM327" s="14" t="s">
        <v>6591</v>
      </c>
      <c r="AN327" s="14" t="s">
        <v>6592</v>
      </c>
      <c r="AO327" s="14" t="s">
        <v>2963</v>
      </c>
      <c r="AP327" s="14" t="s">
        <v>99</v>
      </c>
      <c r="AQ327" s="14" t="s">
        <v>99</v>
      </c>
      <c r="AR327" s="14" t="s">
        <v>2965</v>
      </c>
      <c r="AS327" s="14" t="s">
        <v>2966</v>
      </c>
      <c r="AT327" s="14" t="s">
        <v>1058</v>
      </c>
      <c r="AU327" s="14">
        <v>2009.0</v>
      </c>
      <c r="AV327" s="14">
        <v>64.0</v>
      </c>
      <c r="AW327" s="14">
        <v>4.0</v>
      </c>
      <c r="AX327" s="14" t="s">
        <v>99</v>
      </c>
      <c r="AY327" s="14" t="s">
        <v>99</v>
      </c>
      <c r="AZ327" s="14" t="s">
        <v>99</v>
      </c>
      <c r="BA327" s="14" t="s">
        <v>99</v>
      </c>
      <c r="BB327" s="14">
        <v>454.0</v>
      </c>
      <c r="BC327" s="14">
        <v>465.0</v>
      </c>
      <c r="BD327" s="14" t="s">
        <v>99</v>
      </c>
      <c r="BE327" s="14" t="s">
        <v>6657</v>
      </c>
      <c r="BF327" s="15" t="str">
        <f>HYPERLINK("http://dx.doi.org/10.1111/j.1365-2494.2009.00713.x","http://dx.doi.org/10.1111/j.1365-2494.2009.00713.x")</f>
        <v>http://dx.doi.org/10.1111/j.1365-2494.2009.00713.x</v>
      </c>
      <c r="BG327" s="14" t="s">
        <v>99</v>
      </c>
      <c r="BH327" s="14" t="s">
        <v>99</v>
      </c>
      <c r="BI327" s="14">
        <v>12.0</v>
      </c>
      <c r="BJ327" s="14" t="s">
        <v>2968</v>
      </c>
      <c r="BK327" s="14" t="s">
        <v>122</v>
      </c>
      <c r="BL327" s="14" t="s">
        <v>2969</v>
      </c>
      <c r="BM327" s="14" t="s">
        <v>6658</v>
      </c>
      <c r="BN327" s="14" t="s">
        <v>99</v>
      </c>
      <c r="BO327" s="14" t="s">
        <v>99</v>
      </c>
      <c r="BP327" s="14" t="s">
        <v>99</v>
      </c>
      <c r="BQ327" s="14" t="s">
        <v>99</v>
      </c>
      <c r="BR327" s="14" t="s">
        <v>124</v>
      </c>
      <c r="BS327" s="14" t="s">
        <v>6659</v>
      </c>
      <c r="BT327" s="14" t="str">
        <f>HYPERLINK("https%3A%2F%2Fwww.webofscience.com%2Fwos%2Fwoscc%2Ffull-record%2FWOS:000271783500012","View Full Record in Web of Science")</f>
        <v>View Full Record in Web of Science</v>
      </c>
    </row>
    <row r="328" ht="12.75" customHeight="1">
      <c r="A328" s="14" t="s">
        <v>97</v>
      </c>
      <c r="B328" s="14" t="s">
        <v>6660</v>
      </c>
      <c r="C328" s="14" t="s">
        <v>99</v>
      </c>
      <c r="D328" s="14" t="s">
        <v>99</v>
      </c>
      <c r="E328" s="14" t="s">
        <v>99</v>
      </c>
      <c r="F328" s="14" t="s">
        <v>6661</v>
      </c>
      <c r="G328" s="14" t="s">
        <v>99</v>
      </c>
      <c r="H328" s="14" t="s">
        <v>99</v>
      </c>
      <c r="I328" s="14" t="s">
        <v>6662</v>
      </c>
      <c r="J328" s="14" t="s">
        <v>2950</v>
      </c>
      <c r="K328" s="14" t="s">
        <v>99</v>
      </c>
      <c r="L328" s="14" t="s">
        <v>99</v>
      </c>
      <c r="M328" s="14" t="s">
        <v>103</v>
      </c>
      <c r="N328" s="14" t="s">
        <v>104</v>
      </c>
      <c r="O328" s="14" t="s">
        <v>99</v>
      </c>
      <c r="P328" s="14" t="s">
        <v>99</v>
      </c>
      <c r="Q328" s="14" t="s">
        <v>99</v>
      </c>
      <c r="R328" s="14" t="s">
        <v>99</v>
      </c>
      <c r="S328" s="14" t="s">
        <v>99</v>
      </c>
      <c r="T328" s="14" t="s">
        <v>6663</v>
      </c>
      <c r="U328" s="14" t="s">
        <v>6664</v>
      </c>
      <c r="V328" s="14" t="s">
        <v>6665</v>
      </c>
      <c r="W328" s="14" t="s">
        <v>6666</v>
      </c>
      <c r="X328" s="14" t="s">
        <v>6667</v>
      </c>
      <c r="Y328" s="14" t="s">
        <v>6668</v>
      </c>
      <c r="Z328" s="14" t="s">
        <v>6669</v>
      </c>
      <c r="AA328" s="14" t="s">
        <v>6670</v>
      </c>
      <c r="AB328" s="14" t="s">
        <v>6671</v>
      </c>
      <c r="AC328" s="14" t="s">
        <v>6672</v>
      </c>
      <c r="AD328" s="14" t="s">
        <v>6673</v>
      </c>
      <c r="AE328" s="14" t="s">
        <v>6674</v>
      </c>
      <c r="AF328" s="14" t="s">
        <v>99</v>
      </c>
      <c r="AG328" s="14">
        <v>66.0</v>
      </c>
      <c r="AH328" s="14">
        <v>36.0</v>
      </c>
      <c r="AI328" s="14">
        <v>41.0</v>
      </c>
      <c r="AJ328" s="14">
        <v>1.0</v>
      </c>
      <c r="AK328" s="14">
        <v>108.0</v>
      </c>
      <c r="AL328" s="14" t="s">
        <v>341</v>
      </c>
      <c r="AM328" s="14" t="s">
        <v>342</v>
      </c>
      <c r="AN328" s="14" t="s">
        <v>343</v>
      </c>
      <c r="AO328" s="14" t="s">
        <v>2963</v>
      </c>
      <c r="AP328" s="14" t="s">
        <v>2964</v>
      </c>
      <c r="AQ328" s="14" t="s">
        <v>99</v>
      </c>
      <c r="AR328" s="14" t="s">
        <v>2965</v>
      </c>
      <c r="AS328" s="14" t="s">
        <v>2966</v>
      </c>
      <c r="AT328" s="14" t="s">
        <v>1058</v>
      </c>
      <c r="AU328" s="14">
        <v>2009.0</v>
      </c>
      <c r="AV328" s="14">
        <v>64.0</v>
      </c>
      <c r="AW328" s="14">
        <v>4.0</v>
      </c>
      <c r="AX328" s="14" t="s">
        <v>99</v>
      </c>
      <c r="AY328" s="14" t="s">
        <v>99</v>
      </c>
      <c r="AZ328" s="14" t="s">
        <v>99</v>
      </c>
      <c r="BA328" s="14" t="s">
        <v>99</v>
      </c>
      <c r="BB328" s="14">
        <v>443.0</v>
      </c>
      <c r="BC328" s="14">
        <v>453.0</v>
      </c>
      <c r="BD328" s="14" t="s">
        <v>99</v>
      </c>
      <c r="BE328" s="14" t="s">
        <v>6675</v>
      </c>
      <c r="BF328" s="15" t="str">
        <f>HYPERLINK("http://dx.doi.org/10.1111/j.1365-2494.2009.00709.x","http://dx.doi.org/10.1111/j.1365-2494.2009.00709.x")</f>
        <v>http://dx.doi.org/10.1111/j.1365-2494.2009.00709.x</v>
      </c>
      <c r="BG328" s="14" t="s">
        <v>99</v>
      </c>
      <c r="BH328" s="14" t="s">
        <v>99</v>
      </c>
      <c r="BI328" s="14">
        <v>11.0</v>
      </c>
      <c r="BJ328" s="14" t="s">
        <v>2968</v>
      </c>
      <c r="BK328" s="14" t="s">
        <v>122</v>
      </c>
      <c r="BL328" s="14" t="s">
        <v>2969</v>
      </c>
      <c r="BM328" s="14" t="s">
        <v>6658</v>
      </c>
      <c r="BN328" s="14" t="s">
        <v>99</v>
      </c>
      <c r="BO328" s="14" t="s">
        <v>99</v>
      </c>
      <c r="BP328" s="14" t="s">
        <v>99</v>
      </c>
      <c r="BQ328" s="14" t="s">
        <v>99</v>
      </c>
      <c r="BR328" s="14" t="s">
        <v>124</v>
      </c>
      <c r="BS328" s="14" t="s">
        <v>6676</v>
      </c>
      <c r="BT328" s="14" t="str">
        <f>HYPERLINK("https%3A%2F%2Fwww.webofscience.com%2Fwos%2Fwoscc%2Ffull-record%2FWOS:000271783500011","View Full Record in Web of Science")</f>
        <v>View Full Record in Web of Science</v>
      </c>
    </row>
    <row r="329" ht="12.75" customHeight="1">
      <c r="A329" s="14" t="s">
        <v>97</v>
      </c>
      <c r="B329" s="14" t="s">
        <v>6677</v>
      </c>
      <c r="C329" s="14" t="s">
        <v>99</v>
      </c>
      <c r="D329" s="14" t="s">
        <v>99</v>
      </c>
      <c r="E329" s="14" t="s">
        <v>99</v>
      </c>
      <c r="F329" s="14" t="s">
        <v>6678</v>
      </c>
      <c r="G329" s="14" t="s">
        <v>99</v>
      </c>
      <c r="H329" s="14" t="s">
        <v>99</v>
      </c>
      <c r="I329" s="14" t="s">
        <v>6679</v>
      </c>
      <c r="J329" s="14" t="s">
        <v>2142</v>
      </c>
      <c r="K329" s="14" t="s">
        <v>99</v>
      </c>
      <c r="L329" s="14" t="s">
        <v>99</v>
      </c>
      <c r="M329" s="14" t="s">
        <v>103</v>
      </c>
      <c r="N329" s="14" t="s">
        <v>104</v>
      </c>
      <c r="O329" s="14" t="s">
        <v>99</v>
      </c>
      <c r="P329" s="14" t="s">
        <v>99</v>
      </c>
      <c r="Q329" s="14" t="s">
        <v>99</v>
      </c>
      <c r="R329" s="14" t="s">
        <v>99</v>
      </c>
      <c r="S329" s="14" t="s">
        <v>99</v>
      </c>
      <c r="T329" s="14" t="s">
        <v>6680</v>
      </c>
      <c r="U329" s="14" t="s">
        <v>6681</v>
      </c>
      <c r="V329" s="14" t="s">
        <v>6682</v>
      </c>
      <c r="W329" s="14" t="s">
        <v>6683</v>
      </c>
      <c r="X329" s="14" t="s">
        <v>6684</v>
      </c>
      <c r="Y329" s="14" t="s">
        <v>6685</v>
      </c>
      <c r="Z329" s="14" t="s">
        <v>6686</v>
      </c>
      <c r="AA329" s="14" t="s">
        <v>6687</v>
      </c>
      <c r="AB329" s="14" t="s">
        <v>6688</v>
      </c>
      <c r="AC329" s="14" t="s">
        <v>6689</v>
      </c>
      <c r="AD329" s="14" t="s">
        <v>6690</v>
      </c>
      <c r="AE329" s="14" t="s">
        <v>6691</v>
      </c>
      <c r="AF329" s="14" t="s">
        <v>99</v>
      </c>
      <c r="AG329" s="14">
        <v>52.0</v>
      </c>
      <c r="AH329" s="14">
        <v>59.0</v>
      </c>
      <c r="AI329" s="14">
        <v>70.0</v>
      </c>
      <c r="AJ329" s="14">
        <v>0.0</v>
      </c>
      <c r="AK329" s="14">
        <v>91.0</v>
      </c>
      <c r="AL329" s="14" t="s">
        <v>341</v>
      </c>
      <c r="AM329" s="14" t="s">
        <v>342</v>
      </c>
      <c r="AN329" s="14" t="s">
        <v>343</v>
      </c>
      <c r="AO329" s="14" t="s">
        <v>2155</v>
      </c>
      <c r="AP329" s="14" t="s">
        <v>2156</v>
      </c>
      <c r="AQ329" s="14" t="s">
        <v>99</v>
      </c>
      <c r="AR329" s="14" t="s">
        <v>2157</v>
      </c>
      <c r="AS329" s="14" t="s">
        <v>2158</v>
      </c>
      <c r="AT329" s="14" t="s">
        <v>2372</v>
      </c>
      <c r="AU329" s="14">
        <v>2009.0</v>
      </c>
      <c r="AV329" s="14">
        <v>23.0</v>
      </c>
      <c r="AW329" s="14">
        <v>5.0</v>
      </c>
      <c r="AX329" s="14" t="s">
        <v>99</v>
      </c>
      <c r="AY329" s="14" t="s">
        <v>99</v>
      </c>
      <c r="AZ329" s="14" t="s">
        <v>99</v>
      </c>
      <c r="BA329" s="14" t="s">
        <v>99</v>
      </c>
      <c r="BB329" s="14">
        <v>1270.0</v>
      </c>
      <c r="BC329" s="14">
        <v>1280.0</v>
      </c>
      <c r="BD329" s="14" t="s">
        <v>99</v>
      </c>
      <c r="BE329" s="14" t="s">
        <v>6692</v>
      </c>
      <c r="BF329" s="15" t="str">
        <f>HYPERLINK("http://dx.doi.org/10.1111/j.1523-1739.2009.01224.x","http://dx.doi.org/10.1111/j.1523-1739.2009.01224.x")</f>
        <v>http://dx.doi.org/10.1111/j.1523-1739.2009.01224.x</v>
      </c>
      <c r="BG329" s="14" t="s">
        <v>99</v>
      </c>
      <c r="BH329" s="14" t="s">
        <v>99</v>
      </c>
      <c r="BI329" s="14">
        <v>11.0</v>
      </c>
      <c r="BJ329" s="14" t="s">
        <v>351</v>
      </c>
      <c r="BK329" s="14" t="s">
        <v>122</v>
      </c>
      <c r="BL329" s="14" t="s">
        <v>352</v>
      </c>
      <c r="BM329" s="14" t="s">
        <v>6693</v>
      </c>
      <c r="BN329" s="14">
        <v>1.9765039E7</v>
      </c>
      <c r="BO329" s="14" t="s">
        <v>99</v>
      </c>
      <c r="BP329" s="14" t="s">
        <v>99</v>
      </c>
      <c r="BQ329" s="14" t="s">
        <v>99</v>
      </c>
      <c r="BR329" s="14" t="s">
        <v>124</v>
      </c>
      <c r="BS329" s="14" t="s">
        <v>6694</v>
      </c>
      <c r="BT329" s="14" t="str">
        <f>HYPERLINK("https%3A%2F%2Fwww.webofscience.com%2Fwos%2Fwoscc%2Ffull-record%2FWOS:000269802200030","View Full Record in Web of Science")</f>
        <v>View Full Record in Web of Science</v>
      </c>
    </row>
    <row r="330" ht="12.75" customHeight="1">
      <c r="A330" s="14" t="s">
        <v>97</v>
      </c>
      <c r="B330" s="14" t="s">
        <v>6695</v>
      </c>
      <c r="C330" s="14" t="s">
        <v>99</v>
      </c>
      <c r="D330" s="14" t="s">
        <v>99</v>
      </c>
      <c r="E330" s="14" t="s">
        <v>99</v>
      </c>
      <c r="F330" s="14" t="s">
        <v>6696</v>
      </c>
      <c r="G330" s="14" t="s">
        <v>99</v>
      </c>
      <c r="H330" s="14" t="s">
        <v>99</v>
      </c>
      <c r="I330" s="14" t="s">
        <v>6697</v>
      </c>
      <c r="J330" s="14" t="s">
        <v>430</v>
      </c>
      <c r="K330" s="14" t="s">
        <v>99</v>
      </c>
      <c r="L330" s="14" t="s">
        <v>99</v>
      </c>
      <c r="M330" s="14" t="s">
        <v>103</v>
      </c>
      <c r="N330" s="14" t="s">
        <v>104</v>
      </c>
      <c r="O330" s="14" t="s">
        <v>99</v>
      </c>
      <c r="P330" s="14" t="s">
        <v>99</v>
      </c>
      <c r="Q330" s="14" t="s">
        <v>99</v>
      </c>
      <c r="R330" s="14" t="s">
        <v>99</v>
      </c>
      <c r="S330" s="14" t="s">
        <v>99</v>
      </c>
      <c r="T330" s="14" t="s">
        <v>6698</v>
      </c>
      <c r="U330" s="14" t="s">
        <v>6699</v>
      </c>
      <c r="V330" s="14" t="s">
        <v>6700</v>
      </c>
      <c r="W330" s="14" t="s">
        <v>6701</v>
      </c>
      <c r="X330" s="14" t="s">
        <v>6702</v>
      </c>
      <c r="Y330" s="14" t="s">
        <v>6703</v>
      </c>
      <c r="Z330" s="14" t="s">
        <v>6704</v>
      </c>
      <c r="AA330" s="14" t="s">
        <v>6705</v>
      </c>
      <c r="AB330" s="14" t="s">
        <v>6706</v>
      </c>
      <c r="AC330" s="14" t="s">
        <v>99</v>
      </c>
      <c r="AD330" s="14" t="s">
        <v>99</v>
      </c>
      <c r="AE330" s="14" t="s">
        <v>99</v>
      </c>
      <c r="AF330" s="14" t="s">
        <v>99</v>
      </c>
      <c r="AG330" s="14">
        <v>49.0</v>
      </c>
      <c r="AH330" s="14">
        <v>16.0</v>
      </c>
      <c r="AI330" s="14">
        <v>19.0</v>
      </c>
      <c r="AJ330" s="14">
        <v>0.0</v>
      </c>
      <c r="AK330" s="14">
        <v>27.0</v>
      </c>
      <c r="AL330" s="14" t="s">
        <v>441</v>
      </c>
      <c r="AM330" s="14" t="s">
        <v>442</v>
      </c>
      <c r="AN330" s="14" t="s">
        <v>443</v>
      </c>
      <c r="AO330" s="14" t="s">
        <v>444</v>
      </c>
      <c r="AP330" s="14" t="s">
        <v>445</v>
      </c>
      <c r="AQ330" s="14" t="s">
        <v>99</v>
      </c>
      <c r="AR330" s="14" t="s">
        <v>446</v>
      </c>
      <c r="AS330" s="14" t="s">
        <v>447</v>
      </c>
      <c r="AT330" s="14" t="s">
        <v>1160</v>
      </c>
      <c r="AU330" s="14">
        <v>2009.0</v>
      </c>
      <c r="AV330" s="14">
        <v>258.0</v>
      </c>
      <c r="AW330" s="14">
        <v>7.0</v>
      </c>
      <c r="AX330" s="14" t="s">
        <v>99</v>
      </c>
      <c r="AY330" s="14" t="s">
        <v>99</v>
      </c>
      <c r="AZ330" s="14" t="s">
        <v>99</v>
      </c>
      <c r="BA330" s="14" t="s">
        <v>99</v>
      </c>
      <c r="BB330" s="14">
        <v>1586.0</v>
      </c>
      <c r="BC330" s="14">
        <v>1593.0</v>
      </c>
      <c r="BD330" s="14" t="s">
        <v>99</v>
      </c>
      <c r="BE330" s="14" t="s">
        <v>6707</v>
      </c>
      <c r="BF330" s="15" t="str">
        <f>HYPERLINK("http://dx.doi.org/10.1016/j.foreco.2009.07.013","http://dx.doi.org/10.1016/j.foreco.2009.07.013")</f>
        <v>http://dx.doi.org/10.1016/j.foreco.2009.07.013</v>
      </c>
      <c r="BG330" s="14" t="s">
        <v>99</v>
      </c>
      <c r="BH330" s="14" t="s">
        <v>99</v>
      </c>
      <c r="BI330" s="14">
        <v>8.0</v>
      </c>
      <c r="BJ330" s="14" t="s">
        <v>281</v>
      </c>
      <c r="BK330" s="14" t="s">
        <v>122</v>
      </c>
      <c r="BL330" s="14" t="s">
        <v>281</v>
      </c>
      <c r="BM330" s="14" t="s">
        <v>6708</v>
      </c>
      <c r="BN330" s="14" t="s">
        <v>99</v>
      </c>
      <c r="BO330" s="14" t="s">
        <v>99</v>
      </c>
      <c r="BP330" s="14" t="s">
        <v>99</v>
      </c>
      <c r="BQ330" s="14" t="s">
        <v>99</v>
      </c>
      <c r="BR330" s="14" t="s">
        <v>124</v>
      </c>
      <c r="BS330" s="14" t="s">
        <v>6709</v>
      </c>
      <c r="BT330" s="14" t="str">
        <f>HYPERLINK("https%3A%2F%2Fwww.webofscience.com%2Fwos%2Fwoscc%2Ffull-record%2FWOS:000270152300065","View Full Record in Web of Science")</f>
        <v>View Full Record in Web of Science</v>
      </c>
    </row>
    <row r="331" ht="12.75" customHeight="1">
      <c r="A331" s="14" t="s">
        <v>97</v>
      </c>
      <c r="B331" s="14" t="s">
        <v>6710</v>
      </c>
      <c r="C331" s="14" t="s">
        <v>99</v>
      </c>
      <c r="D331" s="14" t="s">
        <v>99</v>
      </c>
      <c r="E331" s="14" t="s">
        <v>99</v>
      </c>
      <c r="F331" s="14" t="s">
        <v>6711</v>
      </c>
      <c r="G331" s="14" t="s">
        <v>99</v>
      </c>
      <c r="H331" s="14" t="s">
        <v>99</v>
      </c>
      <c r="I331" s="14" t="s">
        <v>6712</v>
      </c>
      <c r="J331" s="14" t="s">
        <v>6713</v>
      </c>
      <c r="K331" s="14" t="s">
        <v>99</v>
      </c>
      <c r="L331" s="14" t="s">
        <v>99</v>
      </c>
      <c r="M331" s="14" t="s">
        <v>103</v>
      </c>
      <c r="N331" s="14" t="s">
        <v>104</v>
      </c>
      <c r="O331" s="14" t="s">
        <v>99</v>
      </c>
      <c r="P331" s="14" t="s">
        <v>99</v>
      </c>
      <c r="Q331" s="14" t="s">
        <v>99</v>
      </c>
      <c r="R331" s="14" t="s">
        <v>99</v>
      </c>
      <c r="S331" s="14" t="s">
        <v>99</v>
      </c>
      <c r="T331" s="14" t="s">
        <v>6714</v>
      </c>
      <c r="U331" s="14" t="s">
        <v>6715</v>
      </c>
      <c r="V331" s="14" t="s">
        <v>6716</v>
      </c>
      <c r="W331" s="14" t="s">
        <v>6717</v>
      </c>
      <c r="X331" s="14" t="s">
        <v>6718</v>
      </c>
      <c r="Y331" s="14" t="s">
        <v>6719</v>
      </c>
      <c r="Z331" s="14" t="s">
        <v>6720</v>
      </c>
      <c r="AA331" s="14" t="s">
        <v>6721</v>
      </c>
      <c r="AB331" s="14" t="s">
        <v>6722</v>
      </c>
      <c r="AC331" s="14" t="s">
        <v>6723</v>
      </c>
      <c r="AD331" s="14" t="s">
        <v>6723</v>
      </c>
      <c r="AE331" s="14" t="s">
        <v>6724</v>
      </c>
      <c r="AF331" s="14" t="s">
        <v>99</v>
      </c>
      <c r="AG331" s="14">
        <v>67.0</v>
      </c>
      <c r="AH331" s="14">
        <v>45.0</v>
      </c>
      <c r="AI331" s="14">
        <v>49.0</v>
      </c>
      <c r="AJ331" s="14">
        <v>0.0</v>
      </c>
      <c r="AK331" s="14">
        <v>33.0</v>
      </c>
      <c r="AL331" s="14" t="s">
        <v>341</v>
      </c>
      <c r="AM331" s="14" t="s">
        <v>342</v>
      </c>
      <c r="AN331" s="14" t="s">
        <v>343</v>
      </c>
      <c r="AO331" s="14" t="s">
        <v>6725</v>
      </c>
      <c r="AP331" s="14" t="s">
        <v>6726</v>
      </c>
      <c r="AQ331" s="14" t="s">
        <v>99</v>
      </c>
      <c r="AR331" s="14" t="s">
        <v>6727</v>
      </c>
      <c r="AS331" s="14" t="s">
        <v>6728</v>
      </c>
      <c r="AT331" s="14" t="s">
        <v>421</v>
      </c>
      <c r="AU331" s="14">
        <v>2009.0</v>
      </c>
      <c r="AV331" s="14">
        <v>34.0</v>
      </c>
      <c r="AW331" s="14">
        <v>6.0</v>
      </c>
      <c r="AX331" s="14" t="s">
        <v>99</v>
      </c>
      <c r="AY331" s="14" t="s">
        <v>99</v>
      </c>
      <c r="AZ331" s="14" t="s">
        <v>99</v>
      </c>
      <c r="BA331" s="14" t="s">
        <v>99</v>
      </c>
      <c r="BB331" s="14">
        <v>705.0</v>
      </c>
      <c r="BC331" s="14">
        <v>716.0</v>
      </c>
      <c r="BD331" s="14" t="s">
        <v>99</v>
      </c>
      <c r="BE331" s="14" t="s">
        <v>6729</v>
      </c>
      <c r="BF331" s="15" t="str">
        <f>HYPERLINK("http://dx.doi.org/10.1111/j.1442-9993.2009.01979.x","http://dx.doi.org/10.1111/j.1442-9993.2009.01979.x")</f>
        <v>http://dx.doi.org/10.1111/j.1442-9993.2009.01979.x</v>
      </c>
      <c r="BG331" s="14" t="s">
        <v>99</v>
      </c>
      <c r="BH331" s="14" t="s">
        <v>99</v>
      </c>
      <c r="BI331" s="14">
        <v>12.0</v>
      </c>
      <c r="BJ331" s="14" t="s">
        <v>259</v>
      </c>
      <c r="BK331" s="14" t="s">
        <v>122</v>
      </c>
      <c r="BL331" s="14" t="s">
        <v>260</v>
      </c>
      <c r="BM331" s="14" t="s">
        <v>6730</v>
      </c>
      <c r="BN331" s="14" t="s">
        <v>99</v>
      </c>
      <c r="BO331" s="14" t="s">
        <v>99</v>
      </c>
      <c r="BP331" s="14" t="s">
        <v>99</v>
      </c>
      <c r="BQ331" s="14" t="s">
        <v>99</v>
      </c>
      <c r="BR331" s="14" t="s">
        <v>124</v>
      </c>
      <c r="BS331" s="14" t="s">
        <v>6731</v>
      </c>
      <c r="BT331" s="14" t="str">
        <f>HYPERLINK("https%3A%2F%2Fwww.webofscience.com%2Fwos%2Fwoscc%2Ffull-record%2FWOS:000269675600012","View Full Record in Web of Science")</f>
        <v>View Full Record in Web of Science</v>
      </c>
    </row>
    <row r="332" ht="12.75" customHeight="1">
      <c r="A332" s="14" t="s">
        <v>97</v>
      </c>
      <c r="B332" s="14" t="s">
        <v>6732</v>
      </c>
      <c r="C332" s="14" t="s">
        <v>99</v>
      </c>
      <c r="D332" s="14" t="s">
        <v>99</v>
      </c>
      <c r="E332" s="14" t="s">
        <v>99</v>
      </c>
      <c r="F332" s="14" t="s">
        <v>6733</v>
      </c>
      <c r="G332" s="14" t="s">
        <v>99</v>
      </c>
      <c r="H332" s="14" t="s">
        <v>99</v>
      </c>
      <c r="I332" s="14" t="s">
        <v>6734</v>
      </c>
      <c r="J332" s="14" t="s">
        <v>2566</v>
      </c>
      <c r="K332" s="14" t="s">
        <v>99</v>
      </c>
      <c r="L332" s="14" t="s">
        <v>99</v>
      </c>
      <c r="M332" s="14" t="s">
        <v>103</v>
      </c>
      <c r="N332" s="14" t="s">
        <v>104</v>
      </c>
      <c r="O332" s="14" t="s">
        <v>99</v>
      </c>
      <c r="P332" s="14" t="s">
        <v>99</v>
      </c>
      <c r="Q332" s="14" t="s">
        <v>99</v>
      </c>
      <c r="R332" s="14" t="s">
        <v>99</v>
      </c>
      <c r="S332" s="14" t="s">
        <v>99</v>
      </c>
      <c r="T332" s="14" t="s">
        <v>99</v>
      </c>
      <c r="U332" s="14" t="s">
        <v>6735</v>
      </c>
      <c r="V332" s="14" t="s">
        <v>6736</v>
      </c>
      <c r="W332" s="14" t="s">
        <v>6737</v>
      </c>
      <c r="X332" s="14" t="s">
        <v>6738</v>
      </c>
      <c r="Y332" s="14" t="s">
        <v>6739</v>
      </c>
      <c r="Z332" s="14" t="s">
        <v>6740</v>
      </c>
      <c r="AA332" s="14" t="s">
        <v>6741</v>
      </c>
      <c r="AB332" s="14" t="s">
        <v>6742</v>
      </c>
      <c r="AC332" s="14" t="s">
        <v>6743</v>
      </c>
      <c r="AD332" s="14" t="s">
        <v>6744</v>
      </c>
      <c r="AE332" s="14" t="s">
        <v>6745</v>
      </c>
      <c r="AF332" s="14" t="s">
        <v>99</v>
      </c>
      <c r="AG332" s="14">
        <v>41.0</v>
      </c>
      <c r="AH332" s="14">
        <v>1716.0</v>
      </c>
      <c r="AI332" s="14">
        <v>1989.0</v>
      </c>
      <c r="AJ332" s="14">
        <v>10.0</v>
      </c>
      <c r="AK332" s="14">
        <v>1399.0</v>
      </c>
      <c r="AL332" s="14" t="s">
        <v>1243</v>
      </c>
      <c r="AM332" s="14" t="s">
        <v>789</v>
      </c>
      <c r="AN332" s="14" t="s">
        <v>1244</v>
      </c>
      <c r="AO332" s="14" t="s">
        <v>2578</v>
      </c>
      <c r="AP332" s="14" t="s">
        <v>2579</v>
      </c>
      <c r="AQ332" s="14" t="s">
        <v>99</v>
      </c>
      <c r="AR332" s="14" t="s">
        <v>2566</v>
      </c>
      <c r="AS332" s="14" t="s">
        <v>2580</v>
      </c>
      <c r="AT332" s="14" t="s">
        <v>6746</v>
      </c>
      <c r="AU332" s="14">
        <v>2009.0</v>
      </c>
      <c r="AV332" s="14">
        <v>325.0</v>
      </c>
      <c r="AW332" s="14">
        <v>5940.0</v>
      </c>
      <c r="AX332" s="14" t="s">
        <v>99</v>
      </c>
      <c r="AY332" s="14" t="s">
        <v>99</v>
      </c>
      <c r="AZ332" s="14" t="s">
        <v>99</v>
      </c>
      <c r="BA332" s="14" t="s">
        <v>99</v>
      </c>
      <c r="BB332" s="14">
        <v>578.0</v>
      </c>
      <c r="BC332" s="14">
        <v>585.0</v>
      </c>
      <c r="BD332" s="14" t="s">
        <v>99</v>
      </c>
      <c r="BE332" s="14" t="s">
        <v>6747</v>
      </c>
      <c r="BF332" s="15" t="str">
        <f>HYPERLINK("http://dx.doi.org/10.1126/science.1173146","http://dx.doi.org/10.1126/science.1173146")</f>
        <v>http://dx.doi.org/10.1126/science.1173146</v>
      </c>
      <c r="BG332" s="14" t="s">
        <v>99</v>
      </c>
      <c r="BH332" s="14" t="s">
        <v>99</v>
      </c>
      <c r="BI332" s="14">
        <v>8.0</v>
      </c>
      <c r="BJ332" s="14" t="s">
        <v>799</v>
      </c>
      <c r="BK332" s="14" t="s">
        <v>122</v>
      </c>
      <c r="BL332" s="14" t="s">
        <v>801</v>
      </c>
      <c r="BM332" s="14" t="s">
        <v>6748</v>
      </c>
      <c r="BN332" s="14">
        <v>1.9644114E7</v>
      </c>
      <c r="BO332" s="14" t="s">
        <v>425</v>
      </c>
      <c r="BP332" s="14" t="s">
        <v>99</v>
      </c>
      <c r="BQ332" s="14" t="s">
        <v>99</v>
      </c>
      <c r="BR332" s="14" t="s">
        <v>124</v>
      </c>
      <c r="BS332" s="14" t="s">
        <v>6749</v>
      </c>
      <c r="BT332" s="14" t="str">
        <f>HYPERLINK("https%3A%2F%2Fwww.webofscience.com%2Fwos%2Fwoscc%2Ffull-record%2FWOS:000268493000042","View Full Record in Web of Science")</f>
        <v>View Full Record in Web of Science</v>
      </c>
    </row>
    <row r="333" ht="12.75" customHeight="1">
      <c r="A333" s="14" t="s">
        <v>97</v>
      </c>
      <c r="B333" s="14" t="s">
        <v>6750</v>
      </c>
      <c r="C333" s="14" t="s">
        <v>99</v>
      </c>
      <c r="D333" s="14" t="s">
        <v>99</v>
      </c>
      <c r="E333" s="14" t="s">
        <v>99</v>
      </c>
      <c r="F333" s="14" t="s">
        <v>6751</v>
      </c>
      <c r="G333" s="14" t="s">
        <v>99</v>
      </c>
      <c r="H333" s="14" t="s">
        <v>99</v>
      </c>
      <c r="I333" s="14" t="s">
        <v>6752</v>
      </c>
      <c r="J333" s="14" t="s">
        <v>3729</v>
      </c>
      <c r="K333" s="14" t="s">
        <v>99</v>
      </c>
      <c r="L333" s="14" t="s">
        <v>99</v>
      </c>
      <c r="M333" s="14" t="s">
        <v>103</v>
      </c>
      <c r="N333" s="14" t="s">
        <v>104</v>
      </c>
      <c r="O333" s="14" t="s">
        <v>99</v>
      </c>
      <c r="P333" s="14" t="s">
        <v>99</v>
      </c>
      <c r="Q333" s="14" t="s">
        <v>99</v>
      </c>
      <c r="R333" s="14" t="s">
        <v>99</v>
      </c>
      <c r="S333" s="14" t="s">
        <v>99</v>
      </c>
      <c r="T333" s="14" t="s">
        <v>6753</v>
      </c>
      <c r="U333" s="14" t="s">
        <v>6754</v>
      </c>
      <c r="V333" s="14" t="s">
        <v>6755</v>
      </c>
      <c r="W333" s="14" t="s">
        <v>6756</v>
      </c>
      <c r="X333" s="14" t="s">
        <v>6757</v>
      </c>
      <c r="Y333" s="14" t="s">
        <v>6758</v>
      </c>
      <c r="Z333" s="14" t="s">
        <v>6759</v>
      </c>
      <c r="AA333" s="14" t="s">
        <v>6760</v>
      </c>
      <c r="AB333" s="14" t="s">
        <v>6761</v>
      </c>
      <c r="AC333" s="14" t="s">
        <v>6762</v>
      </c>
      <c r="AD333" s="14" t="s">
        <v>6763</v>
      </c>
      <c r="AE333" s="14" t="s">
        <v>99</v>
      </c>
      <c r="AF333" s="14" t="s">
        <v>99</v>
      </c>
      <c r="AG333" s="14">
        <v>96.0</v>
      </c>
      <c r="AH333" s="14">
        <v>4028.0</v>
      </c>
      <c r="AI333" s="14">
        <v>4579.0</v>
      </c>
      <c r="AJ333" s="14">
        <v>62.0</v>
      </c>
      <c r="AK333" s="14">
        <v>4136.0</v>
      </c>
      <c r="AL333" s="14" t="s">
        <v>1544</v>
      </c>
      <c r="AM333" s="14" t="s">
        <v>274</v>
      </c>
      <c r="AN333" s="14" t="s">
        <v>1545</v>
      </c>
      <c r="AO333" s="14" t="s">
        <v>3739</v>
      </c>
      <c r="AP333" s="14" t="s">
        <v>3740</v>
      </c>
      <c r="AQ333" s="14" t="s">
        <v>99</v>
      </c>
      <c r="AR333" s="14" t="s">
        <v>3741</v>
      </c>
      <c r="AS333" s="14" t="s">
        <v>3742</v>
      </c>
      <c r="AT333" s="14" t="s">
        <v>6764</v>
      </c>
      <c r="AU333" s="14">
        <v>2009.0</v>
      </c>
      <c r="AV333" s="14">
        <v>364.0</v>
      </c>
      <c r="AW333" s="14">
        <v>1526.0</v>
      </c>
      <c r="AX333" s="14" t="s">
        <v>99</v>
      </c>
      <c r="AY333" s="14" t="s">
        <v>99</v>
      </c>
      <c r="AZ333" s="14" t="s">
        <v>99</v>
      </c>
      <c r="BA333" s="14" t="s">
        <v>99</v>
      </c>
      <c r="BB333" s="14">
        <v>1985.0</v>
      </c>
      <c r="BC333" s="14">
        <v>1998.0</v>
      </c>
      <c r="BD333" s="14" t="s">
        <v>99</v>
      </c>
      <c r="BE333" s="14" t="s">
        <v>6765</v>
      </c>
      <c r="BF333" s="15" t="str">
        <f>HYPERLINK("http://dx.doi.org/10.1098/rstb.2008.0205","http://dx.doi.org/10.1098/rstb.2008.0205")</f>
        <v>http://dx.doi.org/10.1098/rstb.2008.0205</v>
      </c>
      <c r="BG333" s="14" t="s">
        <v>99</v>
      </c>
      <c r="BH333" s="14" t="s">
        <v>99</v>
      </c>
      <c r="BI333" s="14">
        <v>14.0</v>
      </c>
      <c r="BJ333" s="14" t="s">
        <v>1803</v>
      </c>
      <c r="BK333" s="14" t="s">
        <v>122</v>
      </c>
      <c r="BL333" s="14" t="s">
        <v>1804</v>
      </c>
      <c r="BM333" s="14" t="s">
        <v>6766</v>
      </c>
      <c r="BN333" s="14">
        <v>1.9528051E7</v>
      </c>
      <c r="BO333" s="14" t="s">
        <v>425</v>
      </c>
      <c r="BP333" s="14" t="s">
        <v>99</v>
      </c>
      <c r="BQ333" s="14" t="s">
        <v>99</v>
      </c>
      <c r="BR333" s="14" t="s">
        <v>124</v>
      </c>
      <c r="BS333" s="14" t="s">
        <v>6767</v>
      </c>
      <c r="BT333" s="14" t="str">
        <f>HYPERLINK("https%3A%2F%2Fwww.webofscience.com%2Fwos%2Fwoscc%2Ffull-record%2FWOS:000267281600004","View Full Record in Web of Science")</f>
        <v>View Full Record in Web of Science</v>
      </c>
    </row>
    <row r="334" ht="12.75" customHeight="1">
      <c r="A334" s="14" t="s">
        <v>97</v>
      </c>
      <c r="B334" s="14" t="s">
        <v>6768</v>
      </c>
      <c r="C334" s="14" t="s">
        <v>99</v>
      </c>
      <c r="D334" s="14" t="s">
        <v>99</v>
      </c>
      <c r="E334" s="14" t="s">
        <v>99</v>
      </c>
      <c r="F334" s="14" t="s">
        <v>6769</v>
      </c>
      <c r="G334" s="14" t="s">
        <v>99</v>
      </c>
      <c r="H334" s="14" t="s">
        <v>99</v>
      </c>
      <c r="I334" s="14" t="s">
        <v>6770</v>
      </c>
      <c r="J334" s="14" t="s">
        <v>456</v>
      </c>
      <c r="K334" s="14" t="s">
        <v>99</v>
      </c>
      <c r="L334" s="14" t="s">
        <v>99</v>
      </c>
      <c r="M334" s="14" t="s">
        <v>103</v>
      </c>
      <c r="N334" s="14" t="s">
        <v>104</v>
      </c>
      <c r="O334" s="14" t="s">
        <v>99</v>
      </c>
      <c r="P334" s="14" t="s">
        <v>99</v>
      </c>
      <c r="Q334" s="14" t="s">
        <v>99</v>
      </c>
      <c r="R334" s="14" t="s">
        <v>99</v>
      </c>
      <c r="S334" s="14" t="s">
        <v>99</v>
      </c>
      <c r="T334" s="14" t="s">
        <v>6771</v>
      </c>
      <c r="U334" s="14" t="s">
        <v>6772</v>
      </c>
      <c r="V334" s="14" t="s">
        <v>6773</v>
      </c>
      <c r="W334" s="14" t="s">
        <v>6774</v>
      </c>
      <c r="X334" s="14" t="s">
        <v>6775</v>
      </c>
      <c r="Y334" s="14" t="s">
        <v>6776</v>
      </c>
      <c r="Z334" s="14" t="s">
        <v>6777</v>
      </c>
      <c r="AA334" s="14" t="s">
        <v>99</v>
      </c>
      <c r="AB334" s="14" t="s">
        <v>99</v>
      </c>
      <c r="AC334" s="14" t="s">
        <v>99</v>
      </c>
      <c r="AD334" s="14" t="s">
        <v>99</v>
      </c>
      <c r="AE334" s="14" t="s">
        <v>99</v>
      </c>
      <c r="AF334" s="14" t="s">
        <v>99</v>
      </c>
      <c r="AG334" s="14">
        <v>23.0</v>
      </c>
      <c r="AH334" s="14">
        <v>26.0</v>
      </c>
      <c r="AI334" s="14">
        <v>27.0</v>
      </c>
      <c r="AJ334" s="14">
        <v>0.0</v>
      </c>
      <c r="AK334" s="14">
        <v>17.0</v>
      </c>
      <c r="AL334" s="14" t="s">
        <v>467</v>
      </c>
      <c r="AM334" s="14" t="s">
        <v>468</v>
      </c>
      <c r="AN334" s="14" t="s">
        <v>469</v>
      </c>
      <c r="AO334" s="14" t="s">
        <v>470</v>
      </c>
      <c r="AP334" s="14" t="s">
        <v>471</v>
      </c>
      <c r="AQ334" s="14" t="s">
        <v>99</v>
      </c>
      <c r="AR334" s="14" t="s">
        <v>472</v>
      </c>
      <c r="AS334" s="14" t="s">
        <v>473</v>
      </c>
      <c r="AT334" s="14" t="s">
        <v>525</v>
      </c>
      <c r="AU334" s="14">
        <v>2009.0</v>
      </c>
      <c r="AV334" s="14">
        <v>58.0</v>
      </c>
      <c r="AW334" s="14">
        <v>7.0</v>
      </c>
      <c r="AX334" s="14" t="s">
        <v>99</v>
      </c>
      <c r="AY334" s="14" t="s">
        <v>99</v>
      </c>
      <c r="AZ334" s="14" t="s">
        <v>99</v>
      </c>
      <c r="BA334" s="14" t="s">
        <v>99</v>
      </c>
      <c r="BB334" s="14">
        <v>967.0</v>
      </c>
      <c r="BC334" s="14">
        <v>975.0</v>
      </c>
      <c r="BD334" s="14" t="s">
        <v>99</v>
      </c>
      <c r="BE334" s="14" t="s">
        <v>6778</v>
      </c>
      <c r="BF334" s="15" t="str">
        <f>HYPERLINK("http://dx.doi.org/10.1016/j.marpolbul.2009.03.009","http://dx.doi.org/10.1016/j.marpolbul.2009.03.009")</f>
        <v>http://dx.doi.org/10.1016/j.marpolbul.2009.03.009</v>
      </c>
      <c r="BG334" s="14" t="s">
        <v>99</v>
      </c>
      <c r="BH334" s="14" t="s">
        <v>99</v>
      </c>
      <c r="BI334" s="14">
        <v>9.0</v>
      </c>
      <c r="BJ334" s="14" t="s">
        <v>396</v>
      </c>
      <c r="BK334" s="14" t="s">
        <v>122</v>
      </c>
      <c r="BL334" s="14" t="s">
        <v>397</v>
      </c>
      <c r="BM334" s="14" t="s">
        <v>6779</v>
      </c>
      <c r="BN334" s="14">
        <v>1.9375113E7</v>
      </c>
      <c r="BO334" s="14" t="s">
        <v>99</v>
      </c>
      <c r="BP334" s="14" t="s">
        <v>99</v>
      </c>
      <c r="BQ334" s="14" t="s">
        <v>99</v>
      </c>
      <c r="BR334" s="14" t="s">
        <v>124</v>
      </c>
      <c r="BS334" s="14" t="s">
        <v>6780</v>
      </c>
      <c r="BT334" s="14" t="str">
        <f>HYPERLINK("https%3A%2F%2Fwww.webofscience.com%2Fwos%2Fwoscc%2Ffull-record%2FWOS:000268422500014","View Full Record in Web of Science")</f>
        <v>View Full Record in Web of Science</v>
      </c>
    </row>
    <row r="335" ht="12.75" customHeight="1">
      <c r="A335" s="14" t="s">
        <v>97</v>
      </c>
      <c r="B335" s="14" t="s">
        <v>6781</v>
      </c>
      <c r="C335" s="14" t="s">
        <v>99</v>
      </c>
      <c r="D335" s="14" t="s">
        <v>99</v>
      </c>
      <c r="E335" s="14" t="s">
        <v>99</v>
      </c>
      <c r="F335" s="14" t="s">
        <v>6782</v>
      </c>
      <c r="G335" s="14" t="s">
        <v>99</v>
      </c>
      <c r="H335" s="14" t="s">
        <v>99</v>
      </c>
      <c r="I335" s="14" t="s">
        <v>6783</v>
      </c>
      <c r="J335" s="14" t="s">
        <v>1102</v>
      </c>
      <c r="K335" s="14" t="s">
        <v>99</v>
      </c>
      <c r="L335" s="14" t="s">
        <v>99</v>
      </c>
      <c r="M335" s="14" t="s">
        <v>103</v>
      </c>
      <c r="N335" s="14" t="s">
        <v>104</v>
      </c>
      <c r="O335" s="14" t="s">
        <v>99</v>
      </c>
      <c r="P335" s="14" t="s">
        <v>99</v>
      </c>
      <c r="Q335" s="14" t="s">
        <v>99</v>
      </c>
      <c r="R335" s="14" t="s">
        <v>99</v>
      </c>
      <c r="S335" s="14" t="s">
        <v>99</v>
      </c>
      <c r="T335" s="14" t="s">
        <v>6784</v>
      </c>
      <c r="U335" s="14" t="s">
        <v>6785</v>
      </c>
      <c r="V335" s="14" t="s">
        <v>6786</v>
      </c>
      <c r="W335" s="14" t="s">
        <v>6787</v>
      </c>
      <c r="X335" s="14" t="s">
        <v>6788</v>
      </c>
      <c r="Y335" s="14" t="s">
        <v>6789</v>
      </c>
      <c r="Z335" s="14" t="s">
        <v>6790</v>
      </c>
      <c r="AA335" s="14" t="s">
        <v>99</v>
      </c>
      <c r="AB335" s="14" t="s">
        <v>99</v>
      </c>
      <c r="AC335" s="14" t="s">
        <v>6791</v>
      </c>
      <c r="AD335" s="14" t="s">
        <v>6792</v>
      </c>
      <c r="AE335" s="14" t="s">
        <v>6793</v>
      </c>
      <c r="AF335" s="14" t="s">
        <v>99</v>
      </c>
      <c r="AG335" s="14">
        <v>38.0</v>
      </c>
      <c r="AH335" s="14">
        <v>36.0</v>
      </c>
      <c r="AI335" s="14">
        <v>39.0</v>
      </c>
      <c r="AJ335" s="14">
        <v>0.0</v>
      </c>
      <c r="AK335" s="14">
        <v>29.0</v>
      </c>
      <c r="AL335" s="14" t="s">
        <v>493</v>
      </c>
      <c r="AM335" s="14" t="s">
        <v>468</v>
      </c>
      <c r="AN335" s="14" t="s">
        <v>635</v>
      </c>
      <c r="AO335" s="14" t="s">
        <v>1112</v>
      </c>
      <c r="AP335" s="14" t="s">
        <v>1113</v>
      </c>
      <c r="AQ335" s="14" t="s">
        <v>99</v>
      </c>
      <c r="AR335" s="14" t="s">
        <v>1114</v>
      </c>
      <c r="AS335" s="14" t="s">
        <v>1115</v>
      </c>
      <c r="AT335" s="14" t="s">
        <v>525</v>
      </c>
      <c r="AU335" s="14">
        <v>2009.0</v>
      </c>
      <c r="AV335" s="14">
        <v>142.0</v>
      </c>
      <c r="AW335" s="14">
        <v>7.0</v>
      </c>
      <c r="AX335" s="14" t="s">
        <v>99</v>
      </c>
      <c r="AY335" s="14" t="s">
        <v>99</v>
      </c>
      <c r="AZ335" s="14" t="s">
        <v>99</v>
      </c>
      <c r="BA335" s="14" t="s">
        <v>99</v>
      </c>
      <c r="BB335" s="14">
        <v>1500.0</v>
      </c>
      <c r="BC335" s="14">
        <v>1506.0</v>
      </c>
      <c r="BD335" s="14" t="s">
        <v>99</v>
      </c>
      <c r="BE335" s="14" t="s">
        <v>6794</v>
      </c>
      <c r="BF335" s="15" t="str">
        <f>HYPERLINK("http://dx.doi.org/10.1016/j.biocon.2009.02.032","http://dx.doi.org/10.1016/j.biocon.2009.02.032")</f>
        <v>http://dx.doi.org/10.1016/j.biocon.2009.02.032</v>
      </c>
      <c r="BG335" s="14" t="s">
        <v>99</v>
      </c>
      <c r="BH335" s="14" t="s">
        <v>99</v>
      </c>
      <c r="BI335" s="14">
        <v>7.0</v>
      </c>
      <c r="BJ335" s="14" t="s">
        <v>351</v>
      </c>
      <c r="BK335" s="14" t="s">
        <v>122</v>
      </c>
      <c r="BL335" s="14" t="s">
        <v>352</v>
      </c>
      <c r="BM335" s="14" t="s">
        <v>6795</v>
      </c>
      <c r="BN335" s="14" t="s">
        <v>99</v>
      </c>
      <c r="BO335" s="14" t="s">
        <v>99</v>
      </c>
      <c r="BP335" s="14" t="s">
        <v>99</v>
      </c>
      <c r="BQ335" s="14" t="s">
        <v>99</v>
      </c>
      <c r="BR335" s="14" t="s">
        <v>124</v>
      </c>
      <c r="BS335" s="14" t="s">
        <v>6796</v>
      </c>
      <c r="BT335" s="14" t="str">
        <f>HYPERLINK("https%3A%2F%2Fwww.webofscience.com%2Fwos%2Fwoscc%2Ffull-record%2FWOS:000266752500026","View Full Record in Web of Science")</f>
        <v>View Full Record in Web of Science</v>
      </c>
    </row>
    <row r="336" ht="12.75" customHeight="1">
      <c r="A336" s="14" t="s">
        <v>97</v>
      </c>
      <c r="B336" s="14" t="s">
        <v>6797</v>
      </c>
      <c r="C336" s="14" t="s">
        <v>99</v>
      </c>
      <c r="D336" s="14" t="s">
        <v>99</v>
      </c>
      <c r="E336" s="14" t="s">
        <v>99</v>
      </c>
      <c r="F336" s="14" t="s">
        <v>6798</v>
      </c>
      <c r="G336" s="14" t="s">
        <v>99</v>
      </c>
      <c r="H336" s="14" t="s">
        <v>99</v>
      </c>
      <c r="I336" s="14" t="s">
        <v>6799</v>
      </c>
      <c r="J336" s="14" t="s">
        <v>6800</v>
      </c>
      <c r="K336" s="14" t="s">
        <v>99</v>
      </c>
      <c r="L336" s="14" t="s">
        <v>99</v>
      </c>
      <c r="M336" s="14" t="s">
        <v>103</v>
      </c>
      <c r="N336" s="14" t="s">
        <v>104</v>
      </c>
      <c r="O336" s="14" t="s">
        <v>99</v>
      </c>
      <c r="P336" s="14" t="s">
        <v>99</v>
      </c>
      <c r="Q336" s="14" t="s">
        <v>99</v>
      </c>
      <c r="R336" s="14" t="s">
        <v>99</v>
      </c>
      <c r="S336" s="14" t="s">
        <v>99</v>
      </c>
      <c r="T336" s="14" t="s">
        <v>6801</v>
      </c>
      <c r="U336" s="14" t="s">
        <v>6802</v>
      </c>
      <c r="V336" s="14" t="s">
        <v>6803</v>
      </c>
      <c r="W336" s="14" t="s">
        <v>6804</v>
      </c>
      <c r="X336" s="14" t="s">
        <v>6805</v>
      </c>
      <c r="Y336" s="14" t="s">
        <v>6806</v>
      </c>
      <c r="Z336" s="14" t="s">
        <v>6807</v>
      </c>
      <c r="AA336" s="14" t="s">
        <v>6808</v>
      </c>
      <c r="AB336" s="14" t="s">
        <v>6809</v>
      </c>
      <c r="AC336" s="14" t="s">
        <v>99</v>
      </c>
      <c r="AD336" s="14" t="s">
        <v>99</v>
      </c>
      <c r="AE336" s="14" t="s">
        <v>99</v>
      </c>
      <c r="AF336" s="14" t="s">
        <v>99</v>
      </c>
      <c r="AG336" s="14">
        <v>70.0</v>
      </c>
      <c r="AH336" s="14">
        <v>56.0</v>
      </c>
      <c r="AI336" s="14">
        <v>70.0</v>
      </c>
      <c r="AJ336" s="14">
        <v>8.0</v>
      </c>
      <c r="AK336" s="14">
        <v>163.0</v>
      </c>
      <c r="AL336" s="14" t="s">
        <v>1731</v>
      </c>
      <c r="AM336" s="14" t="s">
        <v>1594</v>
      </c>
      <c r="AN336" s="14" t="s">
        <v>3585</v>
      </c>
      <c r="AO336" s="14" t="s">
        <v>6810</v>
      </c>
      <c r="AP336" s="14" t="s">
        <v>6811</v>
      </c>
      <c r="AQ336" s="14" t="s">
        <v>99</v>
      </c>
      <c r="AR336" s="14" t="s">
        <v>6812</v>
      </c>
      <c r="AS336" s="14" t="s">
        <v>6813</v>
      </c>
      <c r="AT336" s="14" t="s">
        <v>525</v>
      </c>
      <c r="AU336" s="14">
        <v>2009.0</v>
      </c>
      <c r="AV336" s="14">
        <v>45.0</v>
      </c>
      <c r="AW336" s="14">
        <v>6.0</v>
      </c>
      <c r="AX336" s="14" t="s">
        <v>99</v>
      </c>
      <c r="AY336" s="14" t="s">
        <v>99</v>
      </c>
      <c r="AZ336" s="14" t="s">
        <v>99</v>
      </c>
      <c r="BA336" s="14" t="s">
        <v>99</v>
      </c>
      <c r="BB336" s="14">
        <v>595.0</v>
      </c>
      <c r="BC336" s="14">
        <v>608.0</v>
      </c>
      <c r="BD336" s="14" t="s">
        <v>99</v>
      </c>
      <c r="BE336" s="14" t="s">
        <v>6814</v>
      </c>
      <c r="BF336" s="15" t="str">
        <f>HYPERLINK("http://dx.doi.org/10.1007/s00374-009-0370-2","http://dx.doi.org/10.1007/s00374-009-0370-2")</f>
        <v>http://dx.doi.org/10.1007/s00374-009-0370-2</v>
      </c>
      <c r="BG336" s="14" t="s">
        <v>99</v>
      </c>
      <c r="BH336" s="14" t="s">
        <v>99</v>
      </c>
      <c r="BI336" s="14">
        <v>14.0</v>
      </c>
      <c r="BJ336" s="14" t="s">
        <v>6815</v>
      </c>
      <c r="BK336" s="14" t="s">
        <v>122</v>
      </c>
      <c r="BL336" s="14" t="s">
        <v>2969</v>
      </c>
      <c r="BM336" s="14" t="s">
        <v>6816</v>
      </c>
      <c r="BN336" s="14" t="s">
        <v>99</v>
      </c>
      <c r="BO336" s="14" t="s">
        <v>99</v>
      </c>
      <c r="BP336" s="14" t="s">
        <v>99</v>
      </c>
      <c r="BQ336" s="14" t="s">
        <v>99</v>
      </c>
      <c r="BR336" s="14" t="s">
        <v>124</v>
      </c>
      <c r="BS336" s="14" t="s">
        <v>6817</v>
      </c>
      <c r="BT336" s="14" t="str">
        <f>HYPERLINK("https%3A%2F%2Fwww.webofscience.com%2Fwos%2Fwoscc%2Ffull-record%2FWOS:000267540800004","View Full Record in Web of Science")</f>
        <v>View Full Record in Web of Science</v>
      </c>
    </row>
    <row r="337" ht="12.75" customHeight="1">
      <c r="A337" s="14" t="s">
        <v>97</v>
      </c>
      <c r="B337" s="14" t="s">
        <v>6818</v>
      </c>
      <c r="C337" s="14" t="s">
        <v>99</v>
      </c>
      <c r="D337" s="14" t="s">
        <v>99</v>
      </c>
      <c r="E337" s="14" t="s">
        <v>99</v>
      </c>
      <c r="F337" s="14" t="s">
        <v>6819</v>
      </c>
      <c r="G337" s="14" t="s">
        <v>99</v>
      </c>
      <c r="H337" s="14" t="s">
        <v>99</v>
      </c>
      <c r="I337" s="14" t="s">
        <v>6820</v>
      </c>
      <c r="J337" s="14" t="s">
        <v>5603</v>
      </c>
      <c r="K337" s="14" t="s">
        <v>99</v>
      </c>
      <c r="L337" s="14" t="s">
        <v>99</v>
      </c>
      <c r="M337" s="14" t="s">
        <v>103</v>
      </c>
      <c r="N337" s="14" t="s">
        <v>104</v>
      </c>
      <c r="O337" s="14" t="s">
        <v>99</v>
      </c>
      <c r="P337" s="14" t="s">
        <v>99</v>
      </c>
      <c r="Q337" s="14" t="s">
        <v>99</v>
      </c>
      <c r="R337" s="14" t="s">
        <v>99</v>
      </c>
      <c r="S337" s="14" t="s">
        <v>99</v>
      </c>
      <c r="T337" s="14" t="s">
        <v>6821</v>
      </c>
      <c r="U337" s="14" t="s">
        <v>6822</v>
      </c>
      <c r="V337" s="14" t="s">
        <v>6823</v>
      </c>
      <c r="W337" s="14" t="s">
        <v>6824</v>
      </c>
      <c r="X337" s="14" t="s">
        <v>6825</v>
      </c>
      <c r="Y337" s="14" t="s">
        <v>6826</v>
      </c>
      <c r="Z337" s="14" t="s">
        <v>6827</v>
      </c>
      <c r="AA337" s="14" t="s">
        <v>6828</v>
      </c>
      <c r="AB337" s="14" t="s">
        <v>6829</v>
      </c>
      <c r="AC337" s="14" t="s">
        <v>6830</v>
      </c>
      <c r="AD337" s="14" t="s">
        <v>6830</v>
      </c>
      <c r="AE337" s="14" t="s">
        <v>6831</v>
      </c>
      <c r="AF337" s="14" t="s">
        <v>99</v>
      </c>
      <c r="AG337" s="14">
        <v>32.0</v>
      </c>
      <c r="AH337" s="14">
        <v>30.0</v>
      </c>
      <c r="AI337" s="14">
        <v>32.0</v>
      </c>
      <c r="AJ337" s="14">
        <v>0.0</v>
      </c>
      <c r="AK337" s="14">
        <v>52.0</v>
      </c>
      <c r="AL337" s="14" t="s">
        <v>441</v>
      </c>
      <c r="AM337" s="14" t="s">
        <v>442</v>
      </c>
      <c r="AN337" s="14" t="s">
        <v>443</v>
      </c>
      <c r="AO337" s="14" t="s">
        <v>5616</v>
      </c>
      <c r="AP337" s="14" t="s">
        <v>5617</v>
      </c>
      <c r="AQ337" s="14" t="s">
        <v>99</v>
      </c>
      <c r="AR337" s="14" t="s">
        <v>5618</v>
      </c>
      <c r="AS337" s="14" t="s">
        <v>5619</v>
      </c>
      <c r="AT337" s="14" t="s">
        <v>616</v>
      </c>
      <c r="AU337" s="14">
        <v>2009.0</v>
      </c>
      <c r="AV337" s="14">
        <v>131.0</v>
      </c>
      <c r="AW337" s="14" t="s">
        <v>5620</v>
      </c>
      <c r="AX337" s="14" t="s">
        <v>99</v>
      </c>
      <c r="AY337" s="14" t="s">
        <v>99</v>
      </c>
      <c r="AZ337" s="14" t="s">
        <v>99</v>
      </c>
      <c r="BA337" s="14" t="s">
        <v>99</v>
      </c>
      <c r="BB337" s="14">
        <v>315.0</v>
      </c>
      <c r="BC337" s="14">
        <v>324.0</v>
      </c>
      <c r="BD337" s="14" t="s">
        <v>99</v>
      </c>
      <c r="BE337" s="14" t="s">
        <v>6832</v>
      </c>
      <c r="BF337" s="15" t="str">
        <f>HYPERLINK("http://dx.doi.org/10.1016/j.agee.2009.02.005","http://dx.doi.org/10.1016/j.agee.2009.02.005")</f>
        <v>http://dx.doi.org/10.1016/j.agee.2009.02.005</v>
      </c>
      <c r="BG337" s="14" t="s">
        <v>99</v>
      </c>
      <c r="BH337" s="14" t="s">
        <v>99</v>
      </c>
      <c r="BI337" s="14">
        <v>10.0</v>
      </c>
      <c r="BJ337" s="14" t="s">
        <v>5622</v>
      </c>
      <c r="BK337" s="14" t="s">
        <v>122</v>
      </c>
      <c r="BL337" s="14" t="s">
        <v>5623</v>
      </c>
      <c r="BM337" s="14" t="s">
        <v>6833</v>
      </c>
      <c r="BN337" s="14" t="s">
        <v>99</v>
      </c>
      <c r="BO337" s="14" t="s">
        <v>99</v>
      </c>
      <c r="BP337" s="14" t="s">
        <v>99</v>
      </c>
      <c r="BQ337" s="14" t="s">
        <v>99</v>
      </c>
      <c r="BR337" s="14" t="s">
        <v>124</v>
      </c>
      <c r="BS337" s="14" t="s">
        <v>6834</v>
      </c>
      <c r="BT337" s="14" t="str">
        <f>HYPERLINK("https%3A%2F%2Fwww.webofscience.com%2Fwos%2Fwoscc%2Ffull-record%2FWOS:000265556700024","View Full Record in Web of Science")</f>
        <v>View Full Record in Web of Science</v>
      </c>
    </row>
    <row r="338" ht="12.75" customHeight="1">
      <c r="A338" s="14" t="s">
        <v>97</v>
      </c>
      <c r="B338" s="14" t="s">
        <v>6835</v>
      </c>
      <c r="C338" s="14" t="s">
        <v>99</v>
      </c>
      <c r="D338" s="14" t="s">
        <v>99</v>
      </c>
      <c r="E338" s="14" t="s">
        <v>99</v>
      </c>
      <c r="F338" s="14" t="s">
        <v>6836</v>
      </c>
      <c r="G338" s="14" t="s">
        <v>99</v>
      </c>
      <c r="H338" s="14" t="s">
        <v>99</v>
      </c>
      <c r="I338" s="14" t="s">
        <v>6837</v>
      </c>
      <c r="J338" s="14" t="s">
        <v>328</v>
      </c>
      <c r="K338" s="14" t="s">
        <v>99</v>
      </c>
      <c r="L338" s="14" t="s">
        <v>99</v>
      </c>
      <c r="M338" s="14" t="s">
        <v>103</v>
      </c>
      <c r="N338" s="14" t="s">
        <v>104</v>
      </c>
      <c r="O338" s="14" t="s">
        <v>99</v>
      </c>
      <c r="P338" s="14" t="s">
        <v>99</v>
      </c>
      <c r="Q338" s="14" t="s">
        <v>99</v>
      </c>
      <c r="R338" s="14" t="s">
        <v>99</v>
      </c>
      <c r="S338" s="14" t="s">
        <v>99</v>
      </c>
      <c r="T338" s="14" t="s">
        <v>6838</v>
      </c>
      <c r="U338" s="14" t="s">
        <v>6839</v>
      </c>
      <c r="V338" s="14" t="s">
        <v>6840</v>
      </c>
      <c r="W338" s="14" t="s">
        <v>6841</v>
      </c>
      <c r="X338" s="14" t="s">
        <v>6842</v>
      </c>
      <c r="Y338" s="14" t="s">
        <v>6843</v>
      </c>
      <c r="Z338" s="14" t="s">
        <v>6844</v>
      </c>
      <c r="AA338" s="14" t="s">
        <v>6845</v>
      </c>
      <c r="AB338" s="14" t="s">
        <v>6846</v>
      </c>
      <c r="AC338" s="14" t="s">
        <v>6847</v>
      </c>
      <c r="AD338" s="14" t="s">
        <v>6848</v>
      </c>
      <c r="AE338" s="14" t="s">
        <v>6849</v>
      </c>
      <c r="AF338" s="14" t="s">
        <v>99</v>
      </c>
      <c r="AG338" s="14">
        <v>73.0</v>
      </c>
      <c r="AH338" s="14">
        <v>449.0</v>
      </c>
      <c r="AI338" s="14">
        <v>501.0</v>
      </c>
      <c r="AJ338" s="14">
        <v>2.0</v>
      </c>
      <c r="AK338" s="14">
        <v>300.0</v>
      </c>
      <c r="AL338" s="14" t="s">
        <v>341</v>
      </c>
      <c r="AM338" s="14" t="s">
        <v>342</v>
      </c>
      <c r="AN338" s="14" t="s">
        <v>343</v>
      </c>
      <c r="AO338" s="14" t="s">
        <v>344</v>
      </c>
      <c r="AP338" s="14" t="s">
        <v>345</v>
      </c>
      <c r="AQ338" s="14" t="s">
        <v>99</v>
      </c>
      <c r="AR338" s="14" t="s">
        <v>346</v>
      </c>
      <c r="AS338" s="14" t="s">
        <v>347</v>
      </c>
      <c r="AT338" s="14" t="s">
        <v>616</v>
      </c>
      <c r="AU338" s="14">
        <v>2009.0</v>
      </c>
      <c r="AV338" s="14">
        <v>15.0</v>
      </c>
      <c r="AW338" s="14">
        <v>6.0</v>
      </c>
      <c r="AX338" s="14" t="s">
        <v>99</v>
      </c>
      <c r="AY338" s="14" t="s">
        <v>99</v>
      </c>
      <c r="AZ338" s="14" t="s">
        <v>99</v>
      </c>
      <c r="BA338" s="14" t="s">
        <v>99</v>
      </c>
      <c r="BB338" s="14">
        <v>1557.0</v>
      </c>
      <c r="BC338" s="14">
        <v>1569.0</v>
      </c>
      <c r="BD338" s="14" t="s">
        <v>99</v>
      </c>
      <c r="BE338" s="14" t="s">
        <v>6850</v>
      </c>
      <c r="BF338" s="15" t="str">
        <f>HYPERLINK("http://dx.doi.org/10.1111/j.1365-2486.2008.01766.x","http://dx.doi.org/10.1111/j.1365-2486.2008.01766.x")</f>
        <v>http://dx.doi.org/10.1111/j.1365-2486.2008.01766.x</v>
      </c>
      <c r="BG338" s="14" t="s">
        <v>99</v>
      </c>
      <c r="BH338" s="14" t="s">
        <v>99</v>
      </c>
      <c r="BI338" s="14">
        <v>13.0</v>
      </c>
      <c r="BJ338" s="14" t="s">
        <v>351</v>
      </c>
      <c r="BK338" s="14" t="s">
        <v>122</v>
      </c>
      <c r="BL338" s="14" t="s">
        <v>352</v>
      </c>
      <c r="BM338" s="14" t="s">
        <v>6851</v>
      </c>
      <c r="BN338" s="14" t="s">
        <v>99</v>
      </c>
      <c r="BO338" s="14" t="s">
        <v>99</v>
      </c>
      <c r="BP338" s="14" t="s">
        <v>99</v>
      </c>
      <c r="BQ338" s="14" t="s">
        <v>99</v>
      </c>
      <c r="BR338" s="14" t="s">
        <v>124</v>
      </c>
      <c r="BS338" s="14" t="s">
        <v>6852</v>
      </c>
      <c r="BT338" s="14" t="str">
        <f>HYPERLINK("https%3A%2F%2Fwww.webofscience.com%2Fwos%2Fwoscc%2Ffull-record%2FWOS:000265771400016","View Full Record in Web of Science")</f>
        <v>View Full Record in Web of Science</v>
      </c>
    </row>
    <row r="339" ht="12.75" customHeight="1">
      <c r="A339" s="14" t="s">
        <v>97</v>
      </c>
      <c r="B339" s="14" t="s">
        <v>6853</v>
      </c>
      <c r="C339" s="14" t="s">
        <v>99</v>
      </c>
      <c r="D339" s="14" t="s">
        <v>99</v>
      </c>
      <c r="E339" s="14" t="s">
        <v>99</v>
      </c>
      <c r="F339" s="14" t="s">
        <v>6854</v>
      </c>
      <c r="G339" s="14" t="s">
        <v>99</v>
      </c>
      <c r="H339" s="14" t="s">
        <v>99</v>
      </c>
      <c r="I339" s="14" t="s">
        <v>6855</v>
      </c>
      <c r="J339" s="14" t="s">
        <v>1721</v>
      </c>
      <c r="K339" s="14" t="s">
        <v>99</v>
      </c>
      <c r="L339" s="14" t="s">
        <v>99</v>
      </c>
      <c r="M339" s="14" t="s">
        <v>103</v>
      </c>
      <c r="N339" s="14" t="s">
        <v>104</v>
      </c>
      <c r="O339" s="14" t="s">
        <v>99</v>
      </c>
      <c r="P339" s="14" t="s">
        <v>99</v>
      </c>
      <c r="Q339" s="14" t="s">
        <v>99</v>
      </c>
      <c r="R339" s="14" t="s">
        <v>99</v>
      </c>
      <c r="S339" s="14" t="s">
        <v>99</v>
      </c>
      <c r="T339" s="14" t="s">
        <v>6856</v>
      </c>
      <c r="U339" s="14" t="s">
        <v>6857</v>
      </c>
      <c r="V339" s="14" t="s">
        <v>6858</v>
      </c>
      <c r="W339" s="14" t="s">
        <v>6859</v>
      </c>
      <c r="X339" s="14" t="s">
        <v>6860</v>
      </c>
      <c r="Y339" s="14" t="s">
        <v>6861</v>
      </c>
      <c r="Z339" s="14" t="s">
        <v>6862</v>
      </c>
      <c r="AA339" s="14" t="s">
        <v>6863</v>
      </c>
      <c r="AB339" s="14" t="s">
        <v>99</v>
      </c>
      <c r="AC339" s="14" t="s">
        <v>6864</v>
      </c>
      <c r="AD339" s="14" t="s">
        <v>6864</v>
      </c>
      <c r="AE339" s="14" t="s">
        <v>6865</v>
      </c>
      <c r="AF339" s="14" t="s">
        <v>99</v>
      </c>
      <c r="AG339" s="14">
        <v>53.0</v>
      </c>
      <c r="AH339" s="14">
        <v>31.0</v>
      </c>
      <c r="AI339" s="14">
        <v>35.0</v>
      </c>
      <c r="AJ339" s="14">
        <v>1.0</v>
      </c>
      <c r="AK339" s="14">
        <v>50.0</v>
      </c>
      <c r="AL339" s="14" t="s">
        <v>1731</v>
      </c>
      <c r="AM339" s="14" t="s">
        <v>1732</v>
      </c>
      <c r="AN339" s="14" t="s">
        <v>1733</v>
      </c>
      <c r="AO339" s="14" t="s">
        <v>1734</v>
      </c>
      <c r="AP339" s="14" t="s">
        <v>1735</v>
      </c>
      <c r="AQ339" s="14" t="s">
        <v>99</v>
      </c>
      <c r="AR339" s="14" t="s">
        <v>1736</v>
      </c>
      <c r="AS339" s="14" t="s">
        <v>1737</v>
      </c>
      <c r="AT339" s="14" t="s">
        <v>640</v>
      </c>
      <c r="AU339" s="14">
        <v>2009.0</v>
      </c>
      <c r="AV339" s="14">
        <v>18.0</v>
      </c>
      <c r="AW339" s="14">
        <v>5.0</v>
      </c>
      <c r="AX339" s="14" t="s">
        <v>99</v>
      </c>
      <c r="AY339" s="14" t="s">
        <v>99</v>
      </c>
      <c r="AZ339" s="14" t="s">
        <v>99</v>
      </c>
      <c r="BA339" s="14" t="s">
        <v>99</v>
      </c>
      <c r="BB339" s="14">
        <v>1361.0</v>
      </c>
      <c r="BC339" s="14">
        <v>1373.0</v>
      </c>
      <c r="BD339" s="14" t="s">
        <v>99</v>
      </c>
      <c r="BE339" s="14" t="s">
        <v>6866</v>
      </c>
      <c r="BF339" s="15" t="str">
        <f>HYPERLINK("http://dx.doi.org/10.1007/s10531-008-9481-6","http://dx.doi.org/10.1007/s10531-008-9481-6")</f>
        <v>http://dx.doi.org/10.1007/s10531-008-9481-6</v>
      </c>
      <c r="BG339" s="14" t="s">
        <v>99</v>
      </c>
      <c r="BH339" s="14" t="s">
        <v>99</v>
      </c>
      <c r="BI339" s="14">
        <v>13.0</v>
      </c>
      <c r="BJ339" s="14" t="s">
        <v>351</v>
      </c>
      <c r="BK339" s="14" t="s">
        <v>122</v>
      </c>
      <c r="BL339" s="14" t="s">
        <v>352</v>
      </c>
      <c r="BM339" s="14" t="s">
        <v>6867</v>
      </c>
      <c r="BN339" s="14" t="s">
        <v>99</v>
      </c>
      <c r="BO339" s="14" t="s">
        <v>99</v>
      </c>
      <c r="BP339" s="14" t="s">
        <v>99</v>
      </c>
      <c r="BQ339" s="14" t="s">
        <v>99</v>
      </c>
      <c r="BR339" s="14" t="s">
        <v>124</v>
      </c>
      <c r="BS339" s="14" t="s">
        <v>6868</v>
      </c>
      <c r="BT339" s="14" t="str">
        <f>HYPERLINK("https%3A%2F%2Fwww.webofscience.com%2Fwos%2Fwoscc%2Ffull-record%2FWOS:000265939700017","View Full Record in Web of Science")</f>
        <v>View Full Record in Web of Science</v>
      </c>
    </row>
    <row r="340" ht="12.75" customHeight="1">
      <c r="A340" s="14" t="s">
        <v>97</v>
      </c>
      <c r="B340" s="14" t="s">
        <v>6869</v>
      </c>
      <c r="C340" s="14" t="s">
        <v>99</v>
      </c>
      <c r="D340" s="14" t="s">
        <v>99</v>
      </c>
      <c r="E340" s="14" t="s">
        <v>99</v>
      </c>
      <c r="F340" s="14" t="s">
        <v>6870</v>
      </c>
      <c r="G340" s="14" t="s">
        <v>99</v>
      </c>
      <c r="H340" s="14" t="s">
        <v>99</v>
      </c>
      <c r="I340" s="14" t="s">
        <v>6871</v>
      </c>
      <c r="J340" s="14" t="s">
        <v>6872</v>
      </c>
      <c r="K340" s="14" t="s">
        <v>99</v>
      </c>
      <c r="L340" s="14" t="s">
        <v>99</v>
      </c>
      <c r="M340" s="14" t="s">
        <v>103</v>
      </c>
      <c r="N340" s="14" t="s">
        <v>104</v>
      </c>
      <c r="O340" s="14" t="s">
        <v>99</v>
      </c>
      <c r="P340" s="14" t="s">
        <v>99</v>
      </c>
      <c r="Q340" s="14" t="s">
        <v>99</v>
      </c>
      <c r="R340" s="14" t="s">
        <v>99</v>
      </c>
      <c r="S340" s="14" t="s">
        <v>99</v>
      </c>
      <c r="T340" s="14" t="s">
        <v>6873</v>
      </c>
      <c r="U340" s="14" t="s">
        <v>6874</v>
      </c>
      <c r="V340" s="14" t="s">
        <v>6875</v>
      </c>
      <c r="W340" s="14" t="s">
        <v>6876</v>
      </c>
      <c r="X340" s="14" t="s">
        <v>6877</v>
      </c>
      <c r="Y340" s="14" t="s">
        <v>6878</v>
      </c>
      <c r="Z340" s="14" t="s">
        <v>6879</v>
      </c>
      <c r="AA340" s="14" t="s">
        <v>6880</v>
      </c>
      <c r="AB340" s="14" t="s">
        <v>99</v>
      </c>
      <c r="AC340" s="14" t="s">
        <v>6881</v>
      </c>
      <c r="AD340" s="14" t="s">
        <v>6882</v>
      </c>
      <c r="AE340" s="14" t="s">
        <v>6883</v>
      </c>
      <c r="AF340" s="14" t="s">
        <v>99</v>
      </c>
      <c r="AG340" s="14">
        <v>97.0</v>
      </c>
      <c r="AH340" s="14">
        <v>380.0</v>
      </c>
      <c r="AI340" s="14">
        <v>442.0</v>
      </c>
      <c r="AJ340" s="14">
        <v>1.0</v>
      </c>
      <c r="AK340" s="14">
        <v>288.0</v>
      </c>
      <c r="AL340" s="14" t="s">
        <v>341</v>
      </c>
      <c r="AM340" s="14" t="s">
        <v>342</v>
      </c>
      <c r="AN340" s="14" t="s">
        <v>343</v>
      </c>
      <c r="AO340" s="14" t="s">
        <v>6884</v>
      </c>
      <c r="AP340" s="14" t="s">
        <v>6885</v>
      </c>
      <c r="AQ340" s="14" t="s">
        <v>99</v>
      </c>
      <c r="AR340" s="14" t="s">
        <v>6872</v>
      </c>
      <c r="AS340" s="14" t="s">
        <v>259</v>
      </c>
      <c r="AT340" s="14" t="s">
        <v>640</v>
      </c>
      <c r="AU340" s="14">
        <v>2009.0</v>
      </c>
      <c r="AV340" s="14">
        <v>90.0</v>
      </c>
      <c r="AW340" s="14">
        <v>5.0</v>
      </c>
      <c r="AX340" s="14" t="s">
        <v>99</v>
      </c>
      <c r="AY340" s="14" t="s">
        <v>99</v>
      </c>
      <c r="AZ340" s="14" t="s">
        <v>99</v>
      </c>
      <c r="BA340" s="14" t="s">
        <v>99</v>
      </c>
      <c r="BB340" s="14">
        <v>1301.0</v>
      </c>
      <c r="BC340" s="14">
        <v>1313.0</v>
      </c>
      <c r="BD340" s="14" t="s">
        <v>99</v>
      </c>
      <c r="BE340" s="14" t="s">
        <v>6886</v>
      </c>
      <c r="BF340" s="15" t="str">
        <f>HYPERLINK("http://dx.doi.org/10.1890/08-0134.1","http://dx.doi.org/10.1890/08-0134.1")</f>
        <v>http://dx.doi.org/10.1890/08-0134.1</v>
      </c>
      <c r="BG340" s="14" t="s">
        <v>99</v>
      </c>
      <c r="BH340" s="14" t="s">
        <v>99</v>
      </c>
      <c r="BI340" s="14">
        <v>13.0</v>
      </c>
      <c r="BJ340" s="14" t="s">
        <v>259</v>
      </c>
      <c r="BK340" s="14" t="s">
        <v>122</v>
      </c>
      <c r="BL340" s="14" t="s">
        <v>260</v>
      </c>
      <c r="BM340" s="14" t="s">
        <v>6887</v>
      </c>
      <c r="BN340" s="14">
        <v>1.953755E7</v>
      </c>
      <c r="BO340" s="14" t="s">
        <v>99</v>
      </c>
      <c r="BP340" s="14" t="s">
        <v>99</v>
      </c>
      <c r="BQ340" s="14" t="s">
        <v>99</v>
      </c>
      <c r="BR340" s="14" t="s">
        <v>124</v>
      </c>
      <c r="BS340" s="14" t="s">
        <v>6888</v>
      </c>
      <c r="BT340" s="14" t="str">
        <f>HYPERLINK("https%3A%2F%2Fwww.webofscience.com%2Fwos%2Fwoscc%2Ffull-record%2FWOS:000265816200012","View Full Record in Web of Science")</f>
        <v>View Full Record in Web of Science</v>
      </c>
    </row>
    <row r="341" ht="12.75" customHeight="1">
      <c r="A341" s="14" t="s">
        <v>97</v>
      </c>
      <c r="B341" s="14" t="s">
        <v>6889</v>
      </c>
      <c r="C341" s="14" t="s">
        <v>99</v>
      </c>
      <c r="D341" s="14" t="s">
        <v>99</v>
      </c>
      <c r="E341" s="14" t="s">
        <v>99</v>
      </c>
      <c r="F341" s="14" t="s">
        <v>6890</v>
      </c>
      <c r="G341" s="14" t="s">
        <v>99</v>
      </c>
      <c r="H341" s="14" t="s">
        <v>99</v>
      </c>
      <c r="I341" s="14" t="s">
        <v>6891</v>
      </c>
      <c r="J341" s="14" t="s">
        <v>4070</v>
      </c>
      <c r="K341" s="14" t="s">
        <v>99</v>
      </c>
      <c r="L341" s="14" t="s">
        <v>99</v>
      </c>
      <c r="M341" s="14" t="s">
        <v>103</v>
      </c>
      <c r="N341" s="14" t="s">
        <v>104</v>
      </c>
      <c r="O341" s="14" t="s">
        <v>99</v>
      </c>
      <c r="P341" s="14" t="s">
        <v>99</v>
      </c>
      <c r="Q341" s="14" t="s">
        <v>99</v>
      </c>
      <c r="R341" s="14" t="s">
        <v>99</v>
      </c>
      <c r="S341" s="14" t="s">
        <v>99</v>
      </c>
      <c r="T341" s="14" t="s">
        <v>6892</v>
      </c>
      <c r="U341" s="14" t="s">
        <v>6893</v>
      </c>
      <c r="V341" s="14" t="s">
        <v>6894</v>
      </c>
      <c r="W341" s="14" t="s">
        <v>6895</v>
      </c>
      <c r="X341" s="14" t="s">
        <v>6896</v>
      </c>
      <c r="Y341" s="14" t="s">
        <v>6897</v>
      </c>
      <c r="Z341" s="14" t="s">
        <v>6898</v>
      </c>
      <c r="AA341" s="14" t="s">
        <v>6899</v>
      </c>
      <c r="AB341" s="14" t="s">
        <v>6900</v>
      </c>
      <c r="AC341" s="14" t="s">
        <v>6901</v>
      </c>
      <c r="AD341" s="14" t="s">
        <v>6902</v>
      </c>
      <c r="AE341" s="14" t="s">
        <v>6903</v>
      </c>
      <c r="AF341" s="14" t="s">
        <v>99</v>
      </c>
      <c r="AG341" s="14">
        <v>36.0</v>
      </c>
      <c r="AH341" s="14">
        <v>260.0</v>
      </c>
      <c r="AI341" s="14">
        <v>293.0</v>
      </c>
      <c r="AJ341" s="14">
        <v>0.0</v>
      </c>
      <c r="AK341" s="14">
        <v>238.0</v>
      </c>
      <c r="AL341" s="14" t="s">
        <v>1544</v>
      </c>
      <c r="AM341" s="14" t="s">
        <v>274</v>
      </c>
      <c r="AN341" s="14" t="s">
        <v>1545</v>
      </c>
      <c r="AO341" s="14" t="s">
        <v>4079</v>
      </c>
      <c r="AP341" s="14" t="s">
        <v>4080</v>
      </c>
      <c r="AQ341" s="14" t="s">
        <v>99</v>
      </c>
      <c r="AR341" s="14" t="s">
        <v>4081</v>
      </c>
      <c r="AS341" s="14" t="s">
        <v>4082</v>
      </c>
      <c r="AT341" s="14" t="s">
        <v>6904</v>
      </c>
      <c r="AU341" s="14">
        <v>2009.0</v>
      </c>
      <c r="AV341" s="14">
        <v>276.0</v>
      </c>
      <c r="AW341" s="14">
        <v>1661.0</v>
      </c>
      <c r="AX341" s="14" t="s">
        <v>99</v>
      </c>
      <c r="AY341" s="14" t="s">
        <v>99</v>
      </c>
      <c r="AZ341" s="14" t="s">
        <v>99</v>
      </c>
      <c r="BA341" s="14" t="s">
        <v>99</v>
      </c>
      <c r="BB341" s="14">
        <v>1415.0</v>
      </c>
      <c r="BC341" s="14">
        <v>1420.0</v>
      </c>
      <c r="BD341" s="14" t="s">
        <v>99</v>
      </c>
      <c r="BE341" s="14" t="s">
        <v>6905</v>
      </c>
      <c r="BF341" s="15" t="str">
        <f>HYPERLINK("http://dx.doi.org/10.1098/rspb.2008.1681","http://dx.doi.org/10.1098/rspb.2008.1681")</f>
        <v>http://dx.doi.org/10.1098/rspb.2008.1681</v>
      </c>
      <c r="BG341" s="14" t="s">
        <v>99</v>
      </c>
      <c r="BH341" s="14" t="s">
        <v>99</v>
      </c>
      <c r="BI341" s="14">
        <v>6.0</v>
      </c>
      <c r="BJ341" s="14" t="s">
        <v>1552</v>
      </c>
      <c r="BK341" s="14" t="s">
        <v>122</v>
      </c>
      <c r="BL341" s="14" t="s">
        <v>1553</v>
      </c>
      <c r="BM341" s="14" t="s">
        <v>6906</v>
      </c>
      <c r="BN341" s="14">
        <v>1.9324811E7</v>
      </c>
      <c r="BO341" s="14" t="s">
        <v>425</v>
      </c>
      <c r="BP341" s="14" t="s">
        <v>99</v>
      </c>
      <c r="BQ341" s="14" t="s">
        <v>99</v>
      </c>
      <c r="BR341" s="14" t="s">
        <v>124</v>
      </c>
      <c r="BS341" s="14" t="s">
        <v>6907</v>
      </c>
      <c r="BT341" s="14" t="str">
        <f>HYPERLINK("https%3A%2F%2Fwww.webofscience.com%2Fwos%2Fwoscc%2Ffull-record%2FWOS:000264351900004","View Full Record in Web of Science")</f>
        <v>View Full Record in Web of Science</v>
      </c>
    </row>
    <row r="342" ht="12.75" customHeight="1">
      <c r="A342" s="14" t="s">
        <v>97</v>
      </c>
      <c r="B342" s="14" t="s">
        <v>6908</v>
      </c>
      <c r="C342" s="14" t="s">
        <v>99</v>
      </c>
      <c r="D342" s="14" t="s">
        <v>99</v>
      </c>
      <c r="E342" s="14" t="s">
        <v>99</v>
      </c>
      <c r="F342" s="14" t="s">
        <v>6909</v>
      </c>
      <c r="G342" s="14" t="s">
        <v>99</v>
      </c>
      <c r="H342" s="14" t="s">
        <v>99</v>
      </c>
      <c r="I342" s="14" t="s">
        <v>6910</v>
      </c>
      <c r="J342" s="14" t="s">
        <v>6911</v>
      </c>
      <c r="K342" s="14" t="s">
        <v>99</v>
      </c>
      <c r="L342" s="14" t="s">
        <v>99</v>
      </c>
      <c r="M342" s="14" t="s">
        <v>103</v>
      </c>
      <c r="N342" s="14" t="s">
        <v>104</v>
      </c>
      <c r="O342" s="14" t="s">
        <v>99</v>
      </c>
      <c r="P342" s="14" t="s">
        <v>99</v>
      </c>
      <c r="Q342" s="14" t="s">
        <v>99</v>
      </c>
      <c r="R342" s="14" t="s">
        <v>99</v>
      </c>
      <c r="S342" s="14" t="s">
        <v>99</v>
      </c>
      <c r="T342" s="14" t="s">
        <v>6912</v>
      </c>
      <c r="U342" s="14" t="s">
        <v>6913</v>
      </c>
      <c r="V342" s="14" t="s">
        <v>6914</v>
      </c>
      <c r="W342" s="14" t="s">
        <v>6915</v>
      </c>
      <c r="X342" s="14" t="s">
        <v>6916</v>
      </c>
      <c r="Y342" s="14" t="s">
        <v>6917</v>
      </c>
      <c r="Z342" s="14" t="s">
        <v>6918</v>
      </c>
      <c r="AA342" s="14" t="s">
        <v>6919</v>
      </c>
      <c r="AB342" s="14" t="s">
        <v>6920</v>
      </c>
      <c r="AC342" s="14" t="s">
        <v>6921</v>
      </c>
      <c r="AD342" s="14" t="s">
        <v>6921</v>
      </c>
      <c r="AE342" s="14" t="s">
        <v>6922</v>
      </c>
      <c r="AF342" s="14" t="s">
        <v>99</v>
      </c>
      <c r="AG342" s="14">
        <v>25.0</v>
      </c>
      <c r="AH342" s="14">
        <v>35.0</v>
      </c>
      <c r="AI342" s="14">
        <v>38.0</v>
      </c>
      <c r="AJ342" s="14">
        <v>1.0</v>
      </c>
      <c r="AK342" s="14">
        <v>63.0</v>
      </c>
      <c r="AL342" s="14" t="s">
        <v>6923</v>
      </c>
      <c r="AM342" s="14" t="s">
        <v>6924</v>
      </c>
      <c r="AN342" s="14" t="s">
        <v>6925</v>
      </c>
      <c r="AO342" s="14" t="s">
        <v>6926</v>
      </c>
      <c r="AP342" s="14" t="s">
        <v>6927</v>
      </c>
      <c r="AQ342" s="14" t="s">
        <v>99</v>
      </c>
      <c r="AR342" s="14" t="s">
        <v>6928</v>
      </c>
      <c r="AS342" s="14" t="s">
        <v>6929</v>
      </c>
      <c r="AT342" s="14" t="s">
        <v>718</v>
      </c>
      <c r="AU342" s="14">
        <v>2009.0</v>
      </c>
      <c r="AV342" s="14">
        <v>39.0</v>
      </c>
      <c r="AW342" s="14">
        <v>1.0</v>
      </c>
      <c r="AX342" s="14" t="s">
        <v>99</v>
      </c>
      <c r="AY342" s="14" t="s">
        <v>99</v>
      </c>
      <c r="AZ342" s="14" t="s">
        <v>99</v>
      </c>
      <c r="BA342" s="14" t="s">
        <v>99</v>
      </c>
      <c r="BB342" s="14">
        <v>70.0</v>
      </c>
      <c r="BC342" s="14">
        <v>84.0</v>
      </c>
      <c r="BD342" s="14" t="s">
        <v>99</v>
      </c>
      <c r="BE342" s="14" t="s">
        <v>6930</v>
      </c>
      <c r="BF342" s="15" t="str">
        <f>HYPERLINK("http://dx.doi.org/10.3957/056.039.0108","http://dx.doi.org/10.3957/056.039.0108")</f>
        <v>http://dx.doi.org/10.3957/056.039.0108</v>
      </c>
      <c r="BG342" s="14" t="s">
        <v>99</v>
      </c>
      <c r="BH342" s="14" t="s">
        <v>99</v>
      </c>
      <c r="BI342" s="14">
        <v>15.0</v>
      </c>
      <c r="BJ342" s="14" t="s">
        <v>189</v>
      </c>
      <c r="BK342" s="14" t="s">
        <v>122</v>
      </c>
      <c r="BL342" s="14" t="s">
        <v>190</v>
      </c>
      <c r="BM342" s="14" t="s">
        <v>6931</v>
      </c>
      <c r="BN342" s="14" t="s">
        <v>99</v>
      </c>
      <c r="BO342" s="14" t="s">
        <v>99</v>
      </c>
      <c r="BP342" s="14" t="s">
        <v>99</v>
      </c>
      <c r="BQ342" s="14" t="s">
        <v>99</v>
      </c>
      <c r="BR342" s="14" t="s">
        <v>124</v>
      </c>
      <c r="BS342" s="14" t="s">
        <v>6932</v>
      </c>
      <c r="BT342" s="14" t="str">
        <f>HYPERLINK("https%3A%2F%2Fwww.webofscience.com%2Fwos%2Fwoscc%2Ffull-record%2FWOS:000269692700008","View Full Record in Web of Science")</f>
        <v>View Full Record in Web of Science</v>
      </c>
    </row>
    <row r="343" ht="12.75" customHeight="1">
      <c r="A343" s="14" t="s">
        <v>97</v>
      </c>
      <c r="B343" s="14" t="s">
        <v>6933</v>
      </c>
      <c r="C343" s="14" t="s">
        <v>99</v>
      </c>
      <c r="D343" s="14" t="s">
        <v>99</v>
      </c>
      <c r="E343" s="14" t="s">
        <v>99</v>
      </c>
      <c r="F343" s="14" t="s">
        <v>6934</v>
      </c>
      <c r="G343" s="14" t="s">
        <v>99</v>
      </c>
      <c r="H343" s="14" t="s">
        <v>99</v>
      </c>
      <c r="I343" s="14" t="s">
        <v>6935</v>
      </c>
      <c r="J343" s="14" t="s">
        <v>4736</v>
      </c>
      <c r="K343" s="14" t="s">
        <v>99</v>
      </c>
      <c r="L343" s="14" t="s">
        <v>99</v>
      </c>
      <c r="M343" s="14" t="s">
        <v>103</v>
      </c>
      <c r="N343" s="14" t="s">
        <v>104</v>
      </c>
      <c r="O343" s="14" t="s">
        <v>99</v>
      </c>
      <c r="P343" s="14" t="s">
        <v>99</v>
      </c>
      <c r="Q343" s="14" t="s">
        <v>99</v>
      </c>
      <c r="R343" s="14" t="s">
        <v>99</v>
      </c>
      <c r="S343" s="14" t="s">
        <v>99</v>
      </c>
      <c r="T343" s="14" t="s">
        <v>6936</v>
      </c>
      <c r="U343" s="14" t="s">
        <v>6937</v>
      </c>
      <c r="V343" s="14" t="s">
        <v>6938</v>
      </c>
      <c r="W343" s="14" t="s">
        <v>6939</v>
      </c>
      <c r="X343" s="14" t="s">
        <v>6940</v>
      </c>
      <c r="Y343" s="14" t="s">
        <v>6941</v>
      </c>
      <c r="Z343" s="14" t="s">
        <v>6942</v>
      </c>
      <c r="AA343" s="14" t="s">
        <v>6943</v>
      </c>
      <c r="AB343" s="14" t="s">
        <v>6944</v>
      </c>
      <c r="AC343" s="14" t="s">
        <v>6945</v>
      </c>
      <c r="AD343" s="14" t="s">
        <v>6946</v>
      </c>
      <c r="AE343" s="14" t="s">
        <v>6947</v>
      </c>
      <c r="AF343" s="14" t="s">
        <v>99</v>
      </c>
      <c r="AG343" s="14">
        <v>50.0</v>
      </c>
      <c r="AH343" s="14">
        <v>38.0</v>
      </c>
      <c r="AI343" s="14">
        <v>40.0</v>
      </c>
      <c r="AJ343" s="14">
        <v>0.0</v>
      </c>
      <c r="AK343" s="14">
        <v>25.0</v>
      </c>
      <c r="AL343" s="14" t="s">
        <v>1731</v>
      </c>
      <c r="AM343" s="14" t="s">
        <v>1732</v>
      </c>
      <c r="AN343" s="14" t="s">
        <v>1733</v>
      </c>
      <c r="AO343" s="14" t="s">
        <v>4748</v>
      </c>
      <c r="AP343" s="14" t="s">
        <v>4749</v>
      </c>
      <c r="AQ343" s="14" t="s">
        <v>99</v>
      </c>
      <c r="AR343" s="14" t="s">
        <v>4750</v>
      </c>
      <c r="AS343" s="14" t="s">
        <v>4751</v>
      </c>
      <c r="AT343" s="14" t="s">
        <v>1485</v>
      </c>
      <c r="AU343" s="14">
        <v>2009.0</v>
      </c>
      <c r="AV343" s="14">
        <v>201.0</v>
      </c>
      <c r="AW343" s="14">
        <v>1.0</v>
      </c>
      <c r="AX343" s="14" t="s">
        <v>99</v>
      </c>
      <c r="AY343" s="14" t="s">
        <v>99</v>
      </c>
      <c r="AZ343" s="14" t="s">
        <v>99</v>
      </c>
      <c r="BA343" s="14" t="s">
        <v>99</v>
      </c>
      <c r="BB343" s="14">
        <v>211.0</v>
      </c>
      <c r="BC343" s="14">
        <v>220.0</v>
      </c>
      <c r="BD343" s="14" t="s">
        <v>99</v>
      </c>
      <c r="BE343" s="14" t="s">
        <v>6948</v>
      </c>
      <c r="BF343" s="15" t="str">
        <f>HYPERLINK("http://dx.doi.org/10.1007/s11258-008-9490-2","http://dx.doi.org/10.1007/s11258-008-9490-2")</f>
        <v>http://dx.doi.org/10.1007/s11258-008-9490-2</v>
      </c>
      <c r="BG343" s="14" t="s">
        <v>99</v>
      </c>
      <c r="BH343" s="14" t="s">
        <v>99</v>
      </c>
      <c r="BI343" s="14">
        <v>10.0</v>
      </c>
      <c r="BJ343" s="14" t="s">
        <v>1141</v>
      </c>
      <c r="BK343" s="14" t="s">
        <v>122</v>
      </c>
      <c r="BL343" s="14" t="s">
        <v>1142</v>
      </c>
      <c r="BM343" s="14" t="s">
        <v>6949</v>
      </c>
      <c r="BN343" s="14" t="s">
        <v>99</v>
      </c>
      <c r="BO343" s="14" t="s">
        <v>99</v>
      </c>
      <c r="BP343" s="14" t="s">
        <v>99</v>
      </c>
      <c r="BQ343" s="14" t="s">
        <v>99</v>
      </c>
      <c r="BR343" s="14" t="s">
        <v>124</v>
      </c>
      <c r="BS343" s="14" t="s">
        <v>6950</v>
      </c>
      <c r="BT343" s="14" t="str">
        <f>HYPERLINK("https%3A%2F%2Fwww.webofscience.com%2Fwos%2Fwoscc%2Ffull-record%2FWOS:000263175800016","View Full Record in Web of Science")</f>
        <v>View Full Record in Web of Science</v>
      </c>
    </row>
    <row r="344" ht="12.75" customHeight="1">
      <c r="A344" s="14" t="s">
        <v>97</v>
      </c>
      <c r="B344" s="14" t="s">
        <v>6951</v>
      </c>
      <c r="C344" s="14" t="s">
        <v>99</v>
      </c>
      <c r="D344" s="14" t="s">
        <v>99</v>
      </c>
      <c r="E344" s="14" t="s">
        <v>99</v>
      </c>
      <c r="F344" s="14" t="s">
        <v>6952</v>
      </c>
      <c r="G344" s="14" t="s">
        <v>99</v>
      </c>
      <c r="H344" s="14" t="s">
        <v>99</v>
      </c>
      <c r="I344" s="14" t="s">
        <v>6953</v>
      </c>
      <c r="J344" s="14" t="s">
        <v>6954</v>
      </c>
      <c r="K344" s="14" t="s">
        <v>99</v>
      </c>
      <c r="L344" s="14" t="s">
        <v>99</v>
      </c>
      <c r="M344" s="14" t="s">
        <v>103</v>
      </c>
      <c r="N344" s="14" t="s">
        <v>104</v>
      </c>
      <c r="O344" s="14" t="s">
        <v>99</v>
      </c>
      <c r="P344" s="14" t="s">
        <v>99</v>
      </c>
      <c r="Q344" s="14" t="s">
        <v>99</v>
      </c>
      <c r="R344" s="14" t="s">
        <v>99</v>
      </c>
      <c r="S344" s="14" t="s">
        <v>99</v>
      </c>
      <c r="T344" s="14" t="s">
        <v>6955</v>
      </c>
      <c r="U344" s="14" t="s">
        <v>6956</v>
      </c>
      <c r="V344" s="14" t="s">
        <v>6957</v>
      </c>
      <c r="W344" s="14" t="s">
        <v>6958</v>
      </c>
      <c r="X344" s="14" t="s">
        <v>6959</v>
      </c>
      <c r="Y344" s="14" t="s">
        <v>6960</v>
      </c>
      <c r="Z344" s="14" t="s">
        <v>6961</v>
      </c>
      <c r="AA344" s="14" t="s">
        <v>6962</v>
      </c>
      <c r="AB344" s="14" t="s">
        <v>6963</v>
      </c>
      <c r="AC344" s="14" t="s">
        <v>6964</v>
      </c>
      <c r="AD344" s="14" t="s">
        <v>6965</v>
      </c>
      <c r="AE344" s="14" t="s">
        <v>6966</v>
      </c>
      <c r="AF344" s="14" t="s">
        <v>99</v>
      </c>
      <c r="AG344" s="14">
        <v>56.0</v>
      </c>
      <c r="AH344" s="14">
        <v>145.0</v>
      </c>
      <c r="AI344" s="14">
        <v>163.0</v>
      </c>
      <c r="AJ344" s="14">
        <v>1.0</v>
      </c>
      <c r="AK344" s="14">
        <v>88.0</v>
      </c>
      <c r="AL344" s="14" t="s">
        <v>6967</v>
      </c>
      <c r="AM344" s="14" t="s">
        <v>1348</v>
      </c>
      <c r="AN344" s="14" t="s">
        <v>6968</v>
      </c>
      <c r="AO344" s="14" t="s">
        <v>6969</v>
      </c>
      <c r="AP344" s="14" t="s">
        <v>6970</v>
      </c>
      <c r="AQ344" s="14" t="s">
        <v>99</v>
      </c>
      <c r="AR344" s="14" t="s">
        <v>6971</v>
      </c>
      <c r="AS344" s="14" t="s">
        <v>6972</v>
      </c>
      <c r="AT344" s="14" t="s">
        <v>1485</v>
      </c>
      <c r="AU344" s="14">
        <v>2009.0</v>
      </c>
      <c r="AV344" s="14">
        <v>71.0</v>
      </c>
      <c r="AW344" s="14">
        <v>1.0</v>
      </c>
      <c r="AX344" s="14" t="s">
        <v>99</v>
      </c>
      <c r="AY344" s="14" t="s">
        <v>99</v>
      </c>
      <c r="AZ344" s="14" t="s">
        <v>99</v>
      </c>
      <c r="BA344" s="14" t="s">
        <v>99</v>
      </c>
      <c r="BB344" s="14">
        <v>3.0</v>
      </c>
      <c r="BC344" s="14">
        <v>14.0</v>
      </c>
      <c r="BD344" s="14" t="s">
        <v>99</v>
      </c>
      <c r="BE344" s="14" t="s">
        <v>6973</v>
      </c>
      <c r="BF344" s="15" t="str">
        <f>HYPERLINK("http://dx.doi.org/10.1007/s00027-009-9159-5","http://dx.doi.org/10.1007/s00027-009-9159-5")</f>
        <v>http://dx.doi.org/10.1007/s00027-009-9159-5</v>
      </c>
      <c r="BG344" s="14" t="s">
        <v>99</v>
      </c>
      <c r="BH344" s="14" t="s">
        <v>99</v>
      </c>
      <c r="BI344" s="14">
        <v>12.0</v>
      </c>
      <c r="BJ344" s="14" t="s">
        <v>2121</v>
      </c>
      <c r="BK344" s="14" t="s">
        <v>122</v>
      </c>
      <c r="BL344" s="14" t="s">
        <v>397</v>
      </c>
      <c r="BM344" s="14" t="s">
        <v>6974</v>
      </c>
      <c r="BN344" s="14" t="s">
        <v>99</v>
      </c>
      <c r="BO344" s="14" t="s">
        <v>99</v>
      </c>
      <c r="BP344" s="14" t="s">
        <v>99</v>
      </c>
      <c r="BQ344" s="14" t="s">
        <v>99</v>
      </c>
      <c r="BR344" s="14" t="s">
        <v>124</v>
      </c>
      <c r="BS344" s="14" t="s">
        <v>6975</v>
      </c>
      <c r="BT344" s="14" t="str">
        <f>HYPERLINK("https%3A%2F%2Fwww.webofscience.com%2Fwos%2Fwoscc%2Ffull-record%2FWOS:000265087700002","View Full Record in Web of Science")</f>
        <v>View Full Record in Web of Science</v>
      </c>
    </row>
    <row r="345" ht="12.75" customHeight="1">
      <c r="A345" s="14" t="s">
        <v>97</v>
      </c>
      <c r="B345" s="14" t="s">
        <v>6976</v>
      </c>
      <c r="C345" s="14" t="s">
        <v>99</v>
      </c>
      <c r="D345" s="14" t="s">
        <v>99</v>
      </c>
      <c r="E345" s="14" t="s">
        <v>99</v>
      </c>
      <c r="F345" s="14" t="s">
        <v>6977</v>
      </c>
      <c r="G345" s="14" t="s">
        <v>99</v>
      </c>
      <c r="H345" s="14" t="s">
        <v>99</v>
      </c>
      <c r="I345" s="14" t="s">
        <v>6978</v>
      </c>
      <c r="J345" s="14" t="s">
        <v>3355</v>
      </c>
      <c r="K345" s="14" t="s">
        <v>99</v>
      </c>
      <c r="L345" s="14" t="s">
        <v>99</v>
      </c>
      <c r="M345" s="14" t="s">
        <v>103</v>
      </c>
      <c r="N345" s="14" t="s">
        <v>104</v>
      </c>
      <c r="O345" s="14" t="s">
        <v>99</v>
      </c>
      <c r="P345" s="14" t="s">
        <v>99</v>
      </c>
      <c r="Q345" s="14" t="s">
        <v>99</v>
      </c>
      <c r="R345" s="14" t="s">
        <v>99</v>
      </c>
      <c r="S345" s="14" t="s">
        <v>99</v>
      </c>
      <c r="T345" s="14" t="s">
        <v>99</v>
      </c>
      <c r="U345" s="14" t="s">
        <v>6979</v>
      </c>
      <c r="V345" s="14" t="s">
        <v>6980</v>
      </c>
      <c r="W345" s="14" t="s">
        <v>6981</v>
      </c>
      <c r="X345" s="14" t="s">
        <v>6982</v>
      </c>
      <c r="Y345" s="14" t="s">
        <v>6983</v>
      </c>
      <c r="Z345" s="14" t="s">
        <v>6984</v>
      </c>
      <c r="AA345" s="14" t="s">
        <v>6985</v>
      </c>
      <c r="AB345" s="14" t="s">
        <v>6986</v>
      </c>
      <c r="AC345" s="14" t="s">
        <v>6987</v>
      </c>
      <c r="AD345" s="14" t="s">
        <v>6988</v>
      </c>
      <c r="AE345" s="14" t="s">
        <v>6989</v>
      </c>
      <c r="AF345" s="14" t="s">
        <v>99</v>
      </c>
      <c r="AG345" s="14">
        <v>55.0</v>
      </c>
      <c r="AH345" s="14">
        <v>239.0</v>
      </c>
      <c r="AI345" s="14">
        <v>267.0</v>
      </c>
      <c r="AJ345" s="14">
        <v>2.0</v>
      </c>
      <c r="AK345" s="14">
        <v>122.0</v>
      </c>
      <c r="AL345" s="14" t="s">
        <v>341</v>
      </c>
      <c r="AM345" s="14" t="s">
        <v>342</v>
      </c>
      <c r="AN345" s="14" t="s">
        <v>343</v>
      </c>
      <c r="AO345" s="14" t="s">
        <v>3367</v>
      </c>
      <c r="AP345" s="14" t="s">
        <v>3368</v>
      </c>
      <c r="AQ345" s="14" t="s">
        <v>99</v>
      </c>
      <c r="AR345" s="14" t="s">
        <v>3355</v>
      </c>
      <c r="AS345" s="14" t="s">
        <v>3369</v>
      </c>
      <c r="AT345" s="14" t="s">
        <v>280</v>
      </c>
      <c r="AU345" s="14">
        <v>2009.0</v>
      </c>
      <c r="AV345" s="14">
        <v>32.0</v>
      </c>
      <c r="AW345" s="14">
        <v>1.0</v>
      </c>
      <c r="AX345" s="14" t="s">
        <v>99</v>
      </c>
      <c r="AY345" s="14" t="s">
        <v>99</v>
      </c>
      <c r="AZ345" s="14" t="s">
        <v>99</v>
      </c>
      <c r="BA345" s="14" t="s">
        <v>99</v>
      </c>
      <c r="BB345" s="14">
        <v>34.0</v>
      </c>
      <c r="BC345" s="14">
        <v>45.0</v>
      </c>
      <c r="BD345" s="14" t="s">
        <v>99</v>
      </c>
      <c r="BE345" s="14" t="s">
        <v>6990</v>
      </c>
      <c r="BF345" s="15" t="str">
        <f>HYPERLINK("http://dx.doi.org/10.1111/j.1600-0587.2009.05789.x","http://dx.doi.org/10.1111/j.1600-0587.2009.05789.x")</f>
        <v>http://dx.doi.org/10.1111/j.1600-0587.2009.05789.x</v>
      </c>
      <c r="BG345" s="14" t="s">
        <v>99</v>
      </c>
      <c r="BH345" s="14" t="s">
        <v>99</v>
      </c>
      <c r="BI345" s="14">
        <v>12.0</v>
      </c>
      <c r="BJ345" s="14" t="s">
        <v>550</v>
      </c>
      <c r="BK345" s="14" t="s">
        <v>122</v>
      </c>
      <c r="BL345" s="14" t="s">
        <v>352</v>
      </c>
      <c r="BM345" s="14" t="s">
        <v>6991</v>
      </c>
      <c r="BN345" s="14" t="s">
        <v>99</v>
      </c>
      <c r="BO345" s="14" t="s">
        <v>6992</v>
      </c>
      <c r="BP345" s="14" t="s">
        <v>99</v>
      </c>
      <c r="BQ345" s="14" t="s">
        <v>99</v>
      </c>
      <c r="BR345" s="14" t="s">
        <v>124</v>
      </c>
      <c r="BS345" s="14" t="s">
        <v>6993</v>
      </c>
      <c r="BT345" s="14" t="str">
        <f>HYPERLINK("https%3A%2F%2Fwww.webofscience.com%2Fwos%2Fwoscc%2Ffull-record%2FWOS:000264880300005","View Full Record in Web of Science")</f>
        <v>View Full Record in Web of Science</v>
      </c>
    </row>
    <row r="346" ht="12.75" customHeight="1">
      <c r="A346" s="14" t="s">
        <v>284</v>
      </c>
      <c r="B346" s="14" t="s">
        <v>6933</v>
      </c>
      <c r="C346" s="14" t="s">
        <v>99</v>
      </c>
      <c r="D346" s="14" t="s">
        <v>6994</v>
      </c>
      <c r="E346" s="14" t="s">
        <v>99</v>
      </c>
      <c r="F346" s="14" t="s">
        <v>6934</v>
      </c>
      <c r="G346" s="14" t="s">
        <v>99</v>
      </c>
      <c r="H346" s="14" t="s">
        <v>99</v>
      </c>
      <c r="I346" s="14" t="s">
        <v>6935</v>
      </c>
      <c r="J346" s="14" t="s">
        <v>6995</v>
      </c>
      <c r="K346" s="14" t="s">
        <v>99</v>
      </c>
      <c r="L346" s="14" t="s">
        <v>99</v>
      </c>
      <c r="M346" s="14" t="s">
        <v>103</v>
      </c>
      <c r="N346" s="14" t="s">
        <v>291</v>
      </c>
      <c r="O346" s="14" t="s">
        <v>99</v>
      </c>
      <c r="P346" s="14" t="s">
        <v>99</v>
      </c>
      <c r="Q346" s="14" t="s">
        <v>99</v>
      </c>
      <c r="R346" s="14" t="s">
        <v>99</v>
      </c>
      <c r="S346" s="14" t="s">
        <v>99</v>
      </c>
      <c r="T346" s="14" t="s">
        <v>6936</v>
      </c>
      <c r="U346" s="14" t="s">
        <v>6937</v>
      </c>
      <c r="V346" s="14" t="s">
        <v>6938</v>
      </c>
      <c r="W346" s="14" t="s">
        <v>6996</v>
      </c>
      <c r="X346" s="14" t="s">
        <v>6997</v>
      </c>
      <c r="Y346" s="14" t="s">
        <v>6941</v>
      </c>
      <c r="Z346" s="14" t="s">
        <v>6942</v>
      </c>
      <c r="AA346" s="14" t="s">
        <v>6943</v>
      </c>
      <c r="AB346" s="14" t="s">
        <v>6944</v>
      </c>
      <c r="AC346" s="14" t="s">
        <v>99</v>
      </c>
      <c r="AD346" s="14" t="s">
        <v>99</v>
      </c>
      <c r="AE346" s="14" t="s">
        <v>99</v>
      </c>
      <c r="AF346" s="14" t="s">
        <v>99</v>
      </c>
      <c r="AG346" s="14">
        <v>50.0</v>
      </c>
      <c r="AH346" s="14">
        <v>38.0</v>
      </c>
      <c r="AI346" s="14">
        <v>40.0</v>
      </c>
      <c r="AJ346" s="14">
        <v>0.0</v>
      </c>
      <c r="AK346" s="14">
        <v>25.0</v>
      </c>
      <c r="AL346" s="14" t="s">
        <v>1731</v>
      </c>
      <c r="AM346" s="14" t="s">
        <v>1594</v>
      </c>
      <c r="AN346" s="14" t="s">
        <v>6998</v>
      </c>
      <c r="AO346" s="14" t="s">
        <v>99</v>
      </c>
      <c r="AP346" s="14" t="s">
        <v>99</v>
      </c>
      <c r="AQ346" s="14" t="s">
        <v>6999</v>
      </c>
      <c r="AR346" s="14" t="s">
        <v>99</v>
      </c>
      <c r="AS346" s="14" t="s">
        <v>99</v>
      </c>
      <c r="AT346" s="14" t="s">
        <v>99</v>
      </c>
      <c r="AU346" s="14">
        <v>2009.0</v>
      </c>
      <c r="AV346" s="14" t="s">
        <v>99</v>
      </c>
      <c r="AW346" s="14" t="s">
        <v>99</v>
      </c>
      <c r="AX346" s="14" t="s">
        <v>99</v>
      </c>
      <c r="AY346" s="14" t="s">
        <v>99</v>
      </c>
      <c r="AZ346" s="14" t="s">
        <v>99</v>
      </c>
      <c r="BA346" s="14" t="s">
        <v>99</v>
      </c>
      <c r="BB346" s="14">
        <v>211.0</v>
      </c>
      <c r="BC346" s="14">
        <v>220.0</v>
      </c>
      <c r="BD346" s="14" t="s">
        <v>99</v>
      </c>
      <c r="BE346" s="14" t="s">
        <v>7000</v>
      </c>
      <c r="BF346" s="15" t="str">
        <f>HYPERLINK("http://dx.doi.org/10.1007/978-90-481-2795-5_16","http://dx.doi.org/10.1007/978-90-481-2795-5_16")</f>
        <v>http://dx.doi.org/10.1007/978-90-481-2795-5_16</v>
      </c>
      <c r="BG346" s="14" t="s">
        <v>7001</v>
      </c>
      <c r="BH346" s="14" t="s">
        <v>99</v>
      </c>
      <c r="BI346" s="14">
        <v>10.0</v>
      </c>
      <c r="BJ346" s="14" t="s">
        <v>7002</v>
      </c>
      <c r="BK346" s="14" t="s">
        <v>302</v>
      </c>
      <c r="BL346" s="14" t="s">
        <v>7003</v>
      </c>
      <c r="BM346" s="14" t="s">
        <v>7004</v>
      </c>
      <c r="BN346" s="14" t="s">
        <v>99</v>
      </c>
      <c r="BO346" s="14" t="s">
        <v>99</v>
      </c>
      <c r="BP346" s="14" t="s">
        <v>99</v>
      </c>
      <c r="BQ346" s="14" t="s">
        <v>99</v>
      </c>
      <c r="BR346" s="14" t="s">
        <v>124</v>
      </c>
      <c r="BS346" s="14" t="s">
        <v>7005</v>
      </c>
      <c r="BT346" s="14" t="str">
        <f>HYPERLINK("https%3A%2F%2Fwww.webofscience.com%2Fwos%2Fwoscc%2Ffull-record%2FWOS:000271018900016","View Full Record in Web of Science")</f>
        <v>View Full Record in Web of Science</v>
      </c>
    </row>
    <row r="347" ht="12.75" customHeight="1">
      <c r="A347" s="14" t="s">
        <v>97</v>
      </c>
      <c r="B347" s="14" t="s">
        <v>7006</v>
      </c>
      <c r="C347" s="14" t="s">
        <v>99</v>
      </c>
      <c r="D347" s="14" t="s">
        <v>99</v>
      </c>
      <c r="E347" s="14" t="s">
        <v>99</v>
      </c>
      <c r="F347" s="14" t="s">
        <v>7007</v>
      </c>
      <c r="G347" s="14" t="s">
        <v>99</v>
      </c>
      <c r="H347" s="14" t="s">
        <v>99</v>
      </c>
      <c r="I347" s="14" t="s">
        <v>7008</v>
      </c>
      <c r="J347" s="14" t="s">
        <v>3750</v>
      </c>
      <c r="K347" s="14" t="s">
        <v>99</v>
      </c>
      <c r="L347" s="14" t="s">
        <v>99</v>
      </c>
      <c r="M347" s="14" t="s">
        <v>103</v>
      </c>
      <c r="N347" s="14" t="s">
        <v>104</v>
      </c>
      <c r="O347" s="14" t="s">
        <v>99</v>
      </c>
      <c r="P347" s="14" t="s">
        <v>99</v>
      </c>
      <c r="Q347" s="14" t="s">
        <v>99</v>
      </c>
      <c r="R347" s="14" t="s">
        <v>99</v>
      </c>
      <c r="S347" s="14" t="s">
        <v>99</v>
      </c>
      <c r="T347" s="14" t="s">
        <v>7009</v>
      </c>
      <c r="U347" s="14" t="s">
        <v>7010</v>
      </c>
      <c r="V347" s="14" t="s">
        <v>7011</v>
      </c>
      <c r="W347" s="14" t="s">
        <v>7012</v>
      </c>
      <c r="X347" s="14" t="s">
        <v>4817</v>
      </c>
      <c r="Y347" s="14" t="s">
        <v>7013</v>
      </c>
      <c r="Z347" s="14" t="s">
        <v>7014</v>
      </c>
      <c r="AA347" s="14" t="s">
        <v>7015</v>
      </c>
      <c r="AB347" s="14" t="s">
        <v>7016</v>
      </c>
      <c r="AC347" s="14" t="s">
        <v>7017</v>
      </c>
      <c r="AD347" s="14" t="s">
        <v>7018</v>
      </c>
      <c r="AE347" s="14" t="s">
        <v>7019</v>
      </c>
      <c r="AF347" s="14" t="s">
        <v>99</v>
      </c>
      <c r="AG347" s="14">
        <v>40.0</v>
      </c>
      <c r="AH347" s="14">
        <v>23.0</v>
      </c>
      <c r="AI347" s="14">
        <v>27.0</v>
      </c>
      <c r="AJ347" s="14">
        <v>2.0</v>
      </c>
      <c r="AK347" s="14">
        <v>77.0</v>
      </c>
      <c r="AL347" s="14" t="s">
        <v>2917</v>
      </c>
      <c r="AM347" s="14" t="s">
        <v>2918</v>
      </c>
      <c r="AN347" s="14" t="s">
        <v>2919</v>
      </c>
      <c r="AO347" s="14" t="s">
        <v>3762</v>
      </c>
      <c r="AP347" s="14" t="s">
        <v>3763</v>
      </c>
      <c r="AQ347" s="14" t="s">
        <v>99</v>
      </c>
      <c r="AR347" s="14" t="s">
        <v>3764</v>
      </c>
      <c r="AS347" s="14" t="s">
        <v>3765</v>
      </c>
      <c r="AT347" s="14" t="s">
        <v>99</v>
      </c>
      <c r="AU347" s="14">
        <v>2009.0</v>
      </c>
      <c r="AV347" s="14">
        <v>10.0</v>
      </c>
      <c r="AW347" s="14">
        <v>8.0</v>
      </c>
      <c r="AX347" s="14" t="s">
        <v>99</v>
      </c>
      <c r="AY347" s="14" t="s">
        <v>99</v>
      </c>
      <c r="AZ347" s="14" t="s">
        <v>99</v>
      </c>
      <c r="BA347" s="14" t="s">
        <v>99</v>
      </c>
      <c r="BB347" s="14">
        <v>687.0</v>
      </c>
      <c r="BC347" s="14">
        <v>696.0</v>
      </c>
      <c r="BD347" s="14" t="s">
        <v>99</v>
      </c>
      <c r="BE347" s="14" t="s">
        <v>7020</v>
      </c>
      <c r="BF347" s="15" t="str">
        <f>HYPERLINK("http://dx.doi.org/10.1016/j.baae.2009.09.001","http://dx.doi.org/10.1016/j.baae.2009.09.001")</f>
        <v>http://dx.doi.org/10.1016/j.baae.2009.09.001</v>
      </c>
      <c r="BG347" s="14" t="s">
        <v>99</v>
      </c>
      <c r="BH347" s="14" t="s">
        <v>99</v>
      </c>
      <c r="BI347" s="14">
        <v>10.0</v>
      </c>
      <c r="BJ347" s="14" t="s">
        <v>259</v>
      </c>
      <c r="BK347" s="14" t="s">
        <v>122</v>
      </c>
      <c r="BL347" s="14" t="s">
        <v>260</v>
      </c>
      <c r="BM347" s="14" t="s">
        <v>7021</v>
      </c>
      <c r="BN347" s="14" t="s">
        <v>99</v>
      </c>
      <c r="BO347" s="14" t="s">
        <v>99</v>
      </c>
      <c r="BP347" s="14" t="s">
        <v>99</v>
      </c>
      <c r="BQ347" s="14" t="s">
        <v>99</v>
      </c>
      <c r="BR347" s="14" t="s">
        <v>124</v>
      </c>
      <c r="BS347" s="14" t="s">
        <v>7022</v>
      </c>
      <c r="BT347" s="14" t="str">
        <f>HYPERLINK("https%3A%2F%2Fwww.webofscience.com%2Fwos%2Fwoscc%2Ffull-record%2FWOS:000273694600001","View Full Record in Web of Science")</f>
        <v>View Full Record in Web of Science</v>
      </c>
    </row>
    <row r="348" ht="12.75" customHeight="1">
      <c r="A348" s="14" t="s">
        <v>97</v>
      </c>
      <c r="B348" s="14" t="s">
        <v>7023</v>
      </c>
      <c r="C348" s="14" t="s">
        <v>99</v>
      </c>
      <c r="D348" s="14" t="s">
        <v>99</v>
      </c>
      <c r="E348" s="14" t="s">
        <v>99</v>
      </c>
      <c r="F348" s="14" t="s">
        <v>7024</v>
      </c>
      <c r="G348" s="14" t="s">
        <v>99</v>
      </c>
      <c r="H348" s="14" t="s">
        <v>99</v>
      </c>
      <c r="I348" s="14" t="s">
        <v>7025</v>
      </c>
      <c r="J348" s="14" t="s">
        <v>3750</v>
      </c>
      <c r="K348" s="14" t="s">
        <v>99</v>
      </c>
      <c r="L348" s="14" t="s">
        <v>99</v>
      </c>
      <c r="M348" s="14" t="s">
        <v>103</v>
      </c>
      <c r="N348" s="14" t="s">
        <v>104</v>
      </c>
      <c r="O348" s="14" t="s">
        <v>99</v>
      </c>
      <c r="P348" s="14" t="s">
        <v>99</v>
      </c>
      <c r="Q348" s="14" t="s">
        <v>99</v>
      </c>
      <c r="R348" s="14" t="s">
        <v>99</v>
      </c>
      <c r="S348" s="14" t="s">
        <v>99</v>
      </c>
      <c r="T348" s="14" t="s">
        <v>7026</v>
      </c>
      <c r="U348" s="14" t="s">
        <v>7027</v>
      </c>
      <c r="V348" s="14" t="s">
        <v>7028</v>
      </c>
      <c r="W348" s="14" t="s">
        <v>7029</v>
      </c>
      <c r="X348" s="14" t="s">
        <v>7030</v>
      </c>
      <c r="Y348" s="14" t="s">
        <v>7031</v>
      </c>
      <c r="Z348" s="14" t="s">
        <v>7032</v>
      </c>
      <c r="AA348" s="14" t="s">
        <v>99</v>
      </c>
      <c r="AB348" s="14" t="s">
        <v>99</v>
      </c>
      <c r="AC348" s="14" t="s">
        <v>7033</v>
      </c>
      <c r="AD348" s="14" t="s">
        <v>7034</v>
      </c>
      <c r="AE348" s="14" t="s">
        <v>7035</v>
      </c>
      <c r="AF348" s="14" t="s">
        <v>99</v>
      </c>
      <c r="AG348" s="14">
        <v>36.0</v>
      </c>
      <c r="AH348" s="14">
        <v>79.0</v>
      </c>
      <c r="AI348" s="14">
        <v>89.0</v>
      </c>
      <c r="AJ348" s="14">
        <v>0.0</v>
      </c>
      <c r="AK348" s="14">
        <v>93.0</v>
      </c>
      <c r="AL348" s="14" t="s">
        <v>7036</v>
      </c>
      <c r="AM348" s="14" t="s">
        <v>7037</v>
      </c>
      <c r="AN348" s="14" t="s">
        <v>7038</v>
      </c>
      <c r="AO348" s="14" t="s">
        <v>3762</v>
      </c>
      <c r="AP348" s="14" t="s">
        <v>99</v>
      </c>
      <c r="AQ348" s="14" t="s">
        <v>99</v>
      </c>
      <c r="AR348" s="14" t="s">
        <v>3764</v>
      </c>
      <c r="AS348" s="14" t="s">
        <v>3765</v>
      </c>
      <c r="AT348" s="14" t="s">
        <v>99</v>
      </c>
      <c r="AU348" s="14">
        <v>2009.0</v>
      </c>
      <c r="AV348" s="14">
        <v>10.0</v>
      </c>
      <c r="AW348" s="14">
        <v>5.0</v>
      </c>
      <c r="AX348" s="14" t="s">
        <v>99</v>
      </c>
      <c r="AY348" s="14" t="s">
        <v>99</v>
      </c>
      <c r="AZ348" s="14" t="s">
        <v>99</v>
      </c>
      <c r="BA348" s="14" t="s">
        <v>99</v>
      </c>
      <c r="BB348" s="14">
        <v>447.0</v>
      </c>
      <c r="BC348" s="14">
        <v>455.0</v>
      </c>
      <c r="BD348" s="14" t="s">
        <v>99</v>
      </c>
      <c r="BE348" s="14" t="s">
        <v>7039</v>
      </c>
      <c r="BF348" s="15" t="str">
        <f>HYPERLINK("http://dx.doi.org/10.1016/j.baae.2008.10.004","http://dx.doi.org/10.1016/j.baae.2008.10.004")</f>
        <v>http://dx.doi.org/10.1016/j.baae.2008.10.004</v>
      </c>
      <c r="BG348" s="14" t="s">
        <v>99</v>
      </c>
      <c r="BH348" s="14" t="s">
        <v>99</v>
      </c>
      <c r="BI348" s="14">
        <v>9.0</v>
      </c>
      <c r="BJ348" s="14" t="s">
        <v>259</v>
      </c>
      <c r="BK348" s="14" t="s">
        <v>122</v>
      </c>
      <c r="BL348" s="14" t="s">
        <v>260</v>
      </c>
      <c r="BM348" s="14" t="s">
        <v>7040</v>
      </c>
      <c r="BN348" s="14" t="s">
        <v>99</v>
      </c>
      <c r="BO348" s="14" t="s">
        <v>99</v>
      </c>
      <c r="BP348" s="14" t="s">
        <v>99</v>
      </c>
      <c r="BQ348" s="14" t="s">
        <v>99</v>
      </c>
      <c r="BR348" s="14" t="s">
        <v>124</v>
      </c>
      <c r="BS348" s="14" t="s">
        <v>7041</v>
      </c>
      <c r="BT348" s="14" t="str">
        <f>HYPERLINK("https%3A%2F%2Fwww.webofscience.com%2Fwos%2Fwoscc%2Ffull-record%2FWOS:000268839500007","View Full Record in Web of Science")</f>
        <v>View Full Record in Web of Science</v>
      </c>
    </row>
    <row r="349" ht="12.75" customHeight="1">
      <c r="A349" s="14" t="s">
        <v>97</v>
      </c>
      <c r="B349" s="14" t="s">
        <v>7042</v>
      </c>
      <c r="C349" s="14" t="s">
        <v>99</v>
      </c>
      <c r="D349" s="14" t="s">
        <v>99</v>
      </c>
      <c r="E349" s="14" t="s">
        <v>99</v>
      </c>
      <c r="F349" s="14" t="s">
        <v>7043</v>
      </c>
      <c r="G349" s="14" t="s">
        <v>99</v>
      </c>
      <c r="H349" s="14" t="s">
        <v>99</v>
      </c>
      <c r="I349" s="14" t="s">
        <v>7044</v>
      </c>
      <c r="J349" s="14" t="s">
        <v>673</v>
      </c>
      <c r="K349" s="14" t="s">
        <v>99</v>
      </c>
      <c r="L349" s="14" t="s">
        <v>99</v>
      </c>
      <c r="M349" s="14" t="s">
        <v>103</v>
      </c>
      <c r="N349" s="14" t="s">
        <v>104</v>
      </c>
      <c r="O349" s="14" t="s">
        <v>99</v>
      </c>
      <c r="P349" s="14" t="s">
        <v>99</v>
      </c>
      <c r="Q349" s="14" t="s">
        <v>99</v>
      </c>
      <c r="R349" s="14" t="s">
        <v>99</v>
      </c>
      <c r="S349" s="14" t="s">
        <v>99</v>
      </c>
      <c r="T349" s="14" t="s">
        <v>99</v>
      </c>
      <c r="U349" s="14" t="s">
        <v>7045</v>
      </c>
      <c r="V349" s="14" t="s">
        <v>7046</v>
      </c>
      <c r="W349" s="14" t="s">
        <v>7047</v>
      </c>
      <c r="X349" s="14" t="s">
        <v>7048</v>
      </c>
      <c r="Y349" s="14" t="s">
        <v>7049</v>
      </c>
      <c r="Z349" s="14" t="s">
        <v>7050</v>
      </c>
      <c r="AA349" s="14" t="s">
        <v>7051</v>
      </c>
      <c r="AB349" s="14" t="s">
        <v>7052</v>
      </c>
      <c r="AC349" s="14" t="s">
        <v>7053</v>
      </c>
      <c r="AD349" s="14" t="s">
        <v>7053</v>
      </c>
      <c r="AE349" s="14" t="s">
        <v>7054</v>
      </c>
      <c r="AF349" s="14" t="s">
        <v>99</v>
      </c>
      <c r="AG349" s="14">
        <v>72.0</v>
      </c>
      <c r="AH349" s="14">
        <v>35.0</v>
      </c>
      <c r="AI349" s="14">
        <v>37.0</v>
      </c>
      <c r="AJ349" s="14">
        <v>0.0</v>
      </c>
      <c r="AK349" s="14">
        <v>48.0</v>
      </c>
      <c r="AL349" s="14" t="s">
        <v>685</v>
      </c>
      <c r="AM349" s="14" t="s">
        <v>686</v>
      </c>
      <c r="AN349" s="14" t="s">
        <v>687</v>
      </c>
      <c r="AO349" s="14" t="s">
        <v>688</v>
      </c>
      <c r="AP349" s="14" t="s">
        <v>99</v>
      </c>
      <c r="AQ349" s="14" t="s">
        <v>99</v>
      </c>
      <c r="AR349" s="14" t="s">
        <v>689</v>
      </c>
      <c r="AS349" s="14" t="s">
        <v>690</v>
      </c>
      <c r="AT349" s="14" t="s">
        <v>99</v>
      </c>
      <c r="AU349" s="14">
        <v>2009.0</v>
      </c>
      <c r="AV349" s="14">
        <v>2.0</v>
      </c>
      <c r="AW349" s="14">
        <v>1.0</v>
      </c>
      <c r="AX349" s="14" t="s">
        <v>99</v>
      </c>
      <c r="AY349" s="14" t="s">
        <v>99</v>
      </c>
      <c r="AZ349" s="14" t="s">
        <v>99</v>
      </c>
      <c r="BA349" s="14" t="s">
        <v>99</v>
      </c>
      <c r="BB349" s="14">
        <v>70.0</v>
      </c>
      <c r="BC349" s="14">
        <v>87.0</v>
      </c>
      <c r="BD349" s="14" t="s">
        <v>99</v>
      </c>
      <c r="BE349" s="14" t="s">
        <v>7055</v>
      </c>
      <c r="BF349" s="15" t="str">
        <f>HYPERLINK("http://dx.doi.org/10.1177/194008290900200108","http://dx.doi.org/10.1177/194008290900200108")</f>
        <v>http://dx.doi.org/10.1177/194008290900200108</v>
      </c>
      <c r="BG349" s="14" t="s">
        <v>99</v>
      </c>
      <c r="BH349" s="14" t="s">
        <v>99</v>
      </c>
      <c r="BI349" s="14">
        <v>18.0</v>
      </c>
      <c r="BJ349" s="14" t="s">
        <v>693</v>
      </c>
      <c r="BK349" s="14" t="s">
        <v>122</v>
      </c>
      <c r="BL349" s="14" t="s">
        <v>694</v>
      </c>
      <c r="BM349" s="14" t="s">
        <v>7056</v>
      </c>
      <c r="BN349" s="14" t="s">
        <v>99</v>
      </c>
      <c r="BO349" s="14" t="s">
        <v>99</v>
      </c>
      <c r="BP349" s="14" t="s">
        <v>99</v>
      </c>
      <c r="BQ349" s="14" t="s">
        <v>99</v>
      </c>
      <c r="BR349" s="14" t="s">
        <v>124</v>
      </c>
      <c r="BS349" s="14" t="s">
        <v>7057</v>
      </c>
      <c r="BT349" s="14" t="str">
        <f>HYPERLINK("https%3A%2F%2Fwww.webofscience.com%2Fwos%2Fwoscc%2Ffull-record%2FWOS:000208241500007","View Full Record in Web of Science")</f>
        <v>View Full Record in Web of Science</v>
      </c>
    </row>
    <row r="350" ht="12.75" customHeight="1">
      <c r="A350" s="14" t="s">
        <v>97</v>
      </c>
      <c r="B350" s="14" t="s">
        <v>7058</v>
      </c>
      <c r="C350" s="14" t="s">
        <v>99</v>
      </c>
      <c r="D350" s="14" t="s">
        <v>99</v>
      </c>
      <c r="E350" s="14" t="s">
        <v>99</v>
      </c>
      <c r="F350" s="14" t="s">
        <v>7059</v>
      </c>
      <c r="G350" s="14" t="s">
        <v>99</v>
      </c>
      <c r="H350" s="14" t="s">
        <v>99</v>
      </c>
      <c r="I350" s="14" t="s">
        <v>7060</v>
      </c>
      <c r="J350" s="14" t="s">
        <v>5708</v>
      </c>
      <c r="K350" s="14" t="s">
        <v>99</v>
      </c>
      <c r="L350" s="14" t="s">
        <v>99</v>
      </c>
      <c r="M350" s="14" t="s">
        <v>103</v>
      </c>
      <c r="N350" s="14" t="s">
        <v>104</v>
      </c>
      <c r="O350" s="14" t="s">
        <v>99</v>
      </c>
      <c r="P350" s="14" t="s">
        <v>99</v>
      </c>
      <c r="Q350" s="14" t="s">
        <v>99</v>
      </c>
      <c r="R350" s="14" t="s">
        <v>99</v>
      </c>
      <c r="S350" s="14" t="s">
        <v>99</v>
      </c>
      <c r="T350" s="14" t="s">
        <v>7061</v>
      </c>
      <c r="U350" s="14" t="s">
        <v>7062</v>
      </c>
      <c r="V350" s="14" t="s">
        <v>7063</v>
      </c>
      <c r="W350" s="14" t="s">
        <v>7064</v>
      </c>
      <c r="X350" s="14" t="s">
        <v>7065</v>
      </c>
      <c r="Y350" s="14" t="s">
        <v>7066</v>
      </c>
      <c r="Z350" s="14" t="s">
        <v>7067</v>
      </c>
      <c r="AA350" s="14" t="s">
        <v>7068</v>
      </c>
      <c r="AB350" s="14" t="s">
        <v>7069</v>
      </c>
      <c r="AC350" s="14" t="s">
        <v>7070</v>
      </c>
      <c r="AD350" s="14" t="s">
        <v>7071</v>
      </c>
      <c r="AE350" s="14" t="s">
        <v>7072</v>
      </c>
      <c r="AF350" s="14" t="s">
        <v>99</v>
      </c>
      <c r="AG350" s="14">
        <v>52.0</v>
      </c>
      <c r="AH350" s="14">
        <v>93.0</v>
      </c>
      <c r="AI350" s="14">
        <v>127.0</v>
      </c>
      <c r="AJ350" s="14">
        <v>1.0</v>
      </c>
      <c r="AK350" s="14">
        <v>59.0</v>
      </c>
      <c r="AL350" s="14" t="s">
        <v>341</v>
      </c>
      <c r="AM350" s="14" t="s">
        <v>342</v>
      </c>
      <c r="AN350" s="14" t="s">
        <v>343</v>
      </c>
      <c r="AO350" s="14" t="s">
        <v>5719</v>
      </c>
      <c r="AP350" s="14" t="s">
        <v>5720</v>
      </c>
      <c r="AQ350" s="14" t="s">
        <v>99</v>
      </c>
      <c r="AR350" s="14" t="s">
        <v>5721</v>
      </c>
      <c r="AS350" s="14" t="s">
        <v>5722</v>
      </c>
      <c r="AT350" s="14" t="s">
        <v>1058</v>
      </c>
      <c r="AU350" s="14">
        <v>2008.0</v>
      </c>
      <c r="AV350" s="14">
        <v>46.0</v>
      </c>
      <c r="AW350" s="14">
        <v>4.0</v>
      </c>
      <c r="AX350" s="14" t="s">
        <v>99</v>
      </c>
      <c r="AY350" s="14" t="s">
        <v>99</v>
      </c>
      <c r="AZ350" s="14" t="s">
        <v>99</v>
      </c>
      <c r="BA350" s="14" t="s">
        <v>99</v>
      </c>
      <c r="BB350" s="14">
        <v>479.0</v>
      </c>
      <c r="BC350" s="14">
        <v>487.0</v>
      </c>
      <c r="BD350" s="14" t="s">
        <v>99</v>
      </c>
      <c r="BE350" s="14" t="s">
        <v>7073</v>
      </c>
      <c r="BF350" s="15" t="str">
        <f>HYPERLINK("http://dx.doi.org/10.1111/j.1365-2028.2007.00881.x","http://dx.doi.org/10.1111/j.1365-2028.2007.00881.x")</f>
        <v>http://dx.doi.org/10.1111/j.1365-2028.2007.00881.x</v>
      </c>
      <c r="BG350" s="14" t="s">
        <v>99</v>
      </c>
      <c r="BH350" s="14" t="s">
        <v>99</v>
      </c>
      <c r="BI350" s="14">
        <v>9.0</v>
      </c>
      <c r="BJ350" s="14" t="s">
        <v>259</v>
      </c>
      <c r="BK350" s="14" t="s">
        <v>122</v>
      </c>
      <c r="BL350" s="14" t="s">
        <v>260</v>
      </c>
      <c r="BM350" s="14" t="s">
        <v>7074</v>
      </c>
      <c r="BN350" s="14" t="s">
        <v>99</v>
      </c>
      <c r="BO350" s="14" t="s">
        <v>99</v>
      </c>
      <c r="BP350" s="14" t="s">
        <v>99</v>
      </c>
      <c r="BQ350" s="14" t="s">
        <v>99</v>
      </c>
      <c r="BR350" s="14" t="s">
        <v>124</v>
      </c>
      <c r="BS350" s="14" t="s">
        <v>7075</v>
      </c>
      <c r="BT350" s="14" t="str">
        <f>HYPERLINK("https%3A%2F%2Fwww.webofscience.com%2Fwos%2Fwoscc%2Ffull-record%2FWOS:000261243500004","View Full Record in Web of Science")</f>
        <v>View Full Record in Web of Science</v>
      </c>
    </row>
    <row r="351" ht="12.75" customHeight="1">
      <c r="A351" s="14" t="s">
        <v>97</v>
      </c>
      <c r="B351" s="14" t="s">
        <v>7076</v>
      </c>
      <c r="C351" s="14" t="s">
        <v>99</v>
      </c>
      <c r="D351" s="14" t="s">
        <v>99</v>
      </c>
      <c r="E351" s="14" t="s">
        <v>99</v>
      </c>
      <c r="F351" s="14" t="s">
        <v>7077</v>
      </c>
      <c r="G351" s="14" t="s">
        <v>99</v>
      </c>
      <c r="H351" s="14" t="s">
        <v>99</v>
      </c>
      <c r="I351" s="14" t="s">
        <v>7078</v>
      </c>
      <c r="J351" s="14" t="s">
        <v>6872</v>
      </c>
      <c r="K351" s="14" t="s">
        <v>99</v>
      </c>
      <c r="L351" s="14" t="s">
        <v>99</v>
      </c>
      <c r="M351" s="14" t="s">
        <v>103</v>
      </c>
      <c r="N351" s="14" t="s">
        <v>104</v>
      </c>
      <c r="O351" s="14" t="s">
        <v>99</v>
      </c>
      <c r="P351" s="14" t="s">
        <v>99</v>
      </c>
      <c r="Q351" s="14" t="s">
        <v>99</v>
      </c>
      <c r="R351" s="14" t="s">
        <v>99</v>
      </c>
      <c r="S351" s="14" t="s">
        <v>99</v>
      </c>
      <c r="T351" s="14" t="s">
        <v>7079</v>
      </c>
      <c r="U351" s="14" t="s">
        <v>7080</v>
      </c>
      <c r="V351" s="14" t="s">
        <v>7081</v>
      </c>
      <c r="W351" s="14" t="s">
        <v>7082</v>
      </c>
      <c r="X351" s="14" t="s">
        <v>7083</v>
      </c>
      <c r="Y351" s="14" t="s">
        <v>7084</v>
      </c>
      <c r="Z351" s="14" t="s">
        <v>7085</v>
      </c>
      <c r="AA351" s="14" t="s">
        <v>7086</v>
      </c>
      <c r="AB351" s="14" t="s">
        <v>7087</v>
      </c>
      <c r="AC351" s="14" t="s">
        <v>7088</v>
      </c>
      <c r="AD351" s="14" t="s">
        <v>7089</v>
      </c>
      <c r="AE351" s="14" t="s">
        <v>7090</v>
      </c>
      <c r="AF351" s="14" t="s">
        <v>99</v>
      </c>
      <c r="AG351" s="14">
        <v>49.0</v>
      </c>
      <c r="AH351" s="14">
        <v>334.0</v>
      </c>
      <c r="AI351" s="14">
        <v>384.0</v>
      </c>
      <c r="AJ351" s="14">
        <v>1.0</v>
      </c>
      <c r="AK351" s="14">
        <v>203.0</v>
      </c>
      <c r="AL351" s="14" t="s">
        <v>7091</v>
      </c>
      <c r="AM351" s="14" t="s">
        <v>789</v>
      </c>
      <c r="AN351" s="14" t="s">
        <v>7092</v>
      </c>
      <c r="AO351" s="14" t="s">
        <v>6884</v>
      </c>
      <c r="AP351" s="14" t="s">
        <v>6885</v>
      </c>
      <c r="AQ351" s="14" t="s">
        <v>99</v>
      </c>
      <c r="AR351" s="14" t="s">
        <v>6872</v>
      </c>
      <c r="AS351" s="14" t="s">
        <v>259</v>
      </c>
      <c r="AT351" s="14" t="s">
        <v>1058</v>
      </c>
      <c r="AU351" s="14">
        <v>2008.0</v>
      </c>
      <c r="AV351" s="14">
        <v>89.0</v>
      </c>
      <c r="AW351" s="14">
        <v>12.0</v>
      </c>
      <c r="AX351" s="14" t="s">
        <v>99</v>
      </c>
      <c r="AY351" s="14" t="s">
        <v>99</v>
      </c>
      <c r="AZ351" s="14" t="s">
        <v>99</v>
      </c>
      <c r="BA351" s="14" t="s">
        <v>99</v>
      </c>
      <c r="BB351" s="14">
        <v>3472.0</v>
      </c>
      <c r="BC351" s="14">
        <v>3479.0</v>
      </c>
      <c r="BD351" s="14" t="s">
        <v>99</v>
      </c>
      <c r="BE351" s="14" t="s">
        <v>7093</v>
      </c>
      <c r="BF351" s="15" t="str">
        <f>HYPERLINK("http://dx.doi.org/10.1890/07-1748.1","http://dx.doi.org/10.1890/07-1748.1")</f>
        <v>http://dx.doi.org/10.1890/07-1748.1</v>
      </c>
      <c r="BG351" s="14" t="s">
        <v>99</v>
      </c>
      <c r="BH351" s="14" t="s">
        <v>99</v>
      </c>
      <c r="BI351" s="14">
        <v>8.0</v>
      </c>
      <c r="BJ351" s="14" t="s">
        <v>259</v>
      </c>
      <c r="BK351" s="14" t="s">
        <v>122</v>
      </c>
      <c r="BL351" s="14" t="s">
        <v>260</v>
      </c>
      <c r="BM351" s="14" t="s">
        <v>7094</v>
      </c>
      <c r="BN351" s="14">
        <v>1.9137952E7</v>
      </c>
      <c r="BO351" s="14" t="s">
        <v>99</v>
      </c>
      <c r="BP351" s="14" t="s">
        <v>99</v>
      </c>
      <c r="BQ351" s="14" t="s">
        <v>99</v>
      </c>
      <c r="BR351" s="14" t="s">
        <v>124</v>
      </c>
      <c r="BS351" s="14" t="s">
        <v>7095</v>
      </c>
      <c r="BT351" s="14" t="str">
        <f>HYPERLINK("https%3A%2F%2Fwww.webofscience.com%2Fwos%2Fwoscc%2Ffull-record%2FWOS:000261524000021","View Full Record in Web of Science")</f>
        <v>View Full Record in Web of Science</v>
      </c>
    </row>
    <row r="352" ht="12.75" customHeight="1">
      <c r="A352" s="14" t="s">
        <v>97</v>
      </c>
      <c r="B352" s="14" t="s">
        <v>7096</v>
      </c>
      <c r="C352" s="14" t="s">
        <v>99</v>
      </c>
      <c r="D352" s="14" t="s">
        <v>99</v>
      </c>
      <c r="E352" s="14" t="s">
        <v>99</v>
      </c>
      <c r="F352" s="14" t="s">
        <v>7097</v>
      </c>
      <c r="G352" s="14" t="s">
        <v>99</v>
      </c>
      <c r="H352" s="14" t="s">
        <v>99</v>
      </c>
      <c r="I352" s="14" t="s">
        <v>7098</v>
      </c>
      <c r="J352" s="14" t="s">
        <v>7099</v>
      </c>
      <c r="K352" s="14" t="s">
        <v>99</v>
      </c>
      <c r="L352" s="14" t="s">
        <v>99</v>
      </c>
      <c r="M352" s="14" t="s">
        <v>103</v>
      </c>
      <c r="N352" s="14" t="s">
        <v>104</v>
      </c>
      <c r="O352" s="14" t="s">
        <v>99</v>
      </c>
      <c r="P352" s="14" t="s">
        <v>99</v>
      </c>
      <c r="Q352" s="14" t="s">
        <v>99</v>
      </c>
      <c r="R352" s="14" t="s">
        <v>99</v>
      </c>
      <c r="S352" s="14" t="s">
        <v>99</v>
      </c>
      <c r="T352" s="14" t="s">
        <v>99</v>
      </c>
      <c r="U352" s="14" t="s">
        <v>7100</v>
      </c>
      <c r="V352" s="14" t="s">
        <v>7101</v>
      </c>
      <c r="W352" s="14" t="s">
        <v>7102</v>
      </c>
      <c r="X352" s="14" t="s">
        <v>7103</v>
      </c>
      <c r="Y352" s="14" t="s">
        <v>7104</v>
      </c>
      <c r="Z352" s="14" t="s">
        <v>7105</v>
      </c>
      <c r="AA352" s="14" t="s">
        <v>7106</v>
      </c>
      <c r="AB352" s="14" t="s">
        <v>99</v>
      </c>
      <c r="AC352" s="14" t="s">
        <v>99</v>
      </c>
      <c r="AD352" s="14" t="s">
        <v>99</v>
      </c>
      <c r="AE352" s="14" t="s">
        <v>99</v>
      </c>
      <c r="AF352" s="14" t="s">
        <v>99</v>
      </c>
      <c r="AG352" s="14">
        <v>61.0</v>
      </c>
      <c r="AH352" s="14">
        <v>7.0</v>
      </c>
      <c r="AI352" s="14">
        <v>9.0</v>
      </c>
      <c r="AJ352" s="14">
        <v>0.0</v>
      </c>
      <c r="AK352" s="14">
        <v>31.0</v>
      </c>
      <c r="AL352" s="14" t="s">
        <v>7107</v>
      </c>
      <c r="AM352" s="14" t="s">
        <v>7108</v>
      </c>
      <c r="AN352" s="14" t="s">
        <v>7109</v>
      </c>
      <c r="AO352" s="14" t="s">
        <v>7110</v>
      </c>
      <c r="AP352" s="14" t="s">
        <v>7111</v>
      </c>
      <c r="AQ352" s="14" t="s">
        <v>99</v>
      </c>
      <c r="AR352" s="14" t="s">
        <v>7112</v>
      </c>
      <c r="AS352" s="14" t="s">
        <v>7113</v>
      </c>
      <c r="AT352" s="14" t="s">
        <v>1058</v>
      </c>
      <c r="AU352" s="14">
        <v>2008.0</v>
      </c>
      <c r="AV352" s="14">
        <v>53.0</v>
      </c>
      <c r="AW352" s="14">
        <v>4.0</v>
      </c>
      <c r="AX352" s="14" t="s">
        <v>99</v>
      </c>
      <c r="AY352" s="14" t="s">
        <v>99</v>
      </c>
      <c r="AZ352" s="14" t="s">
        <v>99</v>
      </c>
      <c r="BA352" s="14" t="s">
        <v>99</v>
      </c>
      <c r="BB352" s="14">
        <v>431.0</v>
      </c>
      <c r="BC352" s="14">
        <v>443.0</v>
      </c>
      <c r="BD352" s="14" t="s">
        <v>99</v>
      </c>
      <c r="BE352" s="14" t="s">
        <v>7114</v>
      </c>
      <c r="BF352" s="15" t="str">
        <f>HYPERLINK("http://dx.doi.org/10.1894/CLG-10.1","http://dx.doi.org/10.1894/CLG-10.1")</f>
        <v>http://dx.doi.org/10.1894/CLG-10.1</v>
      </c>
      <c r="BG352" s="14" t="s">
        <v>99</v>
      </c>
      <c r="BH352" s="14" t="s">
        <v>99</v>
      </c>
      <c r="BI352" s="14">
        <v>13.0</v>
      </c>
      <c r="BJ352" s="14" t="s">
        <v>550</v>
      </c>
      <c r="BK352" s="14" t="s">
        <v>122</v>
      </c>
      <c r="BL352" s="14" t="s">
        <v>352</v>
      </c>
      <c r="BM352" s="14" t="s">
        <v>7115</v>
      </c>
      <c r="BN352" s="14" t="s">
        <v>99</v>
      </c>
      <c r="BO352" s="14" t="s">
        <v>99</v>
      </c>
      <c r="BP352" s="14" t="s">
        <v>99</v>
      </c>
      <c r="BQ352" s="14" t="s">
        <v>99</v>
      </c>
      <c r="BR352" s="14" t="s">
        <v>124</v>
      </c>
      <c r="BS352" s="14" t="s">
        <v>7116</v>
      </c>
      <c r="BT352" s="14" t="str">
        <f>HYPERLINK("https%3A%2F%2Fwww.webofscience.com%2Fwos%2Fwoscc%2Ffull-record%2FWOS:000261752100002","View Full Record in Web of Science")</f>
        <v>View Full Record in Web of Science</v>
      </c>
    </row>
    <row r="353" ht="12.75" customHeight="1">
      <c r="A353" s="14" t="s">
        <v>97</v>
      </c>
      <c r="B353" s="14" t="s">
        <v>7117</v>
      </c>
      <c r="C353" s="14" t="s">
        <v>99</v>
      </c>
      <c r="D353" s="14" t="s">
        <v>99</v>
      </c>
      <c r="E353" s="14" t="s">
        <v>99</v>
      </c>
      <c r="F353" s="14" t="s">
        <v>7118</v>
      </c>
      <c r="G353" s="14" t="s">
        <v>99</v>
      </c>
      <c r="H353" s="14" t="s">
        <v>99</v>
      </c>
      <c r="I353" s="14" t="s">
        <v>7119</v>
      </c>
      <c r="J353" s="14" t="s">
        <v>404</v>
      </c>
      <c r="K353" s="14" t="s">
        <v>99</v>
      </c>
      <c r="L353" s="14" t="s">
        <v>99</v>
      </c>
      <c r="M353" s="14" t="s">
        <v>103</v>
      </c>
      <c r="N353" s="14" t="s">
        <v>104</v>
      </c>
      <c r="O353" s="14" t="s">
        <v>99</v>
      </c>
      <c r="P353" s="14" t="s">
        <v>99</v>
      </c>
      <c r="Q353" s="14" t="s">
        <v>99</v>
      </c>
      <c r="R353" s="14" t="s">
        <v>99</v>
      </c>
      <c r="S353" s="14" t="s">
        <v>99</v>
      </c>
      <c r="T353" s="14" t="s">
        <v>7120</v>
      </c>
      <c r="U353" s="14" t="s">
        <v>7121</v>
      </c>
      <c r="V353" s="14" t="s">
        <v>7122</v>
      </c>
      <c r="W353" s="14" t="s">
        <v>7123</v>
      </c>
      <c r="X353" s="14" t="s">
        <v>7124</v>
      </c>
      <c r="Y353" s="14" t="s">
        <v>7125</v>
      </c>
      <c r="Z353" s="14" t="s">
        <v>7126</v>
      </c>
      <c r="AA353" s="14" t="s">
        <v>99</v>
      </c>
      <c r="AB353" s="14" t="s">
        <v>99</v>
      </c>
      <c r="AC353" s="14" t="s">
        <v>7127</v>
      </c>
      <c r="AD353" s="14" t="s">
        <v>7128</v>
      </c>
      <c r="AE353" s="14" t="s">
        <v>7129</v>
      </c>
      <c r="AF353" s="14" t="s">
        <v>99</v>
      </c>
      <c r="AG353" s="14">
        <v>82.0</v>
      </c>
      <c r="AH353" s="14">
        <v>24.0</v>
      </c>
      <c r="AI353" s="14">
        <v>26.0</v>
      </c>
      <c r="AJ353" s="14">
        <v>0.0</v>
      </c>
      <c r="AK353" s="14">
        <v>25.0</v>
      </c>
      <c r="AL353" s="14" t="s">
        <v>341</v>
      </c>
      <c r="AM353" s="14" t="s">
        <v>342</v>
      </c>
      <c r="AN353" s="14" t="s">
        <v>343</v>
      </c>
      <c r="AO353" s="14" t="s">
        <v>417</v>
      </c>
      <c r="AP353" s="14" t="s">
        <v>418</v>
      </c>
      <c r="AQ353" s="14" t="s">
        <v>99</v>
      </c>
      <c r="AR353" s="14" t="s">
        <v>419</v>
      </c>
      <c r="AS353" s="14" t="s">
        <v>420</v>
      </c>
      <c r="AT353" s="14" t="s">
        <v>1058</v>
      </c>
      <c r="AU353" s="14">
        <v>2008.0</v>
      </c>
      <c r="AV353" s="14">
        <v>18.0</v>
      </c>
      <c r="AW353" s="14">
        <v>8.0</v>
      </c>
      <c r="AX353" s="14" t="s">
        <v>99</v>
      </c>
      <c r="AY353" s="14" t="s">
        <v>99</v>
      </c>
      <c r="AZ353" s="14" t="s">
        <v>99</v>
      </c>
      <c r="BA353" s="14" t="s">
        <v>99</v>
      </c>
      <c r="BB353" s="14">
        <v>1932.0</v>
      </c>
      <c r="BC353" s="14">
        <v>1955.0</v>
      </c>
      <c r="BD353" s="14" t="s">
        <v>99</v>
      </c>
      <c r="BE353" s="14" t="s">
        <v>7130</v>
      </c>
      <c r="BF353" s="15" t="str">
        <f>HYPERLINK("http://dx.doi.org/10.1890/07-1254.1","http://dx.doi.org/10.1890/07-1254.1")</f>
        <v>http://dx.doi.org/10.1890/07-1254.1</v>
      </c>
      <c r="BG353" s="14" t="s">
        <v>99</v>
      </c>
      <c r="BH353" s="14" t="s">
        <v>99</v>
      </c>
      <c r="BI353" s="14">
        <v>24.0</v>
      </c>
      <c r="BJ353" s="14" t="s">
        <v>423</v>
      </c>
      <c r="BK353" s="14" t="s">
        <v>122</v>
      </c>
      <c r="BL353" s="14" t="s">
        <v>260</v>
      </c>
      <c r="BM353" s="14" t="s">
        <v>7131</v>
      </c>
      <c r="BN353" s="14">
        <v>1.9263889E7</v>
      </c>
      <c r="BO353" s="14" t="s">
        <v>99</v>
      </c>
      <c r="BP353" s="14" t="s">
        <v>99</v>
      </c>
      <c r="BQ353" s="14" t="s">
        <v>99</v>
      </c>
      <c r="BR353" s="14" t="s">
        <v>124</v>
      </c>
      <c r="BS353" s="14" t="s">
        <v>7132</v>
      </c>
      <c r="BT353" s="14" t="str">
        <f>HYPERLINK("https%3A%2F%2Fwww.webofscience.com%2Fwos%2Fwoscc%2Ffull-record%2FWOS:000262605500010","View Full Record in Web of Science")</f>
        <v>View Full Record in Web of Science</v>
      </c>
    </row>
    <row r="354" ht="12.75" customHeight="1">
      <c r="A354" s="14" t="s">
        <v>97</v>
      </c>
      <c r="B354" s="14" t="s">
        <v>7133</v>
      </c>
      <c r="C354" s="14" t="s">
        <v>99</v>
      </c>
      <c r="D354" s="14" t="s">
        <v>99</v>
      </c>
      <c r="E354" s="14" t="s">
        <v>99</v>
      </c>
      <c r="F354" s="14" t="s">
        <v>7134</v>
      </c>
      <c r="G354" s="14" t="s">
        <v>99</v>
      </c>
      <c r="H354" s="14" t="s">
        <v>99</v>
      </c>
      <c r="I354" s="14" t="s">
        <v>7135</v>
      </c>
      <c r="J354" s="14" t="s">
        <v>7136</v>
      </c>
      <c r="K354" s="14" t="s">
        <v>99</v>
      </c>
      <c r="L354" s="14" t="s">
        <v>99</v>
      </c>
      <c r="M354" s="14" t="s">
        <v>103</v>
      </c>
      <c r="N354" s="14" t="s">
        <v>104</v>
      </c>
      <c r="O354" s="14" t="s">
        <v>99</v>
      </c>
      <c r="P354" s="14" t="s">
        <v>99</v>
      </c>
      <c r="Q354" s="14" t="s">
        <v>99</v>
      </c>
      <c r="R354" s="14" t="s">
        <v>99</v>
      </c>
      <c r="S354" s="14" t="s">
        <v>99</v>
      </c>
      <c r="T354" s="14" t="s">
        <v>7137</v>
      </c>
      <c r="U354" s="14" t="s">
        <v>7138</v>
      </c>
      <c r="V354" s="14" t="s">
        <v>7139</v>
      </c>
      <c r="W354" s="14" t="s">
        <v>7140</v>
      </c>
      <c r="X354" s="14" t="s">
        <v>7141</v>
      </c>
      <c r="Y354" s="14" t="s">
        <v>7142</v>
      </c>
      <c r="Z354" s="14" t="s">
        <v>7143</v>
      </c>
      <c r="AA354" s="14" t="s">
        <v>99</v>
      </c>
      <c r="AB354" s="14" t="s">
        <v>7144</v>
      </c>
      <c r="AC354" s="14" t="s">
        <v>7145</v>
      </c>
      <c r="AD354" s="14" t="s">
        <v>7146</v>
      </c>
      <c r="AE354" s="14" t="s">
        <v>7147</v>
      </c>
      <c r="AF354" s="14" t="s">
        <v>99</v>
      </c>
      <c r="AG354" s="14">
        <v>74.0</v>
      </c>
      <c r="AH354" s="14">
        <v>10.0</v>
      </c>
      <c r="AI354" s="14">
        <v>13.0</v>
      </c>
      <c r="AJ354" s="14">
        <v>0.0</v>
      </c>
      <c r="AK354" s="14">
        <v>15.0</v>
      </c>
      <c r="AL354" s="14" t="s">
        <v>7148</v>
      </c>
      <c r="AM354" s="14" t="s">
        <v>7149</v>
      </c>
      <c r="AN354" s="14" t="s">
        <v>7150</v>
      </c>
      <c r="AO354" s="14" t="s">
        <v>7151</v>
      </c>
      <c r="AP354" s="14" t="s">
        <v>99</v>
      </c>
      <c r="AQ354" s="14" t="s">
        <v>99</v>
      </c>
      <c r="AR354" s="14" t="s">
        <v>7152</v>
      </c>
      <c r="AS354" s="14" t="s">
        <v>7153</v>
      </c>
      <c r="AT354" s="14" t="s">
        <v>3648</v>
      </c>
      <c r="AU354" s="14">
        <v>2008.0</v>
      </c>
      <c r="AV354" s="14">
        <v>1.0</v>
      </c>
      <c r="AW354" s="14" t="s">
        <v>99</v>
      </c>
      <c r="AX354" s="14" t="s">
        <v>99</v>
      </c>
      <c r="AY354" s="14" t="s">
        <v>99</v>
      </c>
      <c r="AZ354" s="14" t="s">
        <v>99</v>
      </c>
      <c r="BA354" s="14" t="s">
        <v>99</v>
      </c>
      <c r="BB354" s="14">
        <v>145.0</v>
      </c>
      <c r="BC354" s="14">
        <v>156.0</v>
      </c>
      <c r="BD354" s="14" t="s">
        <v>99</v>
      </c>
      <c r="BE354" s="14" t="s">
        <v>7154</v>
      </c>
      <c r="BF354" s="15" t="str">
        <f>HYPERLINK("http://dx.doi.org/10.3832/ifor0470-0010145","http://dx.doi.org/10.3832/ifor0470-0010145")</f>
        <v>http://dx.doi.org/10.3832/ifor0470-0010145</v>
      </c>
      <c r="BG354" s="14" t="s">
        <v>99</v>
      </c>
      <c r="BH354" s="14" t="s">
        <v>99</v>
      </c>
      <c r="BI354" s="14">
        <v>12.0</v>
      </c>
      <c r="BJ354" s="14" t="s">
        <v>281</v>
      </c>
      <c r="BK354" s="14" t="s">
        <v>122</v>
      </c>
      <c r="BL354" s="14" t="s">
        <v>281</v>
      </c>
      <c r="BM354" s="14" t="s">
        <v>7155</v>
      </c>
      <c r="BN354" s="14" t="s">
        <v>99</v>
      </c>
      <c r="BO354" s="14" t="s">
        <v>1251</v>
      </c>
      <c r="BP354" s="14" t="s">
        <v>99</v>
      </c>
      <c r="BQ354" s="14" t="s">
        <v>99</v>
      </c>
      <c r="BR354" s="14" t="s">
        <v>124</v>
      </c>
      <c r="BS354" s="14" t="s">
        <v>7156</v>
      </c>
      <c r="BT354" s="14" t="str">
        <f>HYPERLINK("https%3A%2F%2Fwww.webofscience.com%2Fwos%2Fwoscc%2Ffull-record%2FWOS:000207917400003","View Full Record in Web of Science")</f>
        <v>View Full Record in Web of Science</v>
      </c>
    </row>
    <row r="355" ht="12.75" customHeight="1">
      <c r="A355" s="14" t="s">
        <v>97</v>
      </c>
      <c r="B355" s="14" t="s">
        <v>7157</v>
      </c>
      <c r="C355" s="14" t="s">
        <v>99</v>
      </c>
      <c r="D355" s="14" t="s">
        <v>99</v>
      </c>
      <c r="E355" s="14" t="s">
        <v>99</v>
      </c>
      <c r="F355" s="14" t="s">
        <v>7158</v>
      </c>
      <c r="G355" s="14" t="s">
        <v>99</v>
      </c>
      <c r="H355" s="14" t="s">
        <v>99</v>
      </c>
      <c r="I355" s="14" t="s">
        <v>7159</v>
      </c>
      <c r="J355" s="14" t="s">
        <v>7160</v>
      </c>
      <c r="K355" s="14" t="s">
        <v>99</v>
      </c>
      <c r="L355" s="14" t="s">
        <v>99</v>
      </c>
      <c r="M355" s="14" t="s">
        <v>103</v>
      </c>
      <c r="N355" s="14" t="s">
        <v>104</v>
      </c>
      <c r="O355" s="14" t="s">
        <v>99</v>
      </c>
      <c r="P355" s="14" t="s">
        <v>99</v>
      </c>
      <c r="Q355" s="14" t="s">
        <v>99</v>
      </c>
      <c r="R355" s="14" t="s">
        <v>99</v>
      </c>
      <c r="S355" s="14" t="s">
        <v>99</v>
      </c>
      <c r="T355" s="14" t="s">
        <v>7161</v>
      </c>
      <c r="U355" s="14" t="s">
        <v>7162</v>
      </c>
      <c r="V355" s="14" t="s">
        <v>7163</v>
      </c>
      <c r="W355" s="14" t="s">
        <v>7164</v>
      </c>
      <c r="X355" s="14" t="s">
        <v>6775</v>
      </c>
      <c r="Y355" s="14" t="s">
        <v>7165</v>
      </c>
      <c r="Z355" s="14" t="s">
        <v>7166</v>
      </c>
      <c r="AA355" s="14" t="s">
        <v>7167</v>
      </c>
      <c r="AB355" s="14" t="s">
        <v>7168</v>
      </c>
      <c r="AC355" s="14" t="s">
        <v>99</v>
      </c>
      <c r="AD355" s="14" t="s">
        <v>99</v>
      </c>
      <c r="AE355" s="14" t="s">
        <v>99</v>
      </c>
      <c r="AF355" s="14" t="s">
        <v>99</v>
      </c>
      <c r="AG355" s="14">
        <v>32.0</v>
      </c>
      <c r="AH355" s="14">
        <v>129.0</v>
      </c>
      <c r="AI355" s="14">
        <v>136.0</v>
      </c>
      <c r="AJ355" s="14">
        <v>0.0</v>
      </c>
      <c r="AK355" s="14">
        <v>26.0</v>
      </c>
      <c r="AL355" s="14" t="s">
        <v>2301</v>
      </c>
      <c r="AM355" s="14" t="s">
        <v>2302</v>
      </c>
      <c r="AN355" s="14" t="s">
        <v>2303</v>
      </c>
      <c r="AO355" s="14" t="s">
        <v>7169</v>
      </c>
      <c r="AP355" s="14" t="s">
        <v>99</v>
      </c>
      <c r="AQ355" s="14" t="s">
        <v>99</v>
      </c>
      <c r="AR355" s="14" t="s">
        <v>7170</v>
      </c>
      <c r="AS355" s="14" t="s">
        <v>7171</v>
      </c>
      <c r="AT355" s="14" t="s">
        <v>348</v>
      </c>
      <c r="AU355" s="14">
        <v>2008.0</v>
      </c>
      <c r="AV355" s="14">
        <v>58.0</v>
      </c>
      <c r="AW355" s="14" t="s">
        <v>5620</v>
      </c>
      <c r="AX355" s="14" t="s">
        <v>99</v>
      </c>
      <c r="AY355" s="14" t="s">
        <v>99</v>
      </c>
      <c r="AZ355" s="14" t="s">
        <v>99</v>
      </c>
      <c r="BA355" s="14" t="s">
        <v>99</v>
      </c>
      <c r="BB355" s="14">
        <v>199.0</v>
      </c>
      <c r="BC355" s="14">
        <v>212.0</v>
      </c>
      <c r="BD355" s="14" t="s">
        <v>99</v>
      </c>
      <c r="BE355" s="14" t="s">
        <v>7172</v>
      </c>
      <c r="BF355" s="15" t="str">
        <f>HYPERLINK("http://dx.doi.org/10.1007/s10236-008-0141-x","http://dx.doi.org/10.1007/s10236-008-0141-x")</f>
        <v>http://dx.doi.org/10.1007/s10236-008-0141-x</v>
      </c>
      <c r="BG355" s="14" t="s">
        <v>99</v>
      </c>
      <c r="BH355" s="14" t="s">
        <v>99</v>
      </c>
      <c r="BI355" s="14">
        <v>14.0</v>
      </c>
      <c r="BJ355" s="14" t="s">
        <v>2034</v>
      </c>
      <c r="BK355" s="14" t="s">
        <v>122</v>
      </c>
      <c r="BL355" s="14" t="s">
        <v>2034</v>
      </c>
      <c r="BM355" s="14" t="s">
        <v>7173</v>
      </c>
      <c r="BN355" s="14" t="s">
        <v>99</v>
      </c>
      <c r="BO355" s="14" t="s">
        <v>99</v>
      </c>
      <c r="BP355" s="14" t="s">
        <v>99</v>
      </c>
      <c r="BQ355" s="14" t="s">
        <v>99</v>
      </c>
      <c r="BR355" s="14" t="s">
        <v>124</v>
      </c>
      <c r="BS355" s="14" t="s">
        <v>7174</v>
      </c>
      <c r="BT355" s="14" t="str">
        <f>HYPERLINK("https%3A%2F%2Fwww.webofscience.com%2Fwos%2Fwoscc%2Ffull-record%2FWOS:000260839300004","View Full Record in Web of Science")</f>
        <v>View Full Record in Web of Science</v>
      </c>
    </row>
    <row r="356" ht="12.75" customHeight="1">
      <c r="A356" s="14" t="s">
        <v>97</v>
      </c>
      <c r="B356" s="14" t="s">
        <v>7175</v>
      </c>
      <c r="C356" s="14" t="s">
        <v>99</v>
      </c>
      <c r="D356" s="14" t="s">
        <v>99</v>
      </c>
      <c r="E356" s="14" t="s">
        <v>99</v>
      </c>
      <c r="F356" s="14" t="s">
        <v>7176</v>
      </c>
      <c r="G356" s="14" t="s">
        <v>99</v>
      </c>
      <c r="H356" s="14" t="s">
        <v>99</v>
      </c>
      <c r="I356" s="14" t="s">
        <v>7177</v>
      </c>
      <c r="J356" s="14" t="s">
        <v>7178</v>
      </c>
      <c r="K356" s="14" t="s">
        <v>99</v>
      </c>
      <c r="L356" s="14" t="s">
        <v>99</v>
      </c>
      <c r="M356" s="14" t="s">
        <v>103</v>
      </c>
      <c r="N356" s="14" t="s">
        <v>104</v>
      </c>
      <c r="O356" s="14" t="s">
        <v>99</v>
      </c>
      <c r="P356" s="14" t="s">
        <v>99</v>
      </c>
      <c r="Q356" s="14" t="s">
        <v>99</v>
      </c>
      <c r="R356" s="14" t="s">
        <v>99</v>
      </c>
      <c r="S356" s="14" t="s">
        <v>99</v>
      </c>
      <c r="T356" s="14" t="s">
        <v>99</v>
      </c>
      <c r="U356" s="14" t="s">
        <v>7179</v>
      </c>
      <c r="V356" s="14" t="s">
        <v>7180</v>
      </c>
      <c r="W356" s="14" t="s">
        <v>7181</v>
      </c>
      <c r="X356" s="14" t="s">
        <v>7182</v>
      </c>
      <c r="Y356" s="14" t="s">
        <v>7183</v>
      </c>
      <c r="Z356" s="14" t="s">
        <v>7184</v>
      </c>
      <c r="AA356" s="14" t="s">
        <v>99</v>
      </c>
      <c r="AB356" s="14" t="s">
        <v>99</v>
      </c>
      <c r="AC356" s="14" t="s">
        <v>99</v>
      </c>
      <c r="AD356" s="14" t="s">
        <v>99</v>
      </c>
      <c r="AE356" s="14" t="s">
        <v>99</v>
      </c>
      <c r="AF356" s="14" t="s">
        <v>99</v>
      </c>
      <c r="AG356" s="14">
        <v>58.0</v>
      </c>
      <c r="AH356" s="14">
        <v>821.0</v>
      </c>
      <c r="AI356" s="14">
        <v>936.0</v>
      </c>
      <c r="AJ356" s="14">
        <v>22.0</v>
      </c>
      <c r="AK356" s="14">
        <v>485.0</v>
      </c>
      <c r="AL356" s="14" t="s">
        <v>4722</v>
      </c>
      <c r="AM356" s="14" t="s">
        <v>1594</v>
      </c>
      <c r="AN356" s="14" t="s">
        <v>4723</v>
      </c>
      <c r="AO356" s="14" t="s">
        <v>7185</v>
      </c>
      <c r="AP356" s="14" t="s">
        <v>7186</v>
      </c>
      <c r="AQ356" s="14" t="s">
        <v>99</v>
      </c>
      <c r="AR356" s="14" t="s">
        <v>7187</v>
      </c>
      <c r="AS356" s="14" t="s">
        <v>7188</v>
      </c>
      <c r="AT356" s="14" t="s">
        <v>348</v>
      </c>
      <c r="AU356" s="14">
        <v>2008.0</v>
      </c>
      <c r="AV356" s="14">
        <v>35.0</v>
      </c>
      <c r="AW356" s="14">
        <v>5.0</v>
      </c>
      <c r="AX356" s="14" t="s">
        <v>99</v>
      </c>
      <c r="AY356" s="14" t="s">
        <v>99</v>
      </c>
      <c r="AZ356" s="14" t="s">
        <v>99</v>
      </c>
      <c r="BA356" s="14" t="s">
        <v>99</v>
      </c>
      <c r="BB356" s="14">
        <v>429.0</v>
      </c>
      <c r="BC356" s="14">
        <v>435.0</v>
      </c>
      <c r="BD356" s="14" t="s">
        <v>99</v>
      </c>
      <c r="BE356" s="14" t="s">
        <v>7189</v>
      </c>
      <c r="BF356" s="15" t="str">
        <f>HYPERLINK("http://dx.doi.org/10.1016/j.amepre.2008.08.021","http://dx.doi.org/10.1016/j.amepre.2008.08.021")</f>
        <v>http://dx.doi.org/10.1016/j.amepre.2008.08.021</v>
      </c>
      <c r="BG356" s="14" t="s">
        <v>99</v>
      </c>
      <c r="BH356" s="14" t="s">
        <v>99</v>
      </c>
      <c r="BI356" s="14">
        <v>7.0</v>
      </c>
      <c r="BJ356" s="14" t="s">
        <v>7190</v>
      </c>
      <c r="BK356" s="14" t="s">
        <v>122</v>
      </c>
      <c r="BL356" s="14" t="s">
        <v>7191</v>
      </c>
      <c r="BM356" s="14" t="s">
        <v>7192</v>
      </c>
      <c r="BN356" s="14">
        <v>1.8929969E7</v>
      </c>
      <c r="BO356" s="14" t="s">
        <v>99</v>
      </c>
      <c r="BP356" s="14" t="s">
        <v>99</v>
      </c>
      <c r="BQ356" s="14" t="s">
        <v>99</v>
      </c>
      <c r="BR356" s="14" t="s">
        <v>124</v>
      </c>
      <c r="BS356" s="14" t="s">
        <v>7193</v>
      </c>
      <c r="BT356" s="14" t="str">
        <f>HYPERLINK("https%3A%2F%2Fwww.webofscience.com%2Fwos%2Fwoscc%2Ffull-record%2FWOS:000260396600007","View Full Record in Web of Science")</f>
        <v>View Full Record in Web of Science</v>
      </c>
    </row>
    <row r="357" ht="12.75" customHeight="1">
      <c r="A357" s="14" t="s">
        <v>97</v>
      </c>
      <c r="B357" s="14" t="s">
        <v>7194</v>
      </c>
      <c r="C357" s="14" t="s">
        <v>99</v>
      </c>
      <c r="D357" s="14" t="s">
        <v>99</v>
      </c>
      <c r="E357" s="14" t="s">
        <v>99</v>
      </c>
      <c r="F357" s="14" t="s">
        <v>7195</v>
      </c>
      <c r="G357" s="14" t="s">
        <v>99</v>
      </c>
      <c r="H357" s="14" t="s">
        <v>99</v>
      </c>
      <c r="I357" s="14" t="s">
        <v>7196</v>
      </c>
      <c r="J357" s="14" t="s">
        <v>7197</v>
      </c>
      <c r="K357" s="14" t="s">
        <v>99</v>
      </c>
      <c r="L357" s="14" t="s">
        <v>99</v>
      </c>
      <c r="M357" s="14" t="s">
        <v>103</v>
      </c>
      <c r="N357" s="14" t="s">
        <v>104</v>
      </c>
      <c r="O357" s="14" t="s">
        <v>99</v>
      </c>
      <c r="P357" s="14" t="s">
        <v>99</v>
      </c>
      <c r="Q357" s="14" t="s">
        <v>99</v>
      </c>
      <c r="R357" s="14" t="s">
        <v>99</v>
      </c>
      <c r="S357" s="14" t="s">
        <v>99</v>
      </c>
      <c r="T357" s="14" t="s">
        <v>99</v>
      </c>
      <c r="U357" s="14" t="s">
        <v>7198</v>
      </c>
      <c r="V357" s="14" t="s">
        <v>7199</v>
      </c>
      <c r="W357" s="14" t="s">
        <v>7200</v>
      </c>
      <c r="X357" s="14" t="s">
        <v>7201</v>
      </c>
      <c r="Y357" s="14" t="s">
        <v>7202</v>
      </c>
      <c r="Z357" s="14" t="s">
        <v>7203</v>
      </c>
      <c r="AA357" s="14" t="s">
        <v>7204</v>
      </c>
      <c r="AB357" s="14" t="s">
        <v>7205</v>
      </c>
      <c r="AC357" s="14" t="s">
        <v>7206</v>
      </c>
      <c r="AD357" s="14" t="s">
        <v>7206</v>
      </c>
      <c r="AE357" s="14" t="s">
        <v>7207</v>
      </c>
      <c r="AF357" s="14" t="s">
        <v>99</v>
      </c>
      <c r="AG357" s="14">
        <v>64.0</v>
      </c>
      <c r="AH357" s="14">
        <v>17.0</v>
      </c>
      <c r="AI357" s="14">
        <v>19.0</v>
      </c>
      <c r="AJ357" s="14">
        <v>0.0</v>
      </c>
      <c r="AK357" s="14">
        <v>37.0</v>
      </c>
      <c r="AL357" s="14" t="s">
        <v>7208</v>
      </c>
      <c r="AM357" s="14" t="s">
        <v>7209</v>
      </c>
      <c r="AN357" s="14" t="s">
        <v>7210</v>
      </c>
      <c r="AO357" s="14" t="s">
        <v>7211</v>
      </c>
      <c r="AP357" s="14" t="s">
        <v>99</v>
      </c>
      <c r="AQ357" s="14" t="s">
        <v>99</v>
      </c>
      <c r="AR357" s="14" t="s">
        <v>7212</v>
      </c>
      <c r="AS357" s="14" t="s">
        <v>7213</v>
      </c>
      <c r="AT357" s="14" t="s">
        <v>7214</v>
      </c>
      <c r="AU357" s="14">
        <v>2008.0</v>
      </c>
      <c r="AV357" s="14">
        <v>81.0</v>
      </c>
      <c r="AW357" s="14">
        <v>6.0</v>
      </c>
      <c r="AX357" s="14" t="s">
        <v>99</v>
      </c>
      <c r="AY357" s="14" t="s">
        <v>99</v>
      </c>
      <c r="AZ357" s="14" t="s">
        <v>99</v>
      </c>
      <c r="BA357" s="14" t="s">
        <v>99</v>
      </c>
      <c r="BB357" s="14">
        <v>880.0</v>
      </c>
      <c r="BC357" s="14">
        <v>890.0</v>
      </c>
      <c r="BD357" s="14" t="s">
        <v>99</v>
      </c>
      <c r="BE357" s="14" t="s">
        <v>7215</v>
      </c>
      <c r="BF357" s="15" t="str">
        <f>HYPERLINK("http://dx.doi.org/10.1086/588171","http://dx.doi.org/10.1086/588171")</f>
        <v>http://dx.doi.org/10.1086/588171</v>
      </c>
      <c r="BG357" s="14" t="s">
        <v>99</v>
      </c>
      <c r="BH357" s="14" t="s">
        <v>99</v>
      </c>
      <c r="BI357" s="14">
        <v>11.0</v>
      </c>
      <c r="BJ357" s="14" t="s">
        <v>7216</v>
      </c>
      <c r="BK357" s="14" t="s">
        <v>122</v>
      </c>
      <c r="BL357" s="14" t="s">
        <v>7216</v>
      </c>
      <c r="BM357" s="14" t="s">
        <v>7217</v>
      </c>
      <c r="BN357" s="14">
        <v>1.8937565E7</v>
      </c>
      <c r="BO357" s="14" t="s">
        <v>99</v>
      </c>
      <c r="BP357" s="14" t="s">
        <v>99</v>
      </c>
      <c r="BQ357" s="14" t="s">
        <v>99</v>
      </c>
      <c r="BR357" s="14" t="s">
        <v>124</v>
      </c>
      <c r="BS357" s="14" t="s">
        <v>7218</v>
      </c>
      <c r="BT357" s="14" t="str">
        <f>HYPERLINK("https%3A%2F%2Fwww.webofscience.com%2Fwos%2Fwoscc%2Ffull-record%2FWOS:000260547400015","View Full Record in Web of Science")</f>
        <v>View Full Record in Web of Science</v>
      </c>
    </row>
    <row r="358" ht="12.75" customHeight="1">
      <c r="A358" s="14" t="s">
        <v>97</v>
      </c>
      <c r="B358" s="14" t="s">
        <v>7219</v>
      </c>
      <c r="C358" s="14" t="s">
        <v>99</v>
      </c>
      <c r="D358" s="14" t="s">
        <v>99</v>
      </c>
      <c r="E358" s="14" t="s">
        <v>99</v>
      </c>
      <c r="F358" s="14" t="s">
        <v>7220</v>
      </c>
      <c r="G358" s="14" t="s">
        <v>99</v>
      </c>
      <c r="H358" s="14" t="s">
        <v>99</v>
      </c>
      <c r="I358" s="14" t="s">
        <v>7221</v>
      </c>
      <c r="J358" s="14" t="s">
        <v>1531</v>
      </c>
      <c r="K358" s="14" t="s">
        <v>99</v>
      </c>
      <c r="L358" s="14" t="s">
        <v>99</v>
      </c>
      <c r="M358" s="14" t="s">
        <v>103</v>
      </c>
      <c r="N358" s="14" t="s">
        <v>104</v>
      </c>
      <c r="O358" s="14" t="s">
        <v>99</v>
      </c>
      <c r="P358" s="14" t="s">
        <v>99</v>
      </c>
      <c r="Q358" s="14" t="s">
        <v>99</v>
      </c>
      <c r="R358" s="14" t="s">
        <v>99</v>
      </c>
      <c r="S358" s="14" t="s">
        <v>99</v>
      </c>
      <c r="T358" s="14" t="s">
        <v>7222</v>
      </c>
      <c r="U358" s="14" t="s">
        <v>7223</v>
      </c>
      <c r="V358" s="14" t="s">
        <v>7224</v>
      </c>
      <c r="W358" s="14" t="s">
        <v>7225</v>
      </c>
      <c r="X358" s="14" t="s">
        <v>7226</v>
      </c>
      <c r="Y358" s="14" t="s">
        <v>7227</v>
      </c>
      <c r="Z358" s="14" t="s">
        <v>7228</v>
      </c>
      <c r="AA358" s="14" t="s">
        <v>7229</v>
      </c>
      <c r="AB358" s="14" t="s">
        <v>7230</v>
      </c>
      <c r="AC358" s="14" t="s">
        <v>7231</v>
      </c>
      <c r="AD358" s="14" t="s">
        <v>7232</v>
      </c>
      <c r="AE358" s="14" t="s">
        <v>7233</v>
      </c>
      <c r="AF358" s="14" t="s">
        <v>99</v>
      </c>
      <c r="AG358" s="14">
        <v>20.0</v>
      </c>
      <c r="AH358" s="14">
        <v>129.0</v>
      </c>
      <c r="AI358" s="14">
        <v>162.0</v>
      </c>
      <c r="AJ358" s="14">
        <v>4.0</v>
      </c>
      <c r="AK358" s="14">
        <v>126.0</v>
      </c>
      <c r="AL358" s="14" t="s">
        <v>1544</v>
      </c>
      <c r="AM358" s="14" t="s">
        <v>274</v>
      </c>
      <c r="AN358" s="14" t="s">
        <v>1545</v>
      </c>
      <c r="AO358" s="14" t="s">
        <v>1546</v>
      </c>
      <c r="AP358" s="14" t="s">
        <v>99</v>
      </c>
      <c r="AQ358" s="14" t="s">
        <v>99</v>
      </c>
      <c r="AR358" s="14" t="s">
        <v>1548</v>
      </c>
      <c r="AS358" s="14" t="s">
        <v>1549</v>
      </c>
      <c r="AT358" s="14" t="s">
        <v>7234</v>
      </c>
      <c r="AU358" s="14">
        <v>2008.0</v>
      </c>
      <c r="AV358" s="14">
        <v>4.0</v>
      </c>
      <c r="AW358" s="14">
        <v>5.0</v>
      </c>
      <c r="AX358" s="14" t="s">
        <v>99</v>
      </c>
      <c r="AY358" s="14" t="s">
        <v>99</v>
      </c>
      <c r="AZ358" s="14" t="s">
        <v>99</v>
      </c>
      <c r="BA358" s="14" t="s">
        <v>99</v>
      </c>
      <c r="BB358" s="14">
        <v>564.0</v>
      </c>
      <c r="BC358" s="14">
        <v>567.0</v>
      </c>
      <c r="BD358" s="14" t="s">
        <v>99</v>
      </c>
      <c r="BE358" s="14" t="s">
        <v>7235</v>
      </c>
      <c r="BF358" s="15" t="str">
        <f>HYPERLINK("http://dx.doi.org/10.1098/rsbl.2008.0231","http://dx.doi.org/10.1098/rsbl.2008.0231")</f>
        <v>http://dx.doi.org/10.1098/rsbl.2008.0231</v>
      </c>
      <c r="BG358" s="14" t="s">
        <v>99</v>
      </c>
      <c r="BH358" s="14" t="s">
        <v>99</v>
      </c>
      <c r="BI358" s="14">
        <v>4.0</v>
      </c>
      <c r="BJ358" s="14" t="s">
        <v>1552</v>
      </c>
      <c r="BK358" s="14" t="s">
        <v>122</v>
      </c>
      <c r="BL358" s="14" t="s">
        <v>1553</v>
      </c>
      <c r="BM358" s="14" t="s">
        <v>7236</v>
      </c>
      <c r="BN358" s="14">
        <v>1.8664416E7</v>
      </c>
      <c r="BO358" s="14" t="s">
        <v>425</v>
      </c>
      <c r="BP358" s="14" t="s">
        <v>99</v>
      </c>
      <c r="BQ358" s="14" t="s">
        <v>99</v>
      </c>
      <c r="BR358" s="14" t="s">
        <v>124</v>
      </c>
      <c r="BS358" s="14" t="s">
        <v>7237</v>
      </c>
      <c r="BT358" s="14" t="str">
        <f>HYPERLINK("https%3A%2F%2Fwww.webofscience.com%2Fwos%2Fwoscc%2Ffull-record%2FWOS:000259085900035","View Full Record in Web of Science")</f>
        <v>View Full Record in Web of Science</v>
      </c>
    </row>
    <row r="359" ht="12.75" customHeight="1">
      <c r="A359" s="14" t="s">
        <v>97</v>
      </c>
      <c r="B359" s="14" t="s">
        <v>7238</v>
      </c>
      <c r="C359" s="14" t="s">
        <v>99</v>
      </c>
      <c r="D359" s="14" t="s">
        <v>99</v>
      </c>
      <c r="E359" s="14" t="s">
        <v>99</v>
      </c>
      <c r="F359" s="14" t="s">
        <v>7239</v>
      </c>
      <c r="G359" s="14" t="s">
        <v>99</v>
      </c>
      <c r="H359" s="14" t="s">
        <v>99</v>
      </c>
      <c r="I359" s="14" t="s">
        <v>7240</v>
      </c>
      <c r="J359" s="14" t="s">
        <v>2566</v>
      </c>
      <c r="K359" s="14" t="s">
        <v>99</v>
      </c>
      <c r="L359" s="14" t="s">
        <v>99</v>
      </c>
      <c r="M359" s="14" t="s">
        <v>103</v>
      </c>
      <c r="N359" s="14" t="s">
        <v>104</v>
      </c>
      <c r="O359" s="14" t="s">
        <v>99</v>
      </c>
      <c r="P359" s="14" t="s">
        <v>99</v>
      </c>
      <c r="Q359" s="14" t="s">
        <v>99</v>
      </c>
      <c r="R359" s="14" t="s">
        <v>99</v>
      </c>
      <c r="S359" s="14" t="s">
        <v>99</v>
      </c>
      <c r="T359" s="14" t="s">
        <v>99</v>
      </c>
      <c r="U359" s="14" t="s">
        <v>7241</v>
      </c>
      <c r="V359" s="14" t="s">
        <v>7242</v>
      </c>
      <c r="W359" s="14" t="s">
        <v>7243</v>
      </c>
      <c r="X359" s="14" t="s">
        <v>7244</v>
      </c>
      <c r="Y359" s="14" t="s">
        <v>7245</v>
      </c>
      <c r="Z359" s="14" t="s">
        <v>7246</v>
      </c>
      <c r="AA359" s="14" t="s">
        <v>7247</v>
      </c>
      <c r="AB359" s="14" t="s">
        <v>7248</v>
      </c>
      <c r="AC359" s="14" t="s">
        <v>7249</v>
      </c>
      <c r="AD359" s="14" t="s">
        <v>7250</v>
      </c>
      <c r="AE359" s="14" t="s">
        <v>7251</v>
      </c>
      <c r="AF359" s="14" t="s">
        <v>99</v>
      </c>
      <c r="AG359" s="14">
        <v>32.0</v>
      </c>
      <c r="AH359" s="14">
        <v>985.0</v>
      </c>
      <c r="AI359" s="14">
        <v>1170.0</v>
      </c>
      <c r="AJ359" s="14">
        <v>7.0</v>
      </c>
      <c r="AK359" s="14">
        <v>547.0</v>
      </c>
      <c r="AL359" s="14" t="s">
        <v>1243</v>
      </c>
      <c r="AM359" s="14" t="s">
        <v>789</v>
      </c>
      <c r="AN359" s="14" t="s">
        <v>1244</v>
      </c>
      <c r="AO359" s="14" t="s">
        <v>2578</v>
      </c>
      <c r="AP359" s="14" t="s">
        <v>2579</v>
      </c>
      <c r="AQ359" s="14" t="s">
        <v>99</v>
      </c>
      <c r="AR359" s="14" t="s">
        <v>2566</v>
      </c>
      <c r="AS359" s="14" t="s">
        <v>2580</v>
      </c>
      <c r="AT359" s="14" t="s">
        <v>7252</v>
      </c>
      <c r="AU359" s="14">
        <v>2008.0</v>
      </c>
      <c r="AV359" s="14">
        <v>322.0</v>
      </c>
      <c r="AW359" s="14">
        <v>5899.0</v>
      </c>
      <c r="AX359" s="14" t="s">
        <v>99</v>
      </c>
      <c r="AY359" s="14" t="s">
        <v>99</v>
      </c>
      <c r="AZ359" s="14" t="s">
        <v>99</v>
      </c>
      <c r="BA359" s="14" t="s">
        <v>99</v>
      </c>
      <c r="BB359" s="14">
        <v>258.0</v>
      </c>
      <c r="BC359" s="14">
        <v>261.0</v>
      </c>
      <c r="BD359" s="14" t="s">
        <v>99</v>
      </c>
      <c r="BE359" s="14" t="s">
        <v>7253</v>
      </c>
      <c r="BF359" s="15" t="str">
        <f>HYPERLINK("http://dx.doi.org/10.1126/science.1162547","http://dx.doi.org/10.1126/science.1162547")</f>
        <v>http://dx.doi.org/10.1126/science.1162547</v>
      </c>
      <c r="BG359" s="14" t="s">
        <v>99</v>
      </c>
      <c r="BH359" s="14" t="s">
        <v>99</v>
      </c>
      <c r="BI359" s="14">
        <v>4.0</v>
      </c>
      <c r="BJ359" s="14" t="s">
        <v>799</v>
      </c>
      <c r="BK359" s="14" t="s">
        <v>122</v>
      </c>
      <c r="BL359" s="14" t="s">
        <v>801</v>
      </c>
      <c r="BM359" s="14" t="s">
        <v>7254</v>
      </c>
      <c r="BN359" s="14">
        <v>1.8845754E7</v>
      </c>
      <c r="BO359" s="14" t="s">
        <v>99</v>
      </c>
      <c r="BP359" s="14" t="s">
        <v>99</v>
      </c>
      <c r="BQ359" s="14" t="s">
        <v>99</v>
      </c>
      <c r="BR359" s="14" t="s">
        <v>124</v>
      </c>
      <c r="BS359" s="14" t="s">
        <v>7255</v>
      </c>
      <c r="BT359" s="14" t="str">
        <f>HYPERLINK("https%3A%2F%2Fwww.webofscience.com%2Fwos%2Fwoscc%2Ffull-record%2FWOS:000259902300048","View Full Record in Web of Science")</f>
        <v>View Full Record in Web of Science</v>
      </c>
    </row>
    <row r="360" ht="12.75" customHeight="1">
      <c r="A360" s="14" t="s">
        <v>97</v>
      </c>
      <c r="B360" s="14" t="s">
        <v>7256</v>
      </c>
      <c r="C360" s="14" t="s">
        <v>99</v>
      </c>
      <c r="D360" s="14" t="s">
        <v>99</v>
      </c>
      <c r="E360" s="14" t="s">
        <v>99</v>
      </c>
      <c r="F360" s="14" t="s">
        <v>7257</v>
      </c>
      <c r="G360" s="14" t="s">
        <v>99</v>
      </c>
      <c r="H360" s="14" t="s">
        <v>99</v>
      </c>
      <c r="I360" s="14" t="s">
        <v>7258</v>
      </c>
      <c r="J360" s="14" t="s">
        <v>7259</v>
      </c>
      <c r="K360" s="14" t="s">
        <v>99</v>
      </c>
      <c r="L360" s="14" t="s">
        <v>99</v>
      </c>
      <c r="M360" s="14" t="s">
        <v>103</v>
      </c>
      <c r="N360" s="14" t="s">
        <v>104</v>
      </c>
      <c r="O360" s="14" t="s">
        <v>99</v>
      </c>
      <c r="P360" s="14" t="s">
        <v>99</v>
      </c>
      <c r="Q360" s="14" t="s">
        <v>99</v>
      </c>
      <c r="R360" s="14" t="s">
        <v>99</v>
      </c>
      <c r="S360" s="14" t="s">
        <v>99</v>
      </c>
      <c r="T360" s="14" t="s">
        <v>7260</v>
      </c>
      <c r="U360" s="14" t="s">
        <v>7261</v>
      </c>
      <c r="V360" s="14" t="s">
        <v>7262</v>
      </c>
      <c r="W360" s="14" t="s">
        <v>7263</v>
      </c>
      <c r="X360" s="14" t="s">
        <v>7264</v>
      </c>
      <c r="Y360" s="14" t="s">
        <v>7265</v>
      </c>
      <c r="Z360" s="14" t="s">
        <v>7266</v>
      </c>
      <c r="AA360" s="14" t="s">
        <v>7267</v>
      </c>
      <c r="AB360" s="14" t="s">
        <v>7268</v>
      </c>
      <c r="AC360" s="14" t="s">
        <v>7269</v>
      </c>
      <c r="AD360" s="14" t="s">
        <v>7270</v>
      </c>
      <c r="AE360" s="14" t="s">
        <v>7271</v>
      </c>
      <c r="AF360" s="14" t="s">
        <v>99</v>
      </c>
      <c r="AG360" s="14">
        <v>47.0</v>
      </c>
      <c r="AH360" s="14">
        <v>25.0</v>
      </c>
      <c r="AI360" s="14">
        <v>33.0</v>
      </c>
      <c r="AJ360" s="14">
        <v>1.0</v>
      </c>
      <c r="AK360" s="14">
        <v>62.0</v>
      </c>
      <c r="AL360" s="14" t="s">
        <v>2301</v>
      </c>
      <c r="AM360" s="14" t="s">
        <v>2302</v>
      </c>
      <c r="AN360" s="14" t="s">
        <v>2303</v>
      </c>
      <c r="AO360" s="14" t="s">
        <v>7272</v>
      </c>
      <c r="AP360" s="14" t="s">
        <v>7273</v>
      </c>
      <c r="AQ360" s="14" t="s">
        <v>99</v>
      </c>
      <c r="AR360" s="14" t="s">
        <v>7274</v>
      </c>
      <c r="AS360" s="14" t="s">
        <v>7275</v>
      </c>
      <c r="AT360" s="14" t="s">
        <v>2372</v>
      </c>
      <c r="AU360" s="14">
        <v>2008.0</v>
      </c>
      <c r="AV360" s="14">
        <v>53.0</v>
      </c>
      <c r="AW360" s="14">
        <v>4.0</v>
      </c>
      <c r="AX360" s="14" t="s">
        <v>99</v>
      </c>
      <c r="AY360" s="14" t="s">
        <v>99</v>
      </c>
      <c r="AZ360" s="14" t="s">
        <v>99</v>
      </c>
      <c r="BA360" s="14" t="s">
        <v>99</v>
      </c>
      <c r="BB360" s="14">
        <v>365.0</v>
      </c>
      <c r="BC360" s="14">
        <v>374.0</v>
      </c>
      <c r="BD360" s="14" t="s">
        <v>99</v>
      </c>
      <c r="BE360" s="14" t="s">
        <v>7276</v>
      </c>
      <c r="BF360" s="15" t="str">
        <f>HYPERLINK("http://dx.doi.org/10.1007/BF03195197","http://dx.doi.org/10.1007/BF03195197")</f>
        <v>http://dx.doi.org/10.1007/BF03195197</v>
      </c>
      <c r="BG360" s="14" t="s">
        <v>99</v>
      </c>
      <c r="BH360" s="14" t="s">
        <v>99</v>
      </c>
      <c r="BI360" s="14">
        <v>10.0</v>
      </c>
      <c r="BJ360" s="14" t="s">
        <v>121</v>
      </c>
      <c r="BK360" s="14" t="s">
        <v>122</v>
      </c>
      <c r="BL360" s="14" t="s">
        <v>121</v>
      </c>
      <c r="BM360" s="14" t="s">
        <v>7277</v>
      </c>
      <c r="BN360" s="14" t="s">
        <v>99</v>
      </c>
      <c r="BO360" s="14" t="s">
        <v>99</v>
      </c>
      <c r="BP360" s="14" t="s">
        <v>99</v>
      </c>
      <c r="BQ360" s="14" t="s">
        <v>99</v>
      </c>
      <c r="BR360" s="14" t="s">
        <v>124</v>
      </c>
      <c r="BS360" s="14" t="s">
        <v>7278</v>
      </c>
      <c r="BT360" s="14" t="str">
        <f>HYPERLINK("https%3A%2F%2Fwww.webofscience.com%2Fwos%2Fwoscc%2Ffull-record%2FWOS:000260556500005","View Full Record in Web of Science")</f>
        <v>View Full Record in Web of Science</v>
      </c>
    </row>
    <row r="361" ht="12.75" customHeight="1">
      <c r="A361" s="14" t="s">
        <v>97</v>
      </c>
      <c r="B361" s="14" t="s">
        <v>7279</v>
      </c>
      <c r="C361" s="14" t="s">
        <v>99</v>
      </c>
      <c r="D361" s="14" t="s">
        <v>99</v>
      </c>
      <c r="E361" s="14" t="s">
        <v>99</v>
      </c>
      <c r="F361" s="14" t="s">
        <v>7280</v>
      </c>
      <c r="G361" s="14" t="s">
        <v>99</v>
      </c>
      <c r="H361" s="14" t="s">
        <v>99</v>
      </c>
      <c r="I361" s="14" t="s">
        <v>7281</v>
      </c>
      <c r="J361" s="14" t="s">
        <v>5088</v>
      </c>
      <c r="K361" s="14" t="s">
        <v>99</v>
      </c>
      <c r="L361" s="14" t="s">
        <v>99</v>
      </c>
      <c r="M361" s="14" t="s">
        <v>103</v>
      </c>
      <c r="N361" s="14" t="s">
        <v>104</v>
      </c>
      <c r="O361" s="14" t="s">
        <v>99</v>
      </c>
      <c r="P361" s="14" t="s">
        <v>99</v>
      </c>
      <c r="Q361" s="14" t="s">
        <v>99</v>
      </c>
      <c r="R361" s="14" t="s">
        <v>99</v>
      </c>
      <c r="S361" s="14" t="s">
        <v>99</v>
      </c>
      <c r="T361" s="14" t="s">
        <v>99</v>
      </c>
      <c r="U361" s="14" t="s">
        <v>7282</v>
      </c>
      <c r="V361" s="14" t="s">
        <v>7283</v>
      </c>
      <c r="W361" s="14" t="s">
        <v>7284</v>
      </c>
      <c r="X361" s="14" t="s">
        <v>7285</v>
      </c>
      <c r="Y361" s="14" t="s">
        <v>7286</v>
      </c>
      <c r="Z361" s="14" t="s">
        <v>7287</v>
      </c>
      <c r="AA361" s="14" t="s">
        <v>7288</v>
      </c>
      <c r="AB361" s="14" t="s">
        <v>7289</v>
      </c>
      <c r="AC361" s="14" t="s">
        <v>7290</v>
      </c>
      <c r="AD361" s="14" t="s">
        <v>7291</v>
      </c>
      <c r="AE361" s="14" t="s">
        <v>7292</v>
      </c>
      <c r="AF361" s="14" t="s">
        <v>99</v>
      </c>
      <c r="AG361" s="14">
        <v>82.0</v>
      </c>
      <c r="AH361" s="14">
        <v>363.0</v>
      </c>
      <c r="AI361" s="14">
        <v>447.0</v>
      </c>
      <c r="AJ361" s="14">
        <v>7.0</v>
      </c>
      <c r="AK361" s="14">
        <v>289.0</v>
      </c>
      <c r="AL361" s="14" t="s">
        <v>1593</v>
      </c>
      <c r="AM361" s="14" t="s">
        <v>1594</v>
      </c>
      <c r="AN361" s="14" t="s">
        <v>1595</v>
      </c>
      <c r="AO361" s="14" t="s">
        <v>5097</v>
      </c>
      <c r="AP361" s="14" t="s">
        <v>5098</v>
      </c>
      <c r="AQ361" s="14" t="s">
        <v>99</v>
      </c>
      <c r="AR361" s="14" t="s">
        <v>5099</v>
      </c>
      <c r="AS361" s="14" t="s">
        <v>5100</v>
      </c>
      <c r="AT361" s="14" t="s">
        <v>421</v>
      </c>
      <c r="AU361" s="14">
        <v>2008.0</v>
      </c>
      <c r="AV361" s="14">
        <v>18.0</v>
      </c>
      <c r="AW361" s="14" t="s">
        <v>99</v>
      </c>
      <c r="AX361" s="14" t="s">
        <v>99</v>
      </c>
      <c r="AY361" s="14">
        <v>1.0</v>
      </c>
      <c r="AZ361" s="14" t="s">
        <v>99</v>
      </c>
      <c r="BA361" s="14" t="s">
        <v>99</v>
      </c>
      <c r="BB361" s="14" t="s">
        <v>7293</v>
      </c>
      <c r="BC361" s="14" t="s">
        <v>7294</v>
      </c>
      <c r="BD361" s="14" t="s">
        <v>99</v>
      </c>
      <c r="BE361" s="14" t="s">
        <v>7295</v>
      </c>
      <c r="BF361" s="15" t="str">
        <f>HYPERLINK("http://dx.doi.org/10.1017/S0959270908000439","http://dx.doi.org/10.1017/S0959270908000439")</f>
        <v>http://dx.doi.org/10.1017/S0959270908000439</v>
      </c>
      <c r="BG361" s="14" t="s">
        <v>99</v>
      </c>
      <c r="BH361" s="14" t="s">
        <v>99</v>
      </c>
      <c r="BI361" s="14">
        <v>25.0</v>
      </c>
      <c r="BJ361" s="14" t="s">
        <v>5102</v>
      </c>
      <c r="BK361" s="14" t="s">
        <v>122</v>
      </c>
      <c r="BL361" s="14" t="s">
        <v>5103</v>
      </c>
      <c r="BM361" s="14" t="s">
        <v>7296</v>
      </c>
      <c r="BN361" s="14" t="s">
        <v>99</v>
      </c>
      <c r="BO361" s="14" t="s">
        <v>238</v>
      </c>
      <c r="BP361" s="14" t="s">
        <v>99</v>
      </c>
      <c r="BQ361" s="14" t="s">
        <v>99</v>
      </c>
      <c r="BR361" s="14" t="s">
        <v>124</v>
      </c>
      <c r="BS361" s="14" t="s">
        <v>7297</v>
      </c>
      <c r="BT361" s="14" t="str">
        <f>HYPERLINK("https%3A%2F%2Fwww.webofscience.com%2Fwos%2Fwoscc%2Ffull-record%2FWOS:000259453100005","View Full Record in Web of Science")</f>
        <v>View Full Record in Web of Science</v>
      </c>
    </row>
    <row r="362" ht="12.75" customHeight="1">
      <c r="A362" s="14" t="s">
        <v>97</v>
      </c>
      <c r="B362" s="14" t="s">
        <v>7298</v>
      </c>
      <c r="C362" s="14" t="s">
        <v>99</v>
      </c>
      <c r="D362" s="14" t="s">
        <v>99</v>
      </c>
      <c r="E362" s="14" t="s">
        <v>99</v>
      </c>
      <c r="F362" s="14" t="s">
        <v>7299</v>
      </c>
      <c r="G362" s="14" t="s">
        <v>99</v>
      </c>
      <c r="H362" s="14" t="s">
        <v>99</v>
      </c>
      <c r="I362" s="14" t="s">
        <v>7300</v>
      </c>
      <c r="J362" s="14" t="s">
        <v>2500</v>
      </c>
      <c r="K362" s="14" t="s">
        <v>99</v>
      </c>
      <c r="L362" s="14" t="s">
        <v>99</v>
      </c>
      <c r="M362" s="14" t="s">
        <v>103</v>
      </c>
      <c r="N362" s="14" t="s">
        <v>104</v>
      </c>
      <c r="O362" s="14" t="s">
        <v>99</v>
      </c>
      <c r="P362" s="14" t="s">
        <v>99</v>
      </c>
      <c r="Q362" s="14" t="s">
        <v>99</v>
      </c>
      <c r="R362" s="14" t="s">
        <v>99</v>
      </c>
      <c r="S362" s="14" t="s">
        <v>99</v>
      </c>
      <c r="T362" s="14" t="s">
        <v>99</v>
      </c>
      <c r="U362" s="14" t="s">
        <v>7301</v>
      </c>
      <c r="V362" s="14" t="s">
        <v>7302</v>
      </c>
      <c r="W362" s="14" t="s">
        <v>7303</v>
      </c>
      <c r="X362" s="14" t="s">
        <v>7304</v>
      </c>
      <c r="Y362" s="14" t="s">
        <v>7305</v>
      </c>
      <c r="Z362" s="14" t="s">
        <v>7306</v>
      </c>
      <c r="AA362" s="14" t="s">
        <v>7307</v>
      </c>
      <c r="AB362" s="14" t="s">
        <v>7308</v>
      </c>
      <c r="AC362" s="14" t="s">
        <v>7309</v>
      </c>
      <c r="AD362" s="14" t="s">
        <v>7310</v>
      </c>
      <c r="AE362" s="14" t="s">
        <v>7311</v>
      </c>
      <c r="AF362" s="14" t="s">
        <v>99</v>
      </c>
      <c r="AG362" s="14">
        <v>52.0</v>
      </c>
      <c r="AH362" s="14">
        <v>218.0</v>
      </c>
      <c r="AI362" s="14">
        <v>241.0</v>
      </c>
      <c r="AJ362" s="14">
        <v>0.0</v>
      </c>
      <c r="AK362" s="14">
        <v>194.0</v>
      </c>
      <c r="AL362" s="14" t="s">
        <v>2512</v>
      </c>
      <c r="AM362" s="14" t="s">
        <v>2513</v>
      </c>
      <c r="AN362" s="14" t="s">
        <v>2514</v>
      </c>
      <c r="AO362" s="14" t="s">
        <v>2515</v>
      </c>
      <c r="AP362" s="14" t="s">
        <v>99</v>
      </c>
      <c r="AQ362" s="14" t="s">
        <v>99</v>
      </c>
      <c r="AR362" s="14" t="s">
        <v>2500</v>
      </c>
      <c r="AS362" s="14" t="s">
        <v>2516</v>
      </c>
      <c r="AT362" s="14" t="s">
        <v>7312</v>
      </c>
      <c r="AU362" s="14">
        <v>2008.0</v>
      </c>
      <c r="AV362" s="14">
        <v>3.0</v>
      </c>
      <c r="AW362" s="14">
        <v>8.0</v>
      </c>
      <c r="AX362" s="14" t="s">
        <v>99</v>
      </c>
      <c r="AY362" s="14" t="s">
        <v>99</v>
      </c>
      <c r="AZ362" s="14" t="s">
        <v>99</v>
      </c>
      <c r="BA362" s="14" t="s">
        <v>99</v>
      </c>
      <c r="BB362" s="14" t="s">
        <v>99</v>
      </c>
      <c r="BC362" s="14" t="s">
        <v>99</v>
      </c>
      <c r="BD362" s="14" t="s">
        <v>7313</v>
      </c>
      <c r="BE362" s="14" t="s">
        <v>7314</v>
      </c>
      <c r="BF362" s="15" t="str">
        <f>HYPERLINK("http://dx.doi.org/10.1371/journal.pone.0003039","http://dx.doi.org/10.1371/journal.pone.0003039")</f>
        <v>http://dx.doi.org/10.1371/journal.pone.0003039</v>
      </c>
      <c r="BG362" s="14" t="s">
        <v>99</v>
      </c>
      <c r="BH362" s="14" t="s">
        <v>99</v>
      </c>
      <c r="BI362" s="14">
        <v>9.0</v>
      </c>
      <c r="BJ362" s="14" t="s">
        <v>799</v>
      </c>
      <c r="BK362" s="14" t="s">
        <v>122</v>
      </c>
      <c r="BL362" s="14" t="s">
        <v>801</v>
      </c>
      <c r="BM362" s="14" t="s">
        <v>7315</v>
      </c>
      <c r="BN362" s="14">
        <v>1.8728776E7</v>
      </c>
      <c r="BO362" s="14" t="s">
        <v>1251</v>
      </c>
      <c r="BP362" s="14" t="s">
        <v>99</v>
      </c>
      <c r="BQ362" s="14" t="s">
        <v>99</v>
      </c>
      <c r="BR362" s="14" t="s">
        <v>124</v>
      </c>
      <c r="BS362" s="14" t="s">
        <v>7316</v>
      </c>
      <c r="BT362" s="14" t="str">
        <f>HYPERLINK("https%3A%2F%2Fwww.webofscience.com%2Fwos%2Fwoscc%2Ffull-record%2FWOS:000264796400003","View Full Record in Web of Science")</f>
        <v>View Full Record in Web of Science</v>
      </c>
    </row>
    <row r="363" ht="12.75" customHeight="1">
      <c r="A363" s="14" t="s">
        <v>97</v>
      </c>
      <c r="B363" s="14" t="s">
        <v>7317</v>
      </c>
      <c r="C363" s="14" t="s">
        <v>99</v>
      </c>
      <c r="D363" s="14" t="s">
        <v>99</v>
      </c>
      <c r="E363" s="14" t="s">
        <v>99</v>
      </c>
      <c r="F363" s="14" t="s">
        <v>7318</v>
      </c>
      <c r="G363" s="14" t="s">
        <v>99</v>
      </c>
      <c r="H363" s="14" t="s">
        <v>99</v>
      </c>
      <c r="I363" s="14" t="s">
        <v>7319</v>
      </c>
      <c r="J363" s="14" t="s">
        <v>532</v>
      </c>
      <c r="K363" s="14" t="s">
        <v>99</v>
      </c>
      <c r="L363" s="14" t="s">
        <v>99</v>
      </c>
      <c r="M363" s="14" t="s">
        <v>103</v>
      </c>
      <c r="N363" s="14" t="s">
        <v>104</v>
      </c>
      <c r="O363" s="14" t="s">
        <v>99</v>
      </c>
      <c r="P363" s="14" t="s">
        <v>99</v>
      </c>
      <c r="Q363" s="14" t="s">
        <v>99</v>
      </c>
      <c r="R363" s="14" t="s">
        <v>99</v>
      </c>
      <c r="S363" s="14" t="s">
        <v>99</v>
      </c>
      <c r="T363" s="14" t="s">
        <v>7320</v>
      </c>
      <c r="U363" s="14" t="s">
        <v>7321</v>
      </c>
      <c r="V363" s="14" t="s">
        <v>7322</v>
      </c>
      <c r="W363" s="14" t="s">
        <v>7323</v>
      </c>
      <c r="X363" s="14" t="s">
        <v>7324</v>
      </c>
      <c r="Y363" s="14" t="s">
        <v>7325</v>
      </c>
      <c r="Z363" s="14" t="s">
        <v>7326</v>
      </c>
      <c r="AA363" s="14" t="s">
        <v>7327</v>
      </c>
      <c r="AB363" s="14" t="s">
        <v>7328</v>
      </c>
      <c r="AC363" s="14" t="s">
        <v>99</v>
      </c>
      <c r="AD363" s="14" t="s">
        <v>99</v>
      </c>
      <c r="AE363" s="14" t="s">
        <v>99</v>
      </c>
      <c r="AF363" s="14" t="s">
        <v>99</v>
      </c>
      <c r="AG363" s="14">
        <v>53.0</v>
      </c>
      <c r="AH363" s="14">
        <v>625.0</v>
      </c>
      <c r="AI363" s="14">
        <v>699.0</v>
      </c>
      <c r="AJ363" s="14">
        <v>0.0</v>
      </c>
      <c r="AK363" s="14">
        <v>314.0</v>
      </c>
      <c r="AL363" s="14" t="s">
        <v>1822</v>
      </c>
      <c r="AM363" s="14" t="s">
        <v>6591</v>
      </c>
      <c r="AN363" s="14" t="s">
        <v>6592</v>
      </c>
      <c r="AO363" s="14" t="s">
        <v>545</v>
      </c>
      <c r="AP363" s="14" t="s">
        <v>99</v>
      </c>
      <c r="AQ363" s="14" t="s">
        <v>99</v>
      </c>
      <c r="AR363" s="14" t="s">
        <v>547</v>
      </c>
      <c r="AS363" s="14" t="s">
        <v>548</v>
      </c>
      <c r="AT363" s="14" t="s">
        <v>474</v>
      </c>
      <c r="AU363" s="14">
        <v>2008.0</v>
      </c>
      <c r="AV363" s="14">
        <v>45.0</v>
      </c>
      <c r="AW363" s="14">
        <v>4.0</v>
      </c>
      <c r="AX363" s="14" t="s">
        <v>99</v>
      </c>
      <c r="AY363" s="14" t="s">
        <v>99</v>
      </c>
      <c r="AZ363" s="14" t="s">
        <v>99</v>
      </c>
      <c r="BA363" s="14" t="s">
        <v>99</v>
      </c>
      <c r="BB363" s="14">
        <v>1029.0</v>
      </c>
      <c r="BC363" s="14">
        <v>1039.0</v>
      </c>
      <c r="BD363" s="14" t="s">
        <v>99</v>
      </c>
      <c r="BE363" s="14" t="s">
        <v>7329</v>
      </c>
      <c r="BF363" s="15" t="str">
        <f>HYPERLINK("http://dx.doi.org/10.1111/j.1365-2664.2008.01488.x","http://dx.doi.org/10.1111/j.1365-2664.2008.01488.x")</f>
        <v>http://dx.doi.org/10.1111/j.1365-2664.2008.01488.x</v>
      </c>
      <c r="BG363" s="14" t="s">
        <v>99</v>
      </c>
      <c r="BH363" s="14" t="s">
        <v>99</v>
      </c>
      <c r="BI363" s="14">
        <v>11.0</v>
      </c>
      <c r="BJ363" s="14" t="s">
        <v>550</v>
      </c>
      <c r="BK363" s="14" t="s">
        <v>122</v>
      </c>
      <c r="BL363" s="14" t="s">
        <v>352</v>
      </c>
      <c r="BM363" s="14" t="s">
        <v>7330</v>
      </c>
      <c r="BN363" s="14" t="s">
        <v>99</v>
      </c>
      <c r="BO363" s="14" t="s">
        <v>238</v>
      </c>
      <c r="BP363" s="14" t="s">
        <v>99</v>
      </c>
      <c r="BQ363" s="14" t="s">
        <v>99</v>
      </c>
      <c r="BR363" s="14" t="s">
        <v>124</v>
      </c>
      <c r="BS363" s="14" t="s">
        <v>7331</v>
      </c>
      <c r="BT363" s="14" t="str">
        <f>HYPERLINK("https%3A%2F%2Fwww.webofscience.com%2Fwos%2Fwoscc%2Ffull-record%2FWOS:000257497300005","View Full Record in Web of Science")</f>
        <v>View Full Record in Web of Science</v>
      </c>
    </row>
    <row r="364" ht="12.75" customHeight="1">
      <c r="A364" s="14" t="s">
        <v>97</v>
      </c>
      <c r="B364" s="14" t="s">
        <v>7332</v>
      </c>
      <c r="C364" s="14" t="s">
        <v>99</v>
      </c>
      <c r="D364" s="14" t="s">
        <v>99</v>
      </c>
      <c r="E364" s="14" t="s">
        <v>99</v>
      </c>
      <c r="F364" s="14" t="s">
        <v>7333</v>
      </c>
      <c r="G364" s="14" t="s">
        <v>99</v>
      </c>
      <c r="H364" s="14" t="s">
        <v>99</v>
      </c>
      <c r="I364" s="14" t="s">
        <v>7334</v>
      </c>
      <c r="J364" s="14" t="s">
        <v>7335</v>
      </c>
      <c r="K364" s="14" t="s">
        <v>99</v>
      </c>
      <c r="L364" s="14" t="s">
        <v>99</v>
      </c>
      <c r="M364" s="14" t="s">
        <v>103</v>
      </c>
      <c r="N364" s="14" t="s">
        <v>2284</v>
      </c>
      <c r="O364" s="14" t="s">
        <v>7336</v>
      </c>
      <c r="P364" s="14" t="s">
        <v>7337</v>
      </c>
      <c r="Q364" s="14" t="s">
        <v>7338</v>
      </c>
      <c r="R364" s="14" t="s">
        <v>7339</v>
      </c>
      <c r="S364" s="14" t="s">
        <v>99</v>
      </c>
      <c r="T364" s="14" t="s">
        <v>7340</v>
      </c>
      <c r="U364" s="14" t="s">
        <v>7341</v>
      </c>
      <c r="V364" s="14" t="s">
        <v>7342</v>
      </c>
      <c r="W364" s="14" t="s">
        <v>7343</v>
      </c>
      <c r="X364" s="14" t="s">
        <v>7344</v>
      </c>
      <c r="Y364" s="14" t="s">
        <v>7345</v>
      </c>
      <c r="Z364" s="14" t="s">
        <v>7346</v>
      </c>
      <c r="AA364" s="14" t="s">
        <v>7347</v>
      </c>
      <c r="AB364" s="14" t="s">
        <v>7348</v>
      </c>
      <c r="AC364" s="14" t="s">
        <v>7349</v>
      </c>
      <c r="AD364" s="14" t="s">
        <v>7350</v>
      </c>
      <c r="AE364" s="14" t="s">
        <v>99</v>
      </c>
      <c r="AF364" s="14" t="s">
        <v>99</v>
      </c>
      <c r="AG364" s="14">
        <v>61.0</v>
      </c>
      <c r="AH364" s="14">
        <v>60.0</v>
      </c>
      <c r="AI364" s="14">
        <v>70.0</v>
      </c>
      <c r="AJ364" s="14">
        <v>2.0</v>
      </c>
      <c r="AK364" s="14">
        <v>30.0</v>
      </c>
      <c r="AL364" s="14" t="s">
        <v>1731</v>
      </c>
      <c r="AM364" s="14" t="s">
        <v>1594</v>
      </c>
      <c r="AN364" s="14" t="s">
        <v>3585</v>
      </c>
      <c r="AO364" s="14" t="s">
        <v>7351</v>
      </c>
      <c r="AP364" s="14" t="s">
        <v>7352</v>
      </c>
      <c r="AQ364" s="14" t="s">
        <v>99</v>
      </c>
      <c r="AR364" s="14" t="s">
        <v>7353</v>
      </c>
      <c r="AS364" s="14" t="s">
        <v>7354</v>
      </c>
      <c r="AT364" s="14" t="s">
        <v>474</v>
      </c>
      <c r="AU364" s="14">
        <v>2008.0</v>
      </c>
      <c r="AV364" s="14">
        <v>29.0</v>
      </c>
      <c r="AW364" s="14">
        <v>4.0</v>
      </c>
      <c r="AX364" s="14" t="s">
        <v>99</v>
      </c>
      <c r="AY364" s="14" t="s">
        <v>99</v>
      </c>
      <c r="AZ364" s="14" t="s">
        <v>99</v>
      </c>
      <c r="BA364" s="14" t="s">
        <v>99</v>
      </c>
      <c r="BB364" s="14">
        <v>1065.0</v>
      </c>
      <c r="BC364" s="14">
        <v>1082.0</v>
      </c>
      <c r="BD364" s="14" t="s">
        <v>99</v>
      </c>
      <c r="BE364" s="14" t="s">
        <v>7355</v>
      </c>
      <c r="BF364" s="15" t="str">
        <f>HYPERLINK("http://dx.doi.org/10.1007/s10764-008-9254-9","http://dx.doi.org/10.1007/s10764-008-9254-9")</f>
        <v>http://dx.doi.org/10.1007/s10764-008-9254-9</v>
      </c>
      <c r="BG364" s="14" t="s">
        <v>99</v>
      </c>
      <c r="BH364" s="14" t="s">
        <v>99</v>
      </c>
      <c r="BI364" s="14">
        <v>18.0</v>
      </c>
      <c r="BJ364" s="14" t="s">
        <v>121</v>
      </c>
      <c r="BK364" s="14" t="s">
        <v>2311</v>
      </c>
      <c r="BL364" s="14" t="s">
        <v>121</v>
      </c>
      <c r="BM364" s="14" t="s">
        <v>7356</v>
      </c>
      <c r="BN364" s="14" t="s">
        <v>99</v>
      </c>
      <c r="BO364" s="14" t="s">
        <v>99</v>
      </c>
      <c r="BP364" s="14" t="s">
        <v>99</v>
      </c>
      <c r="BQ364" s="14" t="s">
        <v>99</v>
      </c>
      <c r="BR364" s="14" t="s">
        <v>124</v>
      </c>
      <c r="BS364" s="14" t="s">
        <v>7357</v>
      </c>
      <c r="BT364" s="14" t="str">
        <f>HYPERLINK("https%3A%2F%2Fwww.webofscience.com%2Fwos%2Fwoscc%2Ffull-record%2FWOS:000258959800015","View Full Record in Web of Science")</f>
        <v>View Full Record in Web of Science</v>
      </c>
    </row>
    <row r="365" ht="12.75" customHeight="1">
      <c r="A365" s="14" t="s">
        <v>97</v>
      </c>
      <c r="B365" s="14" t="s">
        <v>7358</v>
      </c>
      <c r="C365" s="14" t="s">
        <v>99</v>
      </c>
      <c r="D365" s="14" t="s">
        <v>99</v>
      </c>
      <c r="E365" s="14" t="s">
        <v>99</v>
      </c>
      <c r="F365" s="14" t="s">
        <v>7359</v>
      </c>
      <c r="G365" s="14" t="s">
        <v>99</v>
      </c>
      <c r="H365" s="14" t="s">
        <v>99</v>
      </c>
      <c r="I365" s="14" t="s">
        <v>7360</v>
      </c>
      <c r="J365" s="14" t="s">
        <v>328</v>
      </c>
      <c r="K365" s="14" t="s">
        <v>99</v>
      </c>
      <c r="L365" s="14" t="s">
        <v>99</v>
      </c>
      <c r="M365" s="14" t="s">
        <v>103</v>
      </c>
      <c r="N365" s="14" t="s">
        <v>104</v>
      </c>
      <c r="O365" s="14" t="s">
        <v>99</v>
      </c>
      <c r="P365" s="14" t="s">
        <v>99</v>
      </c>
      <c r="Q365" s="14" t="s">
        <v>99</v>
      </c>
      <c r="R365" s="14" t="s">
        <v>99</v>
      </c>
      <c r="S365" s="14" t="s">
        <v>99</v>
      </c>
      <c r="T365" s="14" t="s">
        <v>7361</v>
      </c>
      <c r="U365" s="14" t="s">
        <v>7362</v>
      </c>
      <c r="V365" s="14" t="s">
        <v>7363</v>
      </c>
      <c r="W365" s="14" t="s">
        <v>7364</v>
      </c>
      <c r="X365" s="14" t="s">
        <v>7365</v>
      </c>
      <c r="Y365" s="14" t="s">
        <v>7366</v>
      </c>
      <c r="Z365" s="14" t="s">
        <v>7367</v>
      </c>
      <c r="AA365" s="14" t="s">
        <v>99</v>
      </c>
      <c r="AB365" s="14" t="s">
        <v>7368</v>
      </c>
      <c r="AC365" s="14" t="s">
        <v>99</v>
      </c>
      <c r="AD365" s="14" t="s">
        <v>99</v>
      </c>
      <c r="AE365" s="14" t="s">
        <v>99</v>
      </c>
      <c r="AF365" s="14" t="s">
        <v>99</v>
      </c>
      <c r="AG365" s="14">
        <v>88.0</v>
      </c>
      <c r="AH365" s="14">
        <v>293.0</v>
      </c>
      <c r="AI365" s="14">
        <v>341.0</v>
      </c>
      <c r="AJ365" s="14">
        <v>3.0</v>
      </c>
      <c r="AK365" s="14">
        <v>142.0</v>
      </c>
      <c r="AL365" s="14" t="s">
        <v>341</v>
      </c>
      <c r="AM365" s="14" t="s">
        <v>342</v>
      </c>
      <c r="AN365" s="14" t="s">
        <v>343</v>
      </c>
      <c r="AO365" s="14" t="s">
        <v>344</v>
      </c>
      <c r="AP365" s="14" t="s">
        <v>345</v>
      </c>
      <c r="AQ365" s="14" t="s">
        <v>99</v>
      </c>
      <c r="AR365" s="14" t="s">
        <v>346</v>
      </c>
      <c r="AS365" s="14" t="s">
        <v>347</v>
      </c>
      <c r="AT365" s="14" t="s">
        <v>474</v>
      </c>
      <c r="AU365" s="14">
        <v>2008.0</v>
      </c>
      <c r="AV365" s="14">
        <v>14.0</v>
      </c>
      <c r="AW365" s="14">
        <v>8.0</v>
      </c>
      <c r="AX365" s="14" t="s">
        <v>99</v>
      </c>
      <c r="AY365" s="14" t="s">
        <v>99</v>
      </c>
      <c r="AZ365" s="14" t="s">
        <v>99</v>
      </c>
      <c r="BA365" s="14" t="s">
        <v>99</v>
      </c>
      <c r="BB365" s="14">
        <v>1703.0</v>
      </c>
      <c r="BC365" s="14">
        <v>1720.0</v>
      </c>
      <c r="BD365" s="14" t="s">
        <v>99</v>
      </c>
      <c r="BE365" s="14" t="s">
        <v>7369</v>
      </c>
      <c r="BF365" s="15" t="str">
        <f>HYPERLINK("http://dx.doi.org/10.1111/j.1365-2486.2008.01596.x","http://dx.doi.org/10.1111/j.1365-2486.2008.01596.x")</f>
        <v>http://dx.doi.org/10.1111/j.1365-2486.2008.01596.x</v>
      </c>
      <c r="BG365" s="14" t="s">
        <v>99</v>
      </c>
      <c r="BH365" s="14" t="s">
        <v>99</v>
      </c>
      <c r="BI365" s="14">
        <v>18.0</v>
      </c>
      <c r="BJ365" s="14" t="s">
        <v>351</v>
      </c>
      <c r="BK365" s="14" t="s">
        <v>122</v>
      </c>
      <c r="BL365" s="14" t="s">
        <v>352</v>
      </c>
      <c r="BM365" s="14" t="s">
        <v>7370</v>
      </c>
      <c r="BN365" s="14" t="s">
        <v>99</v>
      </c>
      <c r="BO365" s="14" t="s">
        <v>373</v>
      </c>
      <c r="BP365" s="14" t="s">
        <v>99</v>
      </c>
      <c r="BQ365" s="14" t="s">
        <v>99</v>
      </c>
      <c r="BR365" s="14" t="s">
        <v>124</v>
      </c>
      <c r="BS365" s="14" t="s">
        <v>7371</v>
      </c>
      <c r="BT365" s="14" t="str">
        <f>HYPERLINK("https%3A%2F%2Fwww.webofscience.com%2Fwos%2Fwoscc%2Ffull-record%2FWOS:000257712400001","View Full Record in Web of Science")</f>
        <v>View Full Record in Web of Science</v>
      </c>
    </row>
    <row r="366" ht="12.75" customHeight="1">
      <c r="A366" s="14" t="s">
        <v>97</v>
      </c>
      <c r="B366" s="14" t="s">
        <v>7372</v>
      </c>
      <c r="C366" s="14" t="s">
        <v>99</v>
      </c>
      <c r="D366" s="14" t="s">
        <v>99</v>
      </c>
      <c r="E366" s="14" t="s">
        <v>99</v>
      </c>
      <c r="F366" s="14" t="s">
        <v>7373</v>
      </c>
      <c r="G366" s="14" t="s">
        <v>99</v>
      </c>
      <c r="H366" s="14" t="s">
        <v>99</v>
      </c>
      <c r="I366" s="14" t="s">
        <v>7374</v>
      </c>
      <c r="J366" s="14" t="s">
        <v>1102</v>
      </c>
      <c r="K366" s="14" t="s">
        <v>99</v>
      </c>
      <c r="L366" s="14" t="s">
        <v>99</v>
      </c>
      <c r="M366" s="14" t="s">
        <v>103</v>
      </c>
      <c r="N366" s="14" t="s">
        <v>104</v>
      </c>
      <c r="O366" s="14" t="s">
        <v>99</v>
      </c>
      <c r="P366" s="14" t="s">
        <v>99</v>
      </c>
      <c r="Q366" s="14" t="s">
        <v>99</v>
      </c>
      <c r="R366" s="14" t="s">
        <v>99</v>
      </c>
      <c r="S366" s="14" t="s">
        <v>99</v>
      </c>
      <c r="T366" s="14" t="s">
        <v>7375</v>
      </c>
      <c r="U366" s="14" t="s">
        <v>7376</v>
      </c>
      <c r="V366" s="14" t="s">
        <v>7377</v>
      </c>
      <c r="W366" s="14" t="s">
        <v>7378</v>
      </c>
      <c r="X366" s="14" t="s">
        <v>7379</v>
      </c>
      <c r="Y366" s="14" t="s">
        <v>7380</v>
      </c>
      <c r="Z366" s="14" t="s">
        <v>7381</v>
      </c>
      <c r="AA366" s="14" t="s">
        <v>7382</v>
      </c>
      <c r="AB366" s="14" t="s">
        <v>7383</v>
      </c>
      <c r="AC366" s="14" t="s">
        <v>7384</v>
      </c>
      <c r="AD366" s="14" t="s">
        <v>7385</v>
      </c>
      <c r="AE366" s="14" t="s">
        <v>99</v>
      </c>
      <c r="AF366" s="14" t="s">
        <v>99</v>
      </c>
      <c r="AG366" s="14">
        <v>74.0</v>
      </c>
      <c r="AH366" s="14">
        <v>413.0</v>
      </c>
      <c r="AI366" s="14">
        <v>475.0</v>
      </c>
      <c r="AJ366" s="14">
        <v>7.0</v>
      </c>
      <c r="AK366" s="14">
        <v>285.0</v>
      </c>
      <c r="AL366" s="14" t="s">
        <v>493</v>
      </c>
      <c r="AM366" s="14" t="s">
        <v>468</v>
      </c>
      <c r="AN366" s="14" t="s">
        <v>635</v>
      </c>
      <c r="AO366" s="14" t="s">
        <v>1112</v>
      </c>
      <c r="AP366" s="14" t="s">
        <v>1113</v>
      </c>
      <c r="AQ366" s="14" t="s">
        <v>99</v>
      </c>
      <c r="AR366" s="14" t="s">
        <v>1114</v>
      </c>
      <c r="AS366" s="14" t="s">
        <v>1115</v>
      </c>
      <c r="AT366" s="14" t="s">
        <v>525</v>
      </c>
      <c r="AU366" s="14">
        <v>2008.0</v>
      </c>
      <c r="AV366" s="14">
        <v>141.0</v>
      </c>
      <c r="AW366" s="14">
        <v>7.0</v>
      </c>
      <c r="AX366" s="14" t="s">
        <v>99</v>
      </c>
      <c r="AY366" s="14" t="s">
        <v>99</v>
      </c>
      <c r="AZ366" s="14" t="s">
        <v>99</v>
      </c>
      <c r="BA366" s="14" t="s">
        <v>99</v>
      </c>
      <c r="BB366" s="14">
        <v>1745.0</v>
      </c>
      <c r="BC366" s="14">
        <v>1757.0</v>
      </c>
      <c r="BD366" s="14" t="s">
        <v>99</v>
      </c>
      <c r="BE366" s="14" t="s">
        <v>7386</v>
      </c>
      <c r="BF366" s="15" t="str">
        <f>HYPERLINK("http://dx.doi.org/10.1016/j.biocon.2008.04.024","http://dx.doi.org/10.1016/j.biocon.2008.04.024")</f>
        <v>http://dx.doi.org/10.1016/j.biocon.2008.04.024</v>
      </c>
      <c r="BG366" s="14" t="s">
        <v>99</v>
      </c>
      <c r="BH366" s="14" t="s">
        <v>99</v>
      </c>
      <c r="BI366" s="14">
        <v>13.0</v>
      </c>
      <c r="BJ366" s="14" t="s">
        <v>351</v>
      </c>
      <c r="BK366" s="14" t="s">
        <v>122</v>
      </c>
      <c r="BL366" s="14" t="s">
        <v>352</v>
      </c>
      <c r="BM366" s="14" t="s">
        <v>7387</v>
      </c>
      <c r="BN366" s="14" t="s">
        <v>99</v>
      </c>
      <c r="BO366" s="14" t="s">
        <v>99</v>
      </c>
      <c r="BP366" s="14" t="s">
        <v>99</v>
      </c>
      <c r="BQ366" s="14" t="s">
        <v>99</v>
      </c>
      <c r="BR366" s="14" t="s">
        <v>124</v>
      </c>
      <c r="BS366" s="14" t="s">
        <v>7388</v>
      </c>
      <c r="BT366" s="14" t="str">
        <f>HYPERLINK("https%3A%2F%2Fwww.webofscience.com%2Fwos%2Fwoscc%2Ffull-record%2FWOS:000258306300002","View Full Record in Web of Science")</f>
        <v>View Full Record in Web of Science</v>
      </c>
    </row>
    <row r="367" ht="12.75" customHeight="1">
      <c r="A367" s="14" t="s">
        <v>97</v>
      </c>
      <c r="B367" s="14" t="s">
        <v>7389</v>
      </c>
      <c r="C367" s="14" t="s">
        <v>99</v>
      </c>
      <c r="D367" s="14" t="s">
        <v>99</v>
      </c>
      <c r="E367" s="14" t="s">
        <v>99</v>
      </c>
      <c r="F367" s="14" t="s">
        <v>7390</v>
      </c>
      <c r="G367" s="14" t="s">
        <v>99</v>
      </c>
      <c r="H367" s="14" t="s">
        <v>99</v>
      </c>
      <c r="I367" s="14" t="s">
        <v>7391</v>
      </c>
      <c r="J367" s="14" t="s">
        <v>7392</v>
      </c>
      <c r="K367" s="14" t="s">
        <v>99</v>
      </c>
      <c r="L367" s="14" t="s">
        <v>99</v>
      </c>
      <c r="M367" s="14" t="s">
        <v>103</v>
      </c>
      <c r="N367" s="14" t="s">
        <v>104</v>
      </c>
      <c r="O367" s="14" t="s">
        <v>99</v>
      </c>
      <c r="P367" s="14" t="s">
        <v>99</v>
      </c>
      <c r="Q367" s="14" t="s">
        <v>99</v>
      </c>
      <c r="R367" s="14" t="s">
        <v>99</v>
      </c>
      <c r="S367" s="14" t="s">
        <v>99</v>
      </c>
      <c r="T367" s="14" t="s">
        <v>7393</v>
      </c>
      <c r="U367" s="14" t="s">
        <v>7394</v>
      </c>
      <c r="V367" s="14" t="s">
        <v>7395</v>
      </c>
      <c r="W367" s="14" t="s">
        <v>7396</v>
      </c>
      <c r="X367" s="14" t="s">
        <v>7397</v>
      </c>
      <c r="Y367" s="14" t="s">
        <v>7398</v>
      </c>
      <c r="Z367" s="14" t="s">
        <v>7399</v>
      </c>
      <c r="AA367" s="14" t="s">
        <v>7400</v>
      </c>
      <c r="AB367" s="14" t="s">
        <v>7401</v>
      </c>
      <c r="AC367" s="14" t="s">
        <v>99</v>
      </c>
      <c r="AD367" s="14" t="s">
        <v>99</v>
      </c>
      <c r="AE367" s="14" t="s">
        <v>99</v>
      </c>
      <c r="AF367" s="14" t="s">
        <v>99</v>
      </c>
      <c r="AG367" s="14">
        <v>44.0</v>
      </c>
      <c r="AH367" s="14">
        <v>49.0</v>
      </c>
      <c r="AI367" s="14">
        <v>57.0</v>
      </c>
      <c r="AJ367" s="14">
        <v>3.0</v>
      </c>
      <c r="AK367" s="14">
        <v>51.0</v>
      </c>
      <c r="AL367" s="14" t="s">
        <v>7402</v>
      </c>
      <c r="AM367" s="14" t="s">
        <v>7403</v>
      </c>
      <c r="AN367" s="14" t="s">
        <v>7404</v>
      </c>
      <c r="AO367" s="14" t="s">
        <v>7405</v>
      </c>
      <c r="AP367" s="14" t="s">
        <v>99</v>
      </c>
      <c r="AQ367" s="14" t="s">
        <v>99</v>
      </c>
      <c r="AR367" s="14" t="s">
        <v>7406</v>
      </c>
      <c r="AS367" s="14" t="s">
        <v>7407</v>
      </c>
      <c r="AT367" s="14" t="s">
        <v>525</v>
      </c>
      <c r="AU367" s="14">
        <v>2008.0</v>
      </c>
      <c r="AV367" s="14">
        <v>23.0</v>
      </c>
      <c r="AW367" s="14">
        <v>4.0</v>
      </c>
      <c r="AX367" s="14" t="s">
        <v>99</v>
      </c>
      <c r="AY367" s="14" t="s">
        <v>99</v>
      </c>
      <c r="AZ367" s="14" t="s">
        <v>99</v>
      </c>
      <c r="BA367" s="14" t="s">
        <v>99</v>
      </c>
      <c r="BB367" s="14">
        <v>657.0</v>
      </c>
      <c r="BC367" s="14">
        <v>663.0</v>
      </c>
      <c r="BD367" s="14" t="s">
        <v>99</v>
      </c>
      <c r="BE367" s="14" t="s">
        <v>7408</v>
      </c>
      <c r="BF367" s="15" t="str">
        <f>HYPERLINK("http://dx.doi.org/10.1007/s11284-007-0423-7","http://dx.doi.org/10.1007/s11284-007-0423-7")</f>
        <v>http://dx.doi.org/10.1007/s11284-007-0423-7</v>
      </c>
      <c r="BG367" s="14" t="s">
        <v>99</v>
      </c>
      <c r="BH367" s="14" t="s">
        <v>99</v>
      </c>
      <c r="BI367" s="14">
        <v>7.0</v>
      </c>
      <c r="BJ367" s="14" t="s">
        <v>259</v>
      </c>
      <c r="BK367" s="14" t="s">
        <v>122</v>
      </c>
      <c r="BL367" s="14" t="s">
        <v>260</v>
      </c>
      <c r="BM367" s="14" t="s">
        <v>7409</v>
      </c>
      <c r="BN367" s="14" t="s">
        <v>99</v>
      </c>
      <c r="BO367" s="14" t="s">
        <v>99</v>
      </c>
      <c r="BP367" s="14" t="s">
        <v>99</v>
      </c>
      <c r="BQ367" s="14" t="s">
        <v>99</v>
      </c>
      <c r="BR367" s="14" t="s">
        <v>124</v>
      </c>
      <c r="BS367" s="14" t="s">
        <v>7410</v>
      </c>
      <c r="BT367" s="14" t="str">
        <f>HYPERLINK("https%3A%2F%2Fwww.webofscience.com%2Fwos%2Fwoscc%2Ffull-record%2FWOS:000257395300003","View Full Record in Web of Science")</f>
        <v>View Full Record in Web of Science</v>
      </c>
    </row>
    <row r="368" ht="12.75" customHeight="1">
      <c r="A368" s="14" t="s">
        <v>97</v>
      </c>
      <c r="B368" s="14" t="s">
        <v>7411</v>
      </c>
      <c r="C368" s="14" t="s">
        <v>99</v>
      </c>
      <c r="D368" s="14" t="s">
        <v>99</v>
      </c>
      <c r="E368" s="14" t="s">
        <v>99</v>
      </c>
      <c r="F368" s="14" t="s">
        <v>7412</v>
      </c>
      <c r="G368" s="14" t="s">
        <v>99</v>
      </c>
      <c r="H368" s="14" t="s">
        <v>99</v>
      </c>
      <c r="I368" s="14" t="s">
        <v>7413</v>
      </c>
      <c r="J368" s="14" t="s">
        <v>1721</v>
      </c>
      <c r="K368" s="14" t="s">
        <v>99</v>
      </c>
      <c r="L368" s="14" t="s">
        <v>99</v>
      </c>
      <c r="M368" s="14" t="s">
        <v>103</v>
      </c>
      <c r="N368" s="14" t="s">
        <v>104</v>
      </c>
      <c r="O368" s="14" t="s">
        <v>99</v>
      </c>
      <c r="P368" s="14" t="s">
        <v>99</v>
      </c>
      <c r="Q368" s="14" t="s">
        <v>99</v>
      </c>
      <c r="R368" s="14" t="s">
        <v>99</v>
      </c>
      <c r="S368" s="14" t="s">
        <v>99</v>
      </c>
      <c r="T368" s="14" t="s">
        <v>7414</v>
      </c>
      <c r="U368" s="14" t="s">
        <v>7415</v>
      </c>
      <c r="V368" s="14" t="s">
        <v>7416</v>
      </c>
      <c r="W368" s="14" t="s">
        <v>7417</v>
      </c>
      <c r="X368" s="14" t="s">
        <v>7418</v>
      </c>
      <c r="Y368" s="14" t="s">
        <v>7419</v>
      </c>
      <c r="Z368" s="14" t="s">
        <v>7420</v>
      </c>
      <c r="AA368" s="14" t="s">
        <v>7421</v>
      </c>
      <c r="AB368" s="14" t="s">
        <v>99</v>
      </c>
      <c r="AC368" s="14" t="s">
        <v>99</v>
      </c>
      <c r="AD368" s="14" t="s">
        <v>99</v>
      </c>
      <c r="AE368" s="14" t="s">
        <v>99</v>
      </c>
      <c r="AF368" s="14" t="s">
        <v>99</v>
      </c>
      <c r="AG368" s="14">
        <v>38.0</v>
      </c>
      <c r="AH368" s="14">
        <v>66.0</v>
      </c>
      <c r="AI368" s="14">
        <v>81.0</v>
      </c>
      <c r="AJ368" s="14">
        <v>0.0</v>
      </c>
      <c r="AK368" s="14">
        <v>80.0</v>
      </c>
      <c r="AL368" s="14" t="s">
        <v>1731</v>
      </c>
      <c r="AM368" s="14" t="s">
        <v>1732</v>
      </c>
      <c r="AN368" s="14" t="s">
        <v>1733</v>
      </c>
      <c r="AO368" s="14" t="s">
        <v>1734</v>
      </c>
      <c r="AP368" s="14" t="s">
        <v>1735</v>
      </c>
      <c r="AQ368" s="14" t="s">
        <v>99</v>
      </c>
      <c r="AR368" s="14" t="s">
        <v>1736</v>
      </c>
      <c r="AS368" s="14" t="s">
        <v>1737</v>
      </c>
      <c r="AT368" s="14" t="s">
        <v>525</v>
      </c>
      <c r="AU368" s="14">
        <v>2008.0</v>
      </c>
      <c r="AV368" s="14">
        <v>17.0</v>
      </c>
      <c r="AW368" s="14">
        <v>8.0</v>
      </c>
      <c r="AX368" s="14" t="s">
        <v>99</v>
      </c>
      <c r="AY368" s="14" t="s">
        <v>99</v>
      </c>
      <c r="AZ368" s="14" t="s">
        <v>99</v>
      </c>
      <c r="BA368" s="14" t="s">
        <v>99</v>
      </c>
      <c r="BB368" s="14">
        <v>1821.0</v>
      </c>
      <c r="BC368" s="14">
        <v>1835.0</v>
      </c>
      <c r="BD368" s="14" t="s">
        <v>99</v>
      </c>
      <c r="BE368" s="14" t="s">
        <v>7422</v>
      </c>
      <c r="BF368" s="15" t="str">
        <f>HYPERLINK("http://dx.doi.org/10.1007/s10531-007-9276-1","http://dx.doi.org/10.1007/s10531-007-9276-1")</f>
        <v>http://dx.doi.org/10.1007/s10531-007-9276-1</v>
      </c>
      <c r="BG368" s="14" t="s">
        <v>99</v>
      </c>
      <c r="BH368" s="14" t="s">
        <v>99</v>
      </c>
      <c r="BI368" s="14">
        <v>15.0</v>
      </c>
      <c r="BJ368" s="14" t="s">
        <v>351</v>
      </c>
      <c r="BK368" s="14" t="s">
        <v>122</v>
      </c>
      <c r="BL368" s="14" t="s">
        <v>352</v>
      </c>
      <c r="BM368" s="14" t="s">
        <v>7423</v>
      </c>
      <c r="BN368" s="14" t="s">
        <v>99</v>
      </c>
      <c r="BO368" s="14" t="s">
        <v>1118</v>
      </c>
      <c r="BP368" s="14" t="s">
        <v>99</v>
      </c>
      <c r="BQ368" s="14" t="s">
        <v>99</v>
      </c>
      <c r="BR368" s="14" t="s">
        <v>124</v>
      </c>
      <c r="BS368" s="14" t="s">
        <v>7424</v>
      </c>
      <c r="BT368" s="14" t="str">
        <f>HYPERLINK("https%3A%2F%2Fwww.webofscience.com%2Fwos%2Fwoscc%2Ffull-record%2FWOS:000257367300003","View Full Record in Web of Science")</f>
        <v>View Full Record in Web of Science</v>
      </c>
    </row>
    <row r="369" ht="12.75" customHeight="1">
      <c r="A369" s="14" t="s">
        <v>97</v>
      </c>
      <c r="B369" s="14" t="s">
        <v>7425</v>
      </c>
      <c r="C369" s="14" t="s">
        <v>99</v>
      </c>
      <c r="D369" s="14" t="s">
        <v>99</v>
      </c>
      <c r="E369" s="14" t="s">
        <v>99</v>
      </c>
      <c r="F369" s="14" t="s">
        <v>7426</v>
      </c>
      <c r="G369" s="14" t="s">
        <v>99</v>
      </c>
      <c r="H369" s="14" t="s">
        <v>99</v>
      </c>
      <c r="I369" s="14" t="s">
        <v>7427</v>
      </c>
      <c r="J369" s="14" t="s">
        <v>7428</v>
      </c>
      <c r="K369" s="14" t="s">
        <v>99</v>
      </c>
      <c r="L369" s="14" t="s">
        <v>99</v>
      </c>
      <c r="M369" s="14" t="s">
        <v>103</v>
      </c>
      <c r="N369" s="14" t="s">
        <v>104</v>
      </c>
      <c r="O369" s="14" t="s">
        <v>99</v>
      </c>
      <c r="P369" s="14" t="s">
        <v>99</v>
      </c>
      <c r="Q369" s="14" t="s">
        <v>99</v>
      </c>
      <c r="R369" s="14" t="s">
        <v>99</v>
      </c>
      <c r="S369" s="14" t="s">
        <v>99</v>
      </c>
      <c r="T369" s="14" t="s">
        <v>7429</v>
      </c>
      <c r="U369" s="14" t="s">
        <v>7430</v>
      </c>
      <c r="V369" s="14" t="s">
        <v>7431</v>
      </c>
      <c r="W369" s="14" t="s">
        <v>7432</v>
      </c>
      <c r="X369" s="14" t="s">
        <v>7433</v>
      </c>
      <c r="Y369" s="14" t="s">
        <v>7434</v>
      </c>
      <c r="Z369" s="14" t="s">
        <v>7435</v>
      </c>
      <c r="AA369" s="14" t="s">
        <v>7436</v>
      </c>
      <c r="AB369" s="14" t="s">
        <v>99</v>
      </c>
      <c r="AC369" s="14" t="s">
        <v>99</v>
      </c>
      <c r="AD369" s="14" t="s">
        <v>99</v>
      </c>
      <c r="AE369" s="14" t="s">
        <v>99</v>
      </c>
      <c r="AF369" s="14" t="s">
        <v>99</v>
      </c>
      <c r="AG369" s="14">
        <v>78.0</v>
      </c>
      <c r="AH369" s="14">
        <v>188.0</v>
      </c>
      <c r="AI369" s="14">
        <v>234.0</v>
      </c>
      <c r="AJ369" s="14">
        <v>1.0</v>
      </c>
      <c r="AK369" s="14">
        <v>155.0</v>
      </c>
      <c r="AL369" s="14" t="s">
        <v>341</v>
      </c>
      <c r="AM369" s="14" t="s">
        <v>342</v>
      </c>
      <c r="AN369" s="14" t="s">
        <v>343</v>
      </c>
      <c r="AO369" s="14" t="s">
        <v>7437</v>
      </c>
      <c r="AP369" s="14" t="s">
        <v>7438</v>
      </c>
      <c r="AQ369" s="14" t="s">
        <v>99</v>
      </c>
      <c r="AR369" s="14" t="s">
        <v>7439</v>
      </c>
      <c r="AS369" s="14" t="s">
        <v>7440</v>
      </c>
      <c r="AT369" s="14" t="s">
        <v>525</v>
      </c>
      <c r="AU369" s="14">
        <v>2008.0</v>
      </c>
      <c r="AV369" s="14">
        <v>96.0</v>
      </c>
      <c r="AW369" s="14">
        <v>4.0</v>
      </c>
      <c r="AX369" s="14" t="s">
        <v>99</v>
      </c>
      <c r="AY369" s="14" t="s">
        <v>99</v>
      </c>
      <c r="AZ369" s="14" t="s">
        <v>99</v>
      </c>
      <c r="BA369" s="14" t="s">
        <v>99</v>
      </c>
      <c r="BB369" s="14">
        <v>784.0</v>
      </c>
      <c r="BC369" s="14">
        <v>794.0</v>
      </c>
      <c r="BD369" s="14" t="s">
        <v>99</v>
      </c>
      <c r="BE369" s="14" t="s">
        <v>7441</v>
      </c>
      <c r="BF369" s="15" t="str">
        <f>HYPERLINK("http://dx.doi.org/10.1111/j.1365-2745.2008.01369.x","http://dx.doi.org/10.1111/j.1365-2745.2008.01369.x")</f>
        <v>http://dx.doi.org/10.1111/j.1365-2745.2008.01369.x</v>
      </c>
      <c r="BG369" s="14" t="s">
        <v>99</v>
      </c>
      <c r="BH369" s="14" t="s">
        <v>99</v>
      </c>
      <c r="BI369" s="14">
        <v>11.0</v>
      </c>
      <c r="BJ369" s="14" t="s">
        <v>2924</v>
      </c>
      <c r="BK369" s="14" t="s">
        <v>122</v>
      </c>
      <c r="BL369" s="14" t="s">
        <v>2925</v>
      </c>
      <c r="BM369" s="14" t="s">
        <v>7442</v>
      </c>
      <c r="BN369" s="14" t="s">
        <v>99</v>
      </c>
      <c r="BO369" s="14" t="s">
        <v>99</v>
      </c>
      <c r="BP369" s="14" t="s">
        <v>99</v>
      </c>
      <c r="BQ369" s="14" t="s">
        <v>99</v>
      </c>
      <c r="BR369" s="14" t="s">
        <v>124</v>
      </c>
      <c r="BS369" s="14" t="s">
        <v>7443</v>
      </c>
      <c r="BT369" s="14" t="str">
        <f>HYPERLINK("https%3A%2F%2Fwww.webofscience.com%2Fwos%2Fwoscc%2Ffull-record%2FWOS:000256635800024","View Full Record in Web of Science")</f>
        <v>View Full Record in Web of Science</v>
      </c>
    </row>
    <row r="370" ht="12.75" customHeight="1">
      <c r="A370" s="14" t="s">
        <v>97</v>
      </c>
      <c r="B370" s="14" t="s">
        <v>7444</v>
      </c>
      <c r="C370" s="14" t="s">
        <v>99</v>
      </c>
      <c r="D370" s="14" t="s">
        <v>99</v>
      </c>
      <c r="E370" s="14" t="s">
        <v>99</v>
      </c>
      <c r="F370" s="14" t="s">
        <v>7445</v>
      </c>
      <c r="G370" s="14" t="s">
        <v>99</v>
      </c>
      <c r="H370" s="14" t="s">
        <v>99</v>
      </c>
      <c r="I370" s="14" t="s">
        <v>7446</v>
      </c>
      <c r="J370" s="14" t="s">
        <v>1721</v>
      </c>
      <c r="K370" s="14" t="s">
        <v>99</v>
      </c>
      <c r="L370" s="14" t="s">
        <v>99</v>
      </c>
      <c r="M370" s="14" t="s">
        <v>103</v>
      </c>
      <c r="N370" s="14" t="s">
        <v>104</v>
      </c>
      <c r="O370" s="14" t="s">
        <v>99</v>
      </c>
      <c r="P370" s="14" t="s">
        <v>99</v>
      </c>
      <c r="Q370" s="14" t="s">
        <v>99</v>
      </c>
      <c r="R370" s="14" t="s">
        <v>99</v>
      </c>
      <c r="S370" s="14" t="s">
        <v>99</v>
      </c>
      <c r="T370" s="14" t="s">
        <v>7447</v>
      </c>
      <c r="U370" s="14" t="s">
        <v>7448</v>
      </c>
      <c r="V370" s="14" t="s">
        <v>7449</v>
      </c>
      <c r="W370" s="14" t="s">
        <v>7450</v>
      </c>
      <c r="X370" s="14" t="s">
        <v>7451</v>
      </c>
      <c r="Y370" s="14" t="s">
        <v>7452</v>
      </c>
      <c r="Z370" s="14" t="s">
        <v>7453</v>
      </c>
      <c r="AA370" s="14" t="s">
        <v>7454</v>
      </c>
      <c r="AB370" s="14" t="s">
        <v>7455</v>
      </c>
      <c r="AC370" s="14" t="s">
        <v>99</v>
      </c>
      <c r="AD370" s="14" t="s">
        <v>99</v>
      </c>
      <c r="AE370" s="14" t="s">
        <v>99</v>
      </c>
      <c r="AF370" s="14" t="s">
        <v>99</v>
      </c>
      <c r="AG370" s="14">
        <v>44.0</v>
      </c>
      <c r="AH370" s="14">
        <v>47.0</v>
      </c>
      <c r="AI370" s="14">
        <v>54.0</v>
      </c>
      <c r="AJ370" s="14">
        <v>1.0</v>
      </c>
      <c r="AK370" s="14">
        <v>86.0</v>
      </c>
      <c r="AL370" s="14" t="s">
        <v>1731</v>
      </c>
      <c r="AM370" s="14" t="s">
        <v>1732</v>
      </c>
      <c r="AN370" s="14" t="s">
        <v>1733</v>
      </c>
      <c r="AO370" s="14" t="s">
        <v>1734</v>
      </c>
      <c r="AP370" s="14" t="s">
        <v>1735</v>
      </c>
      <c r="AQ370" s="14" t="s">
        <v>99</v>
      </c>
      <c r="AR370" s="14" t="s">
        <v>1736</v>
      </c>
      <c r="AS370" s="14" t="s">
        <v>1737</v>
      </c>
      <c r="AT370" s="14" t="s">
        <v>525</v>
      </c>
      <c r="AU370" s="14">
        <v>2008.0</v>
      </c>
      <c r="AV370" s="14">
        <v>17.0</v>
      </c>
      <c r="AW370" s="14">
        <v>8.0</v>
      </c>
      <c r="AX370" s="14" t="s">
        <v>99</v>
      </c>
      <c r="AY370" s="14" t="s">
        <v>99</v>
      </c>
      <c r="AZ370" s="14" t="s">
        <v>99</v>
      </c>
      <c r="BA370" s="14" t="s">
        <v>99</v>
      </c>
      <c r="BB370" s="14">
        <v>1805.0</v>
      </c>
      <c r="BC370" s="14">
        <v>1820.0</v>
      </c>
      <c r="BD370" s="14" t="s">
        <v>99</v>
      </c>
      <c r="BE370" s="14" t="s">
        <v>7456</v>
      </c>
      <c r="BF370" s="15" t="str">
        <f>HYPERLINK("http://dx.doi.org/10.1007/s10531-007-9267-2","http://dx.doi.org/10.1007/s10531-007-9267-2")</f>
        <v>http://dx.doi.org/10.1007/s10531-007-9267-2</v>
      </c>
      <c r="BG370" s="14" t="s">
        <v>99</v>
      </c>
      <c r="BH370" s="14" t="s">
        <v>99</v>
      </c>
      <c r="BI370" s="14">
        <v>16.0</v>
      </c>
      <c r="BJ370" s="14" t="s">
        <v>351</v>
      </c>
      <c r="BK370" s="14" t="s">
        <v>122</v>
      </c>
      <c r="BL370" s="14" t="s">
        <v>352</v>
      </c>
      <c r="BM370" s="14" t="s">
        <v>7423</v>
      </c>
      <c r="BN370" s="14" t="s">
        <v>99</v>
      </c>
      <c r="BO370" s="14" t="s">
        <v>99</v>
      </c>
      <c r="BP370" s="14" t="s">
        <v>99</v>
      </c>
      <c r="BQ370" s="14" t="s">
        <v>99</v>
      </c>
      <c r="BR370" s="14" t="s">
        <v>124</v>
      </c>
      <c r="BS370" s="14" t="s">
        <v>7457</v>
      </c>
      <c r="BT370" s="14" t="str">
        <f>HYPERLINK("https%3A%2F%2Fwww.webofscience.com%2Fwos%2Fwoscc%2Ffull-record%2FWOS:000257367300002","View Full Record in Web of Science")</f>
        <v>View Full Record in Web of Science</v>
      </c>
    </row>
    <row r="371" ht="12.75" customHeight="1">
      <c r="A371" s="14" t="s">
        <v>97</v>
      </c>
      <c r="B371" s="14" t="s">
        <v>7458</v>
      </c>
      <c r="C371" s="14" t="s">
        <v>99</v>
      </c>
      <c r="D371" s="14" t="s">
        <v>99</v>
      </c>
      <c r="E371" s="14" t="s">
        <v>99</v>
      </c>
      <c r="F371" s="14" t="s">
        <v>7459</v>
      </c>
      <c r="G371" s="14" t="s">
        <v>99</v>
      </c>
      <c r="H371" s="14" t="s">
        <v>99</v>
      </c>
      <c r="I371" s="14" t="s">
        <v>7460</v>
      </c>
      <c r="J371" s="14" t="s">
        <v>2500</v>
      </c>
      <c r="K371" s="14" t="s">
        <v>99</v>
      </c>
      <c r="L371" s="14" t="s">
        <v>99</v>
      </c>
      <c r="M371" s="14" t="s">
        <v>103</v>
      </c>
      <c r="N371" s="14" t="s">
        <v>104</v>
      </c>
      <c r="O371" s="14" t="s">
        <v>99</v>
      </c>
      <c r="P371" s="14" t="s">
        <v>99</v>
      </c>
      <c r="Q371" s="14" t="s">
        <v>99</v>
      </c>
      <c r="R371" s="14" t="s">
        <v>99</v>
      </c>
      <c r="S371" s="14" t="s">
        <v>99</v>
      </c>
      <c r="T371" s="14" t="s">
        <v>99</v>
      </c>
      <c r="U371" s="14" t="s">
        <v>7461</v>
      </c>
      <c r="V371" s="14" t="s">
        <v>7462</v>
      </c>
      <c r="W371" s="14" t="s">
        <v>7463</v>
      </c>
      <c r="X371" s="14" t="s">
        <v>7464</v>
      </c>
      <c r="Y371" s="14" t="s">
        <v>7465</v>
      </c>
      <c r="Z371" s="14" t="s">
        <v>7466</v>
      </c>
      <c r="AA371" s="14" t="s">
        <v>7467</v>
      </c>
      <c r="AB371" s="14" t="s">
        <v>7468</v>
      </c>
      <c r="AC371" s="14" t="s">
        <v>99</v>
      </c>
      <c r="AD371" s="14" t="s">
        <v>99</v>
      </c>
      <c r="AE371" s="14" t="s">
        <v>99</v>
      </c>
      <c r="AF371" s="14" t="s">
        <v>99</v>
      </c>
      <c r="AG371" s="14">
        <v>65.0</v>
      </c>
      <c r="AH371" s="14">
        <v>343.0</v>
      </c>
      <c r="AI371" s="14">
        <v>448.0</v>
      </c>
      <c r="AJ371" s="14">
        <v>0.0</v>
      </c>
      <c r="AK371" s="14">
        <v>122.0</v>
      </c>
      <c r="AL371" s="14" t="s">
        <v>2512</v>
      </c>
      <c r="AM371" s="14" t="s">
        <v>2513</v>
      </c>
      <c r="AN371" s="14" t="s">
        <v>2514</v>
      </c>
      <c r="AO371" s="14" t="s">
        <v>2515</v>
      </c>
      <c r="AP371" s="14" t="s">
        <v>99</v>
      </c>
      <c r="AQ371" s="14" t="s">
        <v>99</v>
      </c>
      <c r="AR371" s="14" t="s">
        <v>2500</v>
      </c>
      <c r="AS371" s="14" t="s">
        <v>2516</v>
      </c>
      <c r="AT371" s="14" t="s">
        <v>7469</v>
      </c>
      <c r="AU371" s="14">
        <v>2008.0</v>
      </c>
      <c r="AV371" s="14">
        <v>3.0</v>
      </c>
      <c r="AW371" s="14">
        <v>6.0</v>
      </c>
      <c r="AX371" s="14" t="s">
        <v>99</v>
      </c>
      <c r="AY371" s="14" t="s">
        <v>99</v>
      </c>
      <c r="AZ371" s="14" t="s">
        <v>99</v>
      </c>
      <c r="BA371" s="14" t="s">
        <v>99</v>
      </c>
      <c r="BB371" s="14" t="s">
        <v>99</v>
      </c>
      <c r="BC371" s="14" t="s">
        <v>99</v>
      </c>
      <c r="BD371" s="14" t="s">
        <v>7470</v>
      </c>
      <c r="BE371" s="14" t="s">
        <v>7471</v>
      </c>
      <c r="BF371" s="15" t="str">
        <f>HYPERLINK("http://dx.doi.org/10.1371/journal.pone.0002502","http://dx.doi.org/10.1371/journal.pone.0002502")</f>
        <v>http://dx.doi.org/10.1371/journal.pone.0002502</v>
      </c>
      <c r="BG371" s="14" t="s">
        <v>99</v>
      </c>
      <c r="BH371" s="14" t="s">
        <v>99</v>
      </c>
      <c r="BI371" s="14">
        <v>10.0</v>
      </c>
      <c r="BJ371" s="14" t="s">
        <v>799</v>
      </c>
      <c r="BK371" s="14" t="s">
        <v>122</v>
      </c>
      <c r="BL371" s="14" t="s">
        <v>801</v>
      </c>
      <c r="BM371" s="14" t="s">
        <v>7472</v>
      </c>
      <c r="BN371" s="14">
        <v>1.8648541E7</v>
      </c>
      <c r="BO371" s="14" t="s">
        <v>1251</v>
      </c>
      <c r="BP371" s="14" t="s">
        <v>99</v>
      </c>
      <c r="BQ371" s="14" t="s">
        <v>99</v>
      </c>
      <c r="BR371" s="14" t="s">
        <v>124</v>
      </c>
      <c r="BS371" s="14" t="s">
        <v>7473</v>
      </c>
      <c r="BT371" s="14" t="str">
        <f>HYPERLINK("https%3A%2F%2Fwww.webofscience.com%2Fwos%2Fwoscc%2Ffull-record%2FWOS:000263288000024","View Full Record in Web of Science")</f>
        <v>View Full Record in Web of Science</v>
      </c>
    </row>
    <row r="372" ht="12.75" customHeight="1">
      <c r="A372" s="14" t="s">
        <v>97</v>
      </c>
      <c r="B372" s="14" t="s">
        <v>7474</v>
      </c>
      <c r="C372" s="14" t="s">
        <v>99</v>
      </c>
      <c r="D372" s="14" t="s">
        <v>99</v>
      </c>
      <c r="E372" s="14" t="s">
        <v>99</v>
      </c>
      <c r="F372" s="14" t="s">
        <v>7475</v>
      </c>
      <c r="G372" s="14" t="s">
        <v>99</v>
      </c>
      <c r="H372" s="14" t="s">
        <v>99</v>
      </c>
      <c r="I372" s="14" t="s">
        <v>7476</v>
      </c>
      <c r="J372" s="14" t="s">
        <v>328</v>
      </c>
      <c r="K372" s="14" t="s">
        <v>99</v>
      </c>
      <c r="L372" s="14" t="s">
        <v>99</v>
      </c>
      <c r="M372" s="14" t="s">
        <v>103</v>
      </c>
      <c r="N372" s="14" t="s">
        <v>104</v>
      </c>
      <c r="O372" s="14" t="s">
        <v>99</v>
      </c>
      <c r="P372" s="14" t="s">
        <v>99</v>
      </c>
      <c r="Q372" s="14" t="s">
        <v>99</v>
      </c>
      <c r="R372" s="14" t="s">
        <v>99</v>
      </c>
      <c r="S372" s="14" t="s">
        <v>99</v>
      </c>
      <c r="T372" s="14" t="s">
        <v>7477</v>
      </c>
      <c r="U372" s="14" t="s">
        <v>7478</v>
      </c>
      <c r="V372" s="14" t="s">
        <v>7479</v>
      </c>
      <c r="W372" s="14" t="s">
        <v>7480</v>
      </c>
      <c r="X372" s="14" t="s">
        <v>7481</v>
      </c>
      <c r="Y372" s="14" t="s">
        <v>7482</v>
      </c>
      <c r="Z372" s="14" t="s">
        <v>7483</v>
      </c>
      <c r="AA372" s="14" t="s">
        <v>7484</v>
      </c>
      <c r="AB372" s="14" t="s">
        <v>7485</v>
      </c>
      <c r="AC372" s="14" t="s">
        <v>99</v>
      </c>
      <c r="AD372" s="14" t="s">
        <v>99</v>
      </c>
      <c r="AE372" s="14" t="s">
        <v>99</v>
      </c>
      <c r="AF372" s="14" t="s">
        <v>99</v>
      </c>
      <c r="AG372" s="14">
        <v>72.0</v>
      </c>
      <c r="AH372" s="14">
        <v>207.0</v>
      </c>
      <c r="AI372" s="14">
        <v>255.0</v>
      </c>
      <c r="AJ372" s="14">
        <v>6.0</v>
      </c>
      <c r="AK372" s="14">
        <v>146.0</v>
      </c>
      <c r="AL372" s="14" t="s">
        <v>341</v>
      </c>
      <c r="AM372" s="14" t="s">
        <v>342</v>
      </c>
      <c r="AN372" s="14" t="s">
        <v>343</v>
      </c>
      <c r="AO372" s="14" t="s">
        <v>344</v>
      </c>
      <c r="AP372" s="14" t="s">
        <v>345</v>
      </c>
      <c r="AQ372" s="14" t="s">
        <v>99</v>
      </c>
      <c r="AR372" s="14" t="s">
        <v>346</v>
      </c>
      <c r="AS372" s="14" t="s">
        <v>347</v>
      </c>
      <c r="AT372" s="14" t="s">
        <v>616</v>
      </c>
      <c r="AU372" s="14">
        <v>2008.0</v>
      </c>
      <c r="AV372" s="14">
        <v>14.0</v>
      </c>
      <c r="AW372" s="14">
        <v>6.0</v>
      </c>
      <c r="AX372" s="14" t="s">
        <v>99</v>
      </c>
      <c r="AY372" s="14" t="s">
        <v>99</v>
      </c>
      <c r="AZ372" s="14" t="s">
        <v>99</v>
      </c>
      <c r="BA372" s="14" t="s">
        <v>99</v>
      </c>
      <c r="BB372" s="14">
        <v>1337.0</v>
      </c>
      <c r="BC372" s="14">
        <v>1352.0</v>
      </c>
      <c r="BD372" s="14" t="s">
        <v>99</v>
      </c>
      <c r="BE372" s="14" t="s">
        <v>7486</v>
      </c>
      <c r="BF372" s="15" t="str">
        <f>HYPERLINK("http://dx.doi.org/10.1111/j.1365-2486.2008.01559.x","http://dx.doi.org/10.1111/j.1365-2486.2008.01559.x")</f>
        <v>http://dx.doi.org/10.1111/j.1365-2486.2008.01559.x</v>
      </c>
      <c r="BG372" s="14" t="s">
        <v>99</v>
      </c>
      <c r="BH372" s="14" t="s">
        <v>99</v>
      </c>
      <c r="BI372" s="14">
        <v>16.0</v>
      </c>
      <c r="BJ372" s="14" t="s">
        <v>351</v>
      </c>
      <c r="BK372" s="14" t="s">
        <v>122</v>
      </c>
      <c r="BL372" s="14" t="s">
        <v>352</v>
      </c>
      <c r="BM372" s="14" t="s">
        <v>7487</v>
      </c>
      <c r="BN372" s="14" t="s">
        <v>99</v>
      </c>
      <c r="BO372" s="14" t="s">
        <v>99</v>
      </c>
      <c r="BP372" s="14" t="s">
        <v>99</v>
      </c>
      <c r="BQ372" s="14" t="s">
        <v>99</v>
      </c>
      <c r="BR372" s="14" t="s">
        <v>124</v>
      </c>
      <c r="BS372" s="14" t="s">
        <v>7488</v>
      </c>
      <c r="BT372" s="14" t="str">
        <f>HYPERLINK("https%3A%2F%2Fwww.webofscience.com%2Fwos%2Fwoscc%2Ffull-record%2FWOS:000255707200011","View Full Record in Web of Science")</f>
        <v>View Full Record in Web of Science</v>
      </c>
    </row>
    <row r="373" ht="12.75" customHeight="1">
      <c r="A373" s="14" t="s">
        <v>97</v>
      </c>
      <c r="B373" s="14" t="s">
        <v>7489</v>
      </c>
      <c r="C373" s="14" t="s">
        <v>99</v>
      </c>
      <c r="D373" s="14" t="s">
        <v>99</v>
      </c>
      <c r="E373" s="14" t="s">
        <v>99</v>
      </c>
      <c r="F373" s="14" t="s">
        <v>7490</v>
      </c>
      <c r="G373" s="14" t="s">
        <v>99</v>
      </c>
      <c r="H373" s="14" t="s">
        <v>99</v>
      </c>
      <c r="I373" s="14" t="s">
        <v>7491</v>
      </c>
      <c r="J373" s="14" t="s">
        <v>5603</v>
      </c>
      <c r="K373" s="14" t="s">
        <v>99</v>
      </c>
      <c r="L373" s="14" t="s">
        <v>99</v>
      </c>
      <c r="M373" s="14" t="s">
        <v>103</v>
      </c>
      <c r="N373" s="14" t="s">
        <v>104</v>
      </c>
      <c r="O373" s="14" t="s">
        <v>99</v>
      </c>
      <c r="P373" s="14" t="s">
        <v>99</v>
      </c>
      <c r="Q373" s="14" t="s">
        <v>99</v>
      </c>
      <c r="R373" s="14" t="s">
        <v>99</v>
      </c>
      <c r="S373" s="14" t="s">
        <v>99</v>
      </c>
      <c r="T373" s="14" t="s">
        <v>7492</v>
      </c>
      <c r="U373" s="14" t="s">
        <v>7493</v>
      </c>
      <c r="V373" s="14" t="s">
        <v>7494</v>
      </c>
      <c r="W373" s="14" t="s">
        <v>7495</v>
      </c>
      <c r="X373" s="14" t="s">
        <v>7496</v>
      </c>
      <c r="Y373" s="14" t="s">
        <v>7497</v>
      </c>
      <c r="Z373" s="14" t="s">
        <v>7498</v>
      </c>
      <c r="AA373" s="14" t="s">
        <v>7499</v>
      </c>
      <c r="AB373" s="14" t="s">
        <v>7500</v>
      </c>
      <c r="AC373" s="14" t="s">
        <v>99</v>
      </c>
      <c r="AD373" s="14" t="s">
        <v>99</v>
      </c>
      <c r="AE373" s="14" t="s">
        <v>99</v>
      </c>
      <c r="AF373" s="14" t="s">
        <v>99</v>
      </c>
      <c r="AG373" s="14">
        <v>60.0</v>
      </c>
      <c r="AH373" s="14">
        <v>263.0</v>
      </c>
      <c r="AI373" s="14">
        <v>301.0</v>
      </c>
      <c r="AJ373" s="14">
        <v>5.0</v>
      </c>
      <c r="AK373" s="14">
        <v>93.0</v>
      </c>
      <c r="AL373" s="14" t="s">
        <v>441</v>
      </c>
      <c r="AM373" s="14" t="s">
        <v>442</v>
      </c>
      <c r="AN373" s="14" t="s">
        <v>443</v>
      </c>
      <c r="AO373" s="14" t="s">
        <v>5616</v>
      </c>
      <c r="AP373" s="14" t="s">
        <v>5617</v>
      </c>
      <c r="AQ373" s="14" t="s">
        <v>99</v>
      </c>
      <c r="AR373" s="14" t="s">
        <v>5618</v>
      </c>
      <c r="AS373" s="14" t="s">
        <v>5619</v>
      </c>
      <c r="AT373" s="14" t="s">
        <v>616</v>
      </c>
      <c r="AU373" s="14">
        <v>2008.0</v>
      </c>
      <c r="AV373" s="14">
        <v>126.0</v>
      </c>
      <c r="AW373" s="14" t="s">
        <v>1161</v>
      </c>
      <c r="AX373" s="14" t="s">
        <v>99</v>
      </c>
      <c r="AY373" s="14" t="s">
        <v>99</v>
      </c>
      <c r="AZ373" s="14" t="s">
        <v>99</v>
      </c>
      <c r="BA373" s="14" t="s">
        <v>99</v>
      </c>
      <c r="BB373" s="14">
        <v>13.0</v>
      </c>
      <c r="BC373" s="14">
        <v>23.0</v>
      </c>
      <c r="BD373" s="14" t="s">
        <v>99</v>
      </c>
      <c r="BE373" s="14" t="s">
        <v>7501</v>
      </c>
      <c r="BF373" s="15" t="str">
        <f>HYPERLINK("http://dx.doi.org/10.1016/j.agee.2008.01.013","http://dx.doi.org/10.1016/j.agee.2008.01.013")</f>
        <v>http://dx.doi.org/10.1016/j.agee.2008.01.013</v>
      </c>
      <c r="BG373" s="14" t="s">
        <v>99</v>
      </c>
      <c r="BH373" s="14" t="s">
        <v>99</v>
      </c>
      <c r="BI373" s="14">
        <v>11.0</v>
      </c>
      <c r="BJ373" s="14" t="s">
        <v>5622</v>
      </c>
      <c r="BK373" s="14" t="s">
        <v>122</v>
      </c>
      <c r="BL373" s="14" t="s">
        <v>5623</v>
      </c>
      <c r="BM373" s="14" t="s">
        <v>7502</v>
      </c>
      <c r="BN373" s="14" t="s">
        <v>99</v>
      </c>
      <c r="BO373" s="14" t="s">
        <v>99</v>
      </c>
      <c r="BP373" s="14" t="s">
        <v>99</v>
      </c>
      <c r="BQ373" s="14" t="s">
        <v>99</v>
      </c>
      <c r="BR373" s="14" t="s">
        <v>124</v>
      </c>
      <c r="BS373" s="14" t="s">
        <v>7503</v>
      </c>
      <c r="BT373" s="14" t="str">
        <f>HYPERLINK("https%3A%2F%2Fwww.webofscience.com%2Fwos%2Fwoscc%2Ffull-record%2FWOS:000255694700003","View Full Record in Web of Science")</f>
        <v>View Full Record in Web of Science</v>
      </c>
    </row>
    <row r="374" ht="12.75" customHeight="1">
      <c r="A374" s="14" t="s">
        <v>97</v>
      </c>
      <c r="B374" s="14" t="s">
        <v>7504</v>
      </c>
      <c r="C374" s="14" t="s">
        <v>99</v>
      </c>
      <c r="D374" s="14" t="s">
        <v>99</v>
      </c>
      <c r="E374" s="14" t="s">
        <v>99</v>
      </c>
      <c r="F374" s="14" t="s">
        <v>7505</v>
      </c>
      <c r="G374" s="14" t="s">
        <v>99</v>
      </c>
      <c r="H374" s="14" t="s">
        <v>99</v>
      </c>
      <c r="I374" s="14" t="s">
        <v>7506</v>
      </c>
      <c r="J374" s="14" t="s">
        <v>7507</v>
      </c>
      <c r="K374" s="14" t="s">
        <v>99</v>
      </c>
      <c r="L374" s="14" t="s">
        <v>99</v>
      </c>
      <c r="M374" s="14" t="s">
        <v>103</v>
      </c>
      <c r="N374" s="14" t="s">
        <v>104</v>
      </c>
      <c r="O374" s="14" t="s">
        <v>99</v>
      </c>
      <c r="P374" s="14" t="s">
        <v>99</v>
      </c>
      <c r="Q374" s="14" t="s">
        <v>99</v>
      </c>
      <c r="R374" s="14" t="s">
        <v>99</v>
      </c>
      <c r="S374" s="14" t="s">
        <v>99</v>
      </c>
      <c r="T374" s="14" t="s">
        <v>7508</v>
      </c>
      <c r="U374" s="14" t="s">
        <v>7509</v>
      </c>
      <c r="V374" s="14" t="s">
        <v>7510</v>
      </c>
      <c r="W374" s="14" t="s">
        <v>7511</v>
      </c>
      <c r="X374" s="14" t="s">
        <v>7512</v>
      </c>
      <c r="Y374" s="14" t="s">
        <v>7513</v>
      </c>
      <c r="Z374" s="14" t="s">
        <v>7514</v>
      </c>
      <c r="AA374" s="14" t="s">
        <v>7515</v>
      </c>
      <c r="AB374" s="14" t="s">
        <v>7516</v>
      </c>
      <c r="AC374" s="14" t="s">
        <v>99</v>
      </c>
      <c r="AD374" s="14" t="s">
        <v>99</v>
      </c>
      <c r="AE374" s="14" t="s">
        <v>99</v>
      </c>
      <c r="AF374" s="14" t="s">
        <v>99</v>
      </c>
      <c r="AG374" s="14">
        <v>77.0</v>
      </c>
      <c r="AH374" s="14">
        <v>259.0</v>
      </c>
      <c r="AI374" s="14">
        <v>294.0</v>
      </c>
      <c r="AJ374" s="14">
        <v>2.0</v>
      </c>
      <c r="AK374" s="14">
        <v>109.0</v>
      </c>
      <c r="AL374" s="14" t="s">
        <v>1731</v>
      </c>
      <c r="AM374" s="14" t="s">
        <v>1594</v>
      </c>
      <c r="AN374" s="14" t="s">
        <v>3585</v>
      </c>
      <c r="AO374" s="14" t="s">
        <v>7517</v>
      </c>
      <c r="AP374" s="14" t="s">
        <v>7518</v>
      </c>
      <c r="AQ374" s="14" t="s">
        <v>99</v>
      </c>
      <c r="AR374" s="14" t="s">
        <v>7507</v>
      </c>
      <c r="AS374" s="14" t="s">
        <v>7519</v>
      </c>
      <c r="AT374" s="14" t="s">
        <v>616</v>
      </c>
      <c r="AU374" s="14">
        <v>2008.0</v>
      </c>
      <c r="AV374" s="14">
        <v>11.0</v>
      </c>
      <c r="AW374" s="14">
        <v>4.0</v>
      </c>
      <c r="AX374" s="14" t="s">
        <v>99</v>
      </c>
      <c r="AY374" s="14" t="s">
        <v>99</v>
      </c>
      <c r="AZ374" s="14" t="s">
        <v>99</v>
      </c>
      <c r="BA374" s="14" t="s">
        <v>99</v>
      </c>
      <c r="BB374" s="14">
        <v>614.0</v>
      </c>
      <c r="BC374" s="14">
        <v>628.0</v>
      </c>
      <c r="BD374" s="14" t="s">
        <v>99</v>
      </c>
      <c r="BE374" s="14" t="s">
        <v>7520</v>
      </c>
      <c r="BF374" s="15" t="str">
        <f>HYPERLINK("http://dx.doi.org/10.1007/s10021-008-9146-z","http://dx.doi.org/10.1007/s10021-008-9146-z")</f>
        <v>http://dx.doi.org/10.1007/s10021-008-9146-z</v>
      </c>
      <c r="BG374" s="14" t="s">
        <v>99</v>
      </c>
      <c r="BH374" s="14" t="s">
        <v>99</v>
      </c>
      <c r="BI374" s="14">
        <v>15.0</v>
      </c>
      <c r="BJ374" s="14" t="s">
        <v>259</v>
      </c>
      <c r="BK374" s="14" t="s">
        <v>122</v>
      </c>
      <c r="BL374" s="14" t="s">
        <v>260</v>
      </c>
      <c r="BM374" s="14" t="s">
        <v>7521</v>
      </c>
      <c r="BN374" s="14" t="s">
        <v>99</v>
      </c>
      <c r="BO374" s="14" t="s">
        <v>99</v>
      </c>
      <c r="BP374" s="14" t="s">
        <v>99</v>
      </c>
      <c r="BQ374" s="14" t="s">
        <v>99</v>
      </c>
      <c r="BR374" s="14" t="s">
        <v>124</v>
      </c>
      <c r="BS374" s="14" t="s">
        <v>7522</v>
      </c>
      <c r="BT374" s="14" t="str">
        <f>HYPERLINK("https%3A%2F%2Fwww.webofscience.com%2Fwos%2Fwoscc%2Ffull-record%2FWOS:000256529200009","View Full Record in Web of Science")</f>
        <v>View Full Record in Web of Science</v>
      </c>
    </row>
    <row r="375" ht="12.75" customHeight="1">
      <c r="A375" s="14" t="s">
        <v>97</v>
      </c>
      <c r="B375" s="14" t="s">
        <v>7523</v>
      </c>
      <c r="C375" s="14" t="s">
        <v>99</v>
      </c>
      <c r="D375" s="14" t="s">
        <v>99</v>
      </c>
      <c r="E375" s="14" t="s">
        <v>99</v>
      </c>
      <c r="F375" s="14" t="s">
        <v>7524</v>
      </c>
      <c r="G375" s="14" t="s">
        <v>99</v>
      </c>
      <c r="H375" s="14" t="s">
        <v>99</v>
      </c>
      <c r="I375" s="14" t="s">
        <v>7525</v>
      </c>
      <c r="J375" s="14" t="s">
        <v>1102</v>
      </c>
      <c r="K375" s="14" t="s">
        <v>99</v>
      </c>
      <c r="L375" s="14" t="s">
        <v>99</v>
      </c>
      <c r="M375" s="14" t="s">
        <v>103</v>
      </c>
      <c r="N375" s="14" t="s">
        <v>104</v>
      </c>
      <c r="O375" s="14" t="s">
        <v>99</v>
      </c>
      <c r="P375" s="14" t="s">
        <v>99</v>
      </c>
      <c r="Q375" s="14" t="s">
        <v>99</v>
      </c>
      <c r="R375" s="14" t="s">
        <v>99</v>
      </c>
      <c r="S375" s="14" t="s">
        <v>99</v>
      </c>
      <c r="T375" s="14" t="s">
        <v>7526</v>
      </c>
      <c r="U375" s="14" t="s">
        <v>7527</v>
      </c>
      <c r="V375" s="14" t="s">
        <v>7528</v>
      </c>
      <c r="W375" s="14" t="s">
        <v>7529</v>
      </c>
      <c r="X375" s="14" t="s">
        <v>7530</v>
      </c>
      <c r="Y375" s="14" t="s">
        <v>7531</v>
      </c>
      <c r="Z375" s="14" t="s">
        <v>7532</v>
      </c>
      <c r="AA375" s="14" t="s">
        <v>7533</v>
      </c>
      <c r="AB375" s="14" t="s">
        <v>7534</v>
      </c>
      <c r="AC375" s="14" t="s">
        <v>99</v>
      </c>
      <c r="AD375" s="14" t="s">
        <v>99</v>
      </c>
      <c r="AE375" s="14" t="s">
        <v>99</v>
      </c>
      <c r="AF375" s="14" t="s">
        <v>99</v>
      </c>
      <c r="AG375" s="14">
        <v>77.0</v>
      </c>
      <c r="AH375" s="14">
        <v>103.0</v>
      </c>
      <c r="AI375" s="14">
        <v>120.0</v>
      </c>
      <c r="AJ375" s="14">
        <v>0.0</v>
      </c>
      <c r="AK375" s="14">
        <v>66.0</v>
      </c>
      <c r="AL375" s="14" t="s">
        <v>493</v>
      </c>
      <c r="AM375" s="14" t="s">
        <v>468</v>
      </c>
      <c r="AN375" s="14" t="s">
        <v>635</v>
      </c>
      <c r="AO375" s="14" t="s">
        <v>1112</v>
      </c>
      <c r="AP375" s="14" t="s">
        <v>1113</v>
      </c>
      <c r="AQ375" s="14" t="s">
        <v>99</v>
      </c>
      <c r="AR375" s="14" t="s">
        <v>1114</v>
      </c>
      <c r="AS375" s="14" t="s">
        <v>1115</v>
      </c>
      <c r="AT375" s="14" t="s">
        <v>616</v>
      </c>
      <c r="AU375" s="14">
        <v>2008.0</v>
      </c>
      <c r="AV375" s="14">
        <v>141.0</v>
      </c>
      <c r="AW375" s="14">
        <v>6.0</v>
      </c>
      <c r="AX375" s="14" t="s">
        <v>99</v>
      </c>
      <c r="AY375" s="14" t="s">
        <v>99</v>
      </c>
      <c r="AZ375" s="14" t="s">
        <v>99</v>
      </c>
      <c r="BA375" s="14" t="s">
        <v>99</v>
      </c>
      <c r="BB375" s="14">
        <v>1536.0</v>
      </c>
      <c r="BC375" s="14">
        <v>1546.0</v>
      </c>
      <c r="BD375" s="14" t="s">
        <v>99</v>
      </c>
      <c r="BE375" s="14" t="s">
        <v>7535</v>
      </c>
      <c r="BF375" s="15" t="str">
        <f>HYPERLINK("http://dx.doi.org/10.1016/j.biocon.2008.03.020","http://dx.doi.org/10.1016/j.biocon.2008.03.020")</f>
        <v>http://dx.doi.org/10.1016/j.biocon.2008.03.020</v>
      </c>
      <c r="BG375" s="14" t="s">
        <v>99</v>
      </c>
      <c r="BH375" s="14" t="s">
        <v>99</v>
      </c>
      <c r="BI375" s="14">
        <v>11.0</v>
      </c>
      <c r="BJ375" s="14" t="s">
        <v>351</v>
      </c>
      <c r="BK375" s="14" t="s">
        <v>122</v>
      </c>
      <c r="BL375" s="14" t="s">
        <v>352</v>
      </c>
      <c r="BM375" s="14" t="s">
        <v>7536</v>
      </c>
      <c r="BN375" s="14" t="s">
        <v>99</v>
      </c>
      <c r="BO375" s="14" t="s">
        <v>99</v>
      </c>
      <c r="BP375" s="14" t="s">
        <v>99</v>
      </c>
      <c r="BQ375" s="14" t="s">
        <v>99</v>
      </c>
      <c r="BR375" s="14" t="s">
        <v>124</v>
      </c>
      <c r="BS375" s="14" t="s">
        <v>7537</v>
      </c>
      <c r="BT375" s="14" t="str">
        <f>HYPERLINK("https%3A%2F%2Fwww.webofscience.com%2Fwos%2Fwoscc%2Ffull-record%2FWOS:000257536100009","View Full Record in Web of Science")</f>
        <v>View Full Record in Web of Science</v>
      </c>
    </row>
    <row r="376" ht="12.75" customHeight="1">
      <c r="A376" s="14" t="s">
        <v>97</v>
      </c>
      <c r="B376" s="14" t="s">
        <v>7538</v>
      </c>
      <c r="C376" s="14" t="s">
        <v>99</v>
      </c>
      <c r="D376" s="14" t="s">
        <v>99</v>
      </c>
      <c r="E376" s="14" t="s">
        <v>99</v>
      </c>
      <c r="F376" s="14" t="s">
        <v>7539</v>
      </c>
      <c r="G376" s="14" t="s">
        <v>99</v>
      </c>
      <c r="H376" s="14" t="s">
        <v>99</v>
      </c>
      <c r="I376" s="14" t="s">
        <v>7540</v>
      </c>
      <c r="J376" s="14" t="s">
        <v>900</v>
      </c>
      <c r="K376" s="14" t="s">
        <v>99</v>
      </c>
      <c r="L376" s="14" t="s">
        <v>99</v>
      </c>
      <c r="M376" s="14" t="s">
        <v>103</v>
      </c>
      <c r="N376" s="14" t="s">
        <v>104</v>
      </c>
      <c r="O376" s="14" t="s">
        <v>99</v>
      </c>
      <c r="P376" s="14" t="s">
        <v>99</v>
      </c>
      <c r="Q376" s="14" t="s">
        <v>99</v>
      </c>
      <c r="R376" s="14" t="s">
        <v>99</v>
      </c>
      <c r="S376" s="14" t="s">
        <v>99</v>
      </c>
      <c r="T376" s="14" t="s">
        <v>99</v>
      </c>
      <c r="U376" s="14" t="s">
        <v>7541</v>
      </c>
      <c r="V376" s="14" t="s">
        <v>7542</v>
      </c>
      <c r="W376" s="14" t="s">
        <v>7543</v>
      </c>
      <c r="X376" s="14" t="s">
        <v>7544</v>
      </c>
      <c r="Y376" s="14" t="s">
        <v>7545</v>
      </c>
      <c r="Z376" s="14" t="s">
        <v>7546</v>
      </c>
      <c r="AA376" s="14" t="s">
        <v>7547</v>
      </c>
      <c r="AB376" s="14" t="s">
        <v>7548</v>
      </c>
      <c r="AC376" s="14" t="s">
        <v>99</v>
      </c>
      <c r="AD376" s="14" t="s">
        <v>99</v>
      </c>
      <c r="AE376" s="14" t="s">
        <v>99</v>
      </c>
      <c r="AF376" s="14" t="s">
        <v>99</v>
      </c>
      <c r="AG376" s="14">
        <v>26.0</v>
      </c>
      <c r="AH376" s="14">
        <v>1619.0</v>
      </c>
      <c r="AI376" s="14">
        <v>2034.0</v>
      </c>
      <c r="AJ376" s="14">
        <v>37.0</v>
      </c>
      <c r="AK376" s="14">
        <v>775.0</v>
      </c>
      <c r="AL376" s="14" t="s">
        <v>1326</v>
      </c>
      <c r="AM376" s="14" t="s">
        <v>274</v>
      </c>
      <c r="AN376" s="14" t="s">
        <v>1327</v>
      </c>
      <c r="AO376" s="14" t="s">
        <v>912</v>
      </c>
      <c r="AP376" s="14" t="s">
        <v>913</v>
      </c>
      <c r="AQ376" s="14" t="s">
        <v>99</v>
      </c>
      <c r="AR376" s="14" t="s">
        <v>900</v>
      </c>
      <c r="AS376" s="14" t="s">
        <v>914</v>
      </c>
      <c r="AT376" s="14" t="s">
        <v>7549</v>
      </c>
      <c r="AU376" s="14">
        <v>2008.0</v>
      </c>
      <c r="AV376" s="14">
        <v>453.0</v>
      </c>
      <c r="AW376" s="14">
        <v>7193.0</v>
      </c>
      <c r="AX376" s="14" t="s">
        <v>99</v>
      </c>
      <c r="AY376" s="14" t="s">
        <v>99</v>
      </c>
      <c r="AZ376" s="14" t="s">
        <v>99</v>
      </c>
      <c r="BA376" s="14" t="s">
        <v>99</v>
      </c>
      <c r="BB376" s="14">
        <v>379.0</v>
      </c>
      <c r="BC376" s="14">
        <v>382.0</v>
      </c>
      <c r="BD376" s="14" t="s">
        <v>99</v>
      </c>
      <c r="BE376" s="14" t="s">
        <v>7550</v>
      </c>
      <c r="BF376" s="15" t="str">
        <f>HYPERLINK("http://dx.doi.org/10.1038/nature06949","http://dx.doi.org/10.1038/nature06949")</f>
        <v>http://dx.doi.org/10.1038/nature06949</v>
      </c>
      <c r="BG376" s="14" t="s">
        <v>99</v>
      </c>
      <c r="BH376" s="14" t="s">
        <v>99</v>
      </c>
      <c r="BI376" s="14">
        <v>4.0</v>
      </c>
      <c r="BJ376" s="14" t="s">
        <v>799</v>
      </c>
      <c r="BK376" s="14" t="s">
        <v>122</v>
      </c>
      <c r="BL376" s="14" t="s">
        <v>801</v>
      </c>
      <c r="BM376" s="14" t="s">
        <v>7551</v>
      </c>
      <c r="BN376" s="14">
        <v>1.8480821E7</v>
      </c>
      <c r="BO376" s="14" t="s">
        <v>238</v>
      </c>
      <c r="BP376" s="14" t="s">
        <v>99</v>
      </c>
      <c r="BQ376" s="14" t="s">
        <v>99</v>
      </c>
      <c r="BR376" s="14" t="s">
        <v>124</v>
      </c>
      <c r="BS376" s="14" t="s">
        <v>7552</v>
      </c>
      <c r="BT376" s="14" t="str">
        <f>HYPERLINK("https%3A%2F%2Fwww.webofscience.com%2Fwos%2Fwoscc%2Ffull-record%2FWOS:000255868400049","View Full Record in Web of Science")</f>
        <v>View Full Record in Web of Science</v>
      </c>
    </row>
    <row r="377" ht="12.75" customHeight="1">
      <c r="A377" s="14" t="s">
        <v>97</v>
      </c>
      <c r="B377" s="14" t="s">
        <v>7553</v>
      </c>
      <c r="C377" s="14" t="s">
        <v>99</v>
      </c>
      <c r="D377" s="14" t="s">
        <v>99</v>
      </c>
      <c r="E377" s="14" t="s">
        <v>99</v>
      </c>
      <c r="F377" s="14" t="s">
        <v>7554</v>
      </c>
      <c r="G377" s="14" t="s">
        <v>99</v>
      </c>
      <c r="H377" s="14" t="s">
        <v>99</v>
      </c>
      <c r="I377" s="14" t="s">
        <v>7555</v>
      </c>
      <c r="J377" s="14" t="s">
        <v>430</v>
      </c>
      <c r="K377" s="14" t="s">
        <v>99</v>
      </c>
      <c r="L377" s="14" t="s">
        <v>99</v>
      </c>
      <c r="M377" s="14" t="s">
        <v>103</v>
      </c>
      <c r="N377" s="14" t="s">
        <v>104</v>
      </c>
      <c r="O377" s="14" t="s">
        <v>99</v>
      </c>
      <c r="P377" s="14" t="s">
        <v>99</v>
      </c>
      <c r="Q377" s="14" t="s">
        <v>99</v>
      </c>
      <c r="R377" s="14" t="s">
        <v>99</v>
      </c>
      <c r="S377" s="14" t="s">
        <v>99</v>
      </c>
      <c r="T377" s="14" t="s">
        <v>7556</v>
      </c>
      <c r="U377" s="14" t="s">
        <v>7557</v>
      </c>
      <c r="V377" s="14" t="s">
        <v>7558</v>
      </c>
      <c r="W377" s="14" t="s">
        <v>7559</v>
      </c>
      <c r="X377" s="14" t="s">
        <v>7560</v>
      </c>
      <c r="Y377" s="14" t="s">
        <v>7561</v>
      </c>
      <c r="Z377" s="14" t="s">
        <v>7562</v>
      </c>
      <c r="AA377" s="14" t="s">
        <v>7563</v>
      </c>
      <c r="AB377" s="14" t="s">
        <v>7564</v>
      </c>
      <c r="AC377" s="14" t="s">
        <v>99</v>
      </c>
      <c r="AD377" s="14" t="s">
        <v>99</v>
      </c>
      <c r="AE377" s="14" t="s">
        <v>99</v>
      </c>
      <c r="AF377" s="14" t="s">
        <v>99</v>
      </c>
      <c r="AG377" s="14">
        <v>56.0</v>
      </c>
      <c r="AH377" s="14">
        <v>50.0</v>
      </c>
      <c r="AI377" s="14">
        <v>56.0</v>
      </c>
      <c r="AJ377" s="14">
        <v>0.0</v>
      </c>
      <c r="AK377" s="14">
        <v>44.0</v>
      </c>
      <c r="AL377" s="14" t="s">
        <v>441</v>
      </c>
      <c r="AM377" s="14" t="s">
        <v>442</v>
      </c>
      <c r="AN377" s="14" t="s">
        <v>443</v>
      </c>
      <c r="AO377" s="14" t="s">
        <v>444</v>
      </c>
      <c r="AP377" s="14" t="s">
        <v>445</v>
      </c>
      <c r="AQ377" s="14" t="s">
        <v>99</v>
      </c>
      <c r="AR377" s="14" t="s">
        <v>446</v>
      </c>
      <c r="AS377" s="14" t="s">
        <v>447</v>
      </c>
      <c r="AT377" s="14" t="s">
        <v>7549</v>
      </c>
      <c r="AU377" s="14">
        <v>2008.0</v>
      </c>
      <c r="AV377" s="14">
        <v>255.0</v>
      </c>
      <c r="AW377" s="14" t="s">
        <v>7565</v>
      </c>
      <c r="AX377" s="14" t="s">
        <v>99</v>
      </c>
      <c r="AY377" s="14" t="s">
        <v>99</v>
      </c>
      <c r="AZ377" s="14" t="s">
        <v>99</v>
      </c>
      <c r="BA377" s="14" t="s">
        <v>99</v>
      </c>
      <c r="BB377" s="14">
        <v>3242.0</v>
      </c>
      <c r="BC377" s="14">
        <v>3253.0</v>
      </c>
      <c r="BD377" s="14" t="s">
        <v>99</v>
      </c>
      <c r="BE377" s="14" t="s">
        <v>7566</v>
      </c>
      <c r="BF377" s="15" t="str">
        <f>HYPERLINK("http://dx.doi.org/10.1016/j.foreco.2008.01.069","http://dx.doi.org/10.1016/j.foreco.2008.01.069")</f>
        <v>http://dx.doi.org/10.1016/j.foreco.2008.01.069</v>
      </c>
      <c r="BG377" s="14" t="s">
        <v>99</v>
      </c>
      <c r="BH377" s="14" t="s">
        <v>99</v>
      </c>
      <c r="BI377" s="14">
        <v>12.0</v>
      </c>
      <c r="BJ377" s="14" t="s">
        <v>281</v>
      </c>
      <c r="BK377" s="14" t="s">
        <v>122</v>
      </c>
      <c r="BL377" s="14" t="s">
        <v>281</v>
      </c>
      <c r="BM377" s="14" t="s">
        <v>7567</v>
      </c>
      <c r="BN377" s="14" t="s">
        <v>99</v>
      </c>
      <c r="BO377" s="14" t="s">
        <v>99</v>
      </c>
      <c r="BP377" s="14" t="s">
        <v>99</v>
      </c>
      <c r="BQ377" s="14" t="s">
        <v>99</v>
      </c>
      <c r="BR377" s="14" t="s">
        <v>124</v>
      </c>
      <c r="BS377" s="14" t="s">
        <v>7568</v>
      </c>
      <c r="BT377" s="14" t="str">
        <f>HYPERLINK("https%3A%2F%2Fwww.webofscience.com%2Fwos%2Fwoscc%2Ffull-record%2FWOS:000256288800015","View Full Record in Web of Science")</f>
        <v>View Full Record in Web of Science</v>
      </c>
    </row>
    <row r="378" ht="12.75" customHeight="1">
      <c r="A378" s="14" t="s">
        <v>97</v>
      </c>
      <c r="B378" s="14" t="s">
        <v>7569</v>
      </c>
      <c r="C378" s="14" t="s">
        <v>99</v>
      </c>
      <c r="D378" s="14" t="s">
        <v>99</v>
      </c>
      <c r="E378" s="14" t="s">
        <v>99</v>
      </c>
      <c r="F378" s="14" t="s">
        <v>7570</v>
      </c>
      <c r="G378" s="14" t="s">
        <v>99</v>
      </c>
      <c r="H378" s="14" t="s">
        <v>99</v>
      </c>
      <c r="I378" s="14" t="s">
        <v>7571</v>
      </c>
      <c r="J378" s="14" t="s">
        <v>5603</v>
      </c>
      <c r="K378" s="14" t="s">
        <v>99</v>
      </c>
      <c r="L378" s="14" t="s">
        <v>99</v>
      </c>
      <c r="M378" s="14" t="s">
        <v>103</v>
      </c>
      <c r="N378" s="14" t="s">
        <v>104</v>
      </c>
      <c r="O378" s="14" t="s">
        <v>99</v>
      </c>
      <c r="P378" s="14" t="s">
        <v>99</v>
      </c>
      <c r="Q378" s="14" t="s">
        <v>99</v>
      </c>
      <c r="R378" s="14" t="s">
        <v>99</v>
      </c>
      <c r="S378" s="14" t="s">
        <v>99</v>
      </c>
      <c r="T378" s="14" t="s">
        <v>7572</v>
      </c>
      <c r="U378" s="14" t="s">
        <v>7573</v>
      </c>
      <c r="V378" s="14" t="s">
        <v>7574</v>
      </c>
      <c r="W378" s="14" t="s">
        <v>7575</v>
      </c>
      <c r="X378" s="14" t="s">
        <v>7576</v>
      </c>
      <c r="Y378" s="14" t="s">
        <v>7577</v>
      </c>
      <c r="Z378" s="14" t="s">
        <v>7578</v>
      </c>
      <c r="AA378" s="14" t="s">
        <v>7579</v>
      </c>
      <c r="AB378" s="14" t="s">
        <v>7580</v>
      </c>
      <c r="AC378" s="14" t="s">
        <v>99</v>
      </c>
      <c r="AD378" s="14" t="s">
        <v>99</v>
      </c>
      <c r="AE378" s="14" t="s">
        <v>99</v>
      </c>
      <c r="AF378" s="14" t="s">
        <v>99</v>
      </c>
      <c r="AG378" s="14">
        <v>25.0</v>
      </c>
      <c r="AH378" s="14">
        <v>34.0</v>
      </c>
      <c r="AI378" s="14">
        <v>44.0</v>
      </c>
      <c r="AJ378" s="14">
        <v>0.0</v>
      </c>
      <c r="AK378" s="14">
        <v>63.0</v>
      </c>
      <c r="AL378" s="14" t="s">
        <v>1033</v>
      </c>
      <c r="AM378" s="14" t="s">
        <v>442</v>
      </c>
      <c r="AN378" s="14" t="s">
        <v>1034</v>
      </c>
      <c r="AO378" s="14" t="s">
        <v>5616</v>
      </c>
      <c r="AP378" s="14" t="s">
        <v>99</v>
      </c>
      <c r="AQ378" s="14" t="s">
        <v>99</v>
      </c>
      <c r="AR378" s="14" t="s">
        <v>5618</v>
      </c>
      <c r="AS378" s="14" t="s">
        <v>5619</v>
      </c>
      <c r="AT378" s="14" t="s">
        <v>640</v>
      </c>
      <c r="AU378" s="14">
        <v>2008.0</v>
      </c>
      <c r="AV378" s="14">
        <v>125.0</v>
      </c>
      <c r="AW378" s="14" t="s">
        <v>7581</v>
      </c>
      <c r="AX378" s="14" t="s">
        <v>99</v>
      </c>
      <c r="AY378" s="14" t="s">
        <v>99</v>
      </c>
      <c r="AZ378" s="14" t="s">
        <v>99</v>
      </c>
      <c r="BA378" s="14" t="s">
        <v>99</v>
      </c>
      <c r="BB378" s="14">
        <v>239.0</v>
      </c>
      <c r="BC378" s="14">
        <v>245.0</v>
      </c>
      <c r="BD378" s="14" t="s">
        <v>99</v>
      </c>
      <c r="BE378" s="14" t="s">
        <v>7582</v>
      </c>
      <c r="BF378" s="15" t="str">
        <f>HYPERLINK("http://dx.doi.org/10.1016/j.agee.2008.01.005","http://dx.doi.org/10.1016/j.agee.2008.01.005")</f>
        <v>http://dx.doi.org/10.1016/j.agee.2008.01.005</v>
      </c>
      <c r="BG378" s="14" t="s">
        <v>99</v>
      </c>
      <c r="BH378" s="14" t="s">
        <v>99</v>
      </c>
      <c r="BI378" s="14">
        <v>7.0</v>
      </c>
      <c r="BJ378" s="14" t="s">
        <v>5622</v>
      </c>
      <c r="BK378" s="14" t="s">
        <v>122</v>
      </c>
      <c r="BL378" s="14" t="s">
        <v>5623</v>
      </c>
      <c r="BM378" s="14" t="s">
        <v>7583</v>
      </c>
      <c r="BN378" s="14" t="s">
        <v>99</v>
      </c>
      <c r="BO378" s="14" t="s">
        <v>99</v>
      </c>
      <c r="BP378" s="14" t="s">
        <v>99</v>
      </c>
      <c r="BQ378" s="14" t="s">
        <v>99</v>
      </c>
      <c r="BR378" s="14" t="s">
        <v>124</v>
      </c>
      <c r="BS378" s="14" t="s">
        <v>7584</v>
      </c>
      <c r="BT378" s="14" t="str">
        <f>HYPERLINK("https%3A%2F%2Fwww.webofscience.com%2Fwos%2Fwoscc%2Ffull-record%2FWOS:000255134500025","View Full Record in Web of Science")</f>
        <v>View Full Record in Web of Science</v>
      </c>
    </row>
    <row r="379" ht="12.75" customHeight="1">
      <c r="A379" s="14" t="s">
        <v>97</v>
      </c>
      <c r="B379" s="14" t="s">
        <v>7585</v>
      </c>
      <c r="C379" s="14" t="s">
        <v>99</v>
      </c>
      <c r="D379" s="14" t="s">
        <v>99</v>
      </c>
      <c r="E379" s="14" t="s">
        <v>99</v>
      </c>
      <c r="F379" s="14" t="s">
        <v>7586</v>
      </c>
      <c r="G379" s="14" t="s">
        <v>99</v>
      </c>
      <c r="H379" s="14" t="s">
        <v>99</v>
      </c>
      <c r="I379" s="14" t="s">
        <v>7587</v>
      </c>
      <c r="J379" s="14" t="s">
        <v>1721</v>
      </c>
      <c r="K379" s="14" t="s">
        <v>99</v>
      </c>
      <c r="L379" s="14" t="s">
        <v>99</v>
      </c>
      <c r="M379" s="14" t="s">
        <v>103</v>
      </c>
      <c r="N379" s="14" t="s">
        <v>104</v>
      </c>
      <c r="O379" s="14" t="s">
        <v>99</v>
      </c>
      <c r="P379" s="14" t="s">
        <v>99</v>
      </c>
      <c r="Q379" s="14" t="s">
        <v>99</v>
      </c>
      <c r="R379" s="14" t="s">
        <v>99</v>
      </c>
      <c r="S379" s="14" t="s">
        <v>99</v>
      </c>
      <c r="T379" s="14" t="s">
        <v>7588</v>
      </c>
      <c r="U379" s="14" t="s">
        <v>7589</v>
      </c>
      <c r="V379" s="14" t="s">
        <v>7590</v>
      </c>
      <c r="W379" s="14" t="s">
        <v>7591</v>
      </c>
      <c r="X379" s="14" t="s">
        <v>7592</v>
      </c>
      <c r="Y379" s="14" t="s">
        <v>7593</v>
      </c>
      <c r="Z379" s="14" t="s">
        <v>7594</v>
      </c>
      <c r="AA379" s="14" t="s">
        <v>7595</v>
      </c>
      <c r="AB379" s="14" t="s">
        <v>7596</v>
      </c>
      <c r="AC379" s="14" t="s">
        <v>99</v>
      </c>
      <c r="AD379" s="14" t="s">
        <v>99</v>
      </c>
      <c r="AE379" s="14" t="s">
        <v>99</v>
      </c>
      <c r="AF379" s="14" t="s">
        <v>99</v>
      </c>
      <c r="AG379" s="14">
        <v>14.0</v>
      </c>
      <c r="AH379" s="14">
        <v>32.0</v>
      </c>
      <c r="AI379" s="14">
        <v>35.0</v>
      </c>
      <c r="AJ379" s="14">
        <v>0.0</v>
      </c>
      <c r="AK379" s="14">
        <v>35.0</v>
      </c>
      <c r="AL379" s="14" t="s">
        <v>1731</v>
      </c>
      <c r="AM379" s="14" t="s">
        <v>1732</v>
      </c>
      <c r="AN379" s="14" t="s">
        <v>1733</v>
      </c>
      <c r="AO379" s="14" t="s">
        <v>1734</v>
      </c>
      <c r="AP379" s="14" t="s">
        <v>99</v>
      </c>
      <c r="AQ379" s="14" t="s">
        <v>99</v>
      </c>
      <c r="AR379" s="14" t="s">
        <v>1736</v>
      </c>
      <c r="AS379" s="14" t="s">
        <v>1737</v>
      </c>
      <c r="AT379" s="14" t="s">
        <v>640</v>
      </c>
      <c r="AU379" s="14">
        <v>2008.0</v>
      </c>
      <c r="AV379" s="14">
        <v>17.0</v>
      </c>
      <c r="AW379" s="14">
        <v>5.0</v>
      </c>
      <c r="AX379" s="14" t="s">
        <v>99</v>
      </c>
      <c r="AY379" s="14" t="s">
        <v>99</v>
      </c>
      <c r="AZ379" s="14" t="s">
        <v>99</v>
      </c>
      <c r="BA379" s="14" t="s">
        <v>99</v>
      </c>
      <c r="BB379" s="14">
        <v>1241.0</v>
      </c>
      <c r="BC379" s="14">
        <v>1249.0</v>
      </c>
      <c r="BD379" s="14" t="s">
        <v>99</v>
      </c>
      <c r="BE379" s="14" t="s">
        <v>7597</v>
      </c>
      <c r="BF379" s="15" t="str">
        <f>HYPERLINK("http://dx.doi.org/10.1007/s10531-007-9300-5","http://dx.doi.org/10.1007/s10531-007-9300-5")</f>
        <v>http://dx.doi.org/10.1007/s10531-007-9300-5</v>
      </c>
      <c r="BG379" s="14" t="s">
        <v>99</v>
      </c>
      <c r="BH379" s="14" t="s">
        <v>99</v>
      </c>
      <c r="BI379" s="14">
        <v>9.0</v>
      </c>
      <c r="BJ379" s="14" t="s">
        <v>351</v>
      </c>
      <c r="BK379" s="14" t="s">
        <v>122</v>
      </c>
      <c r="BL379" s="14" t="s">
        <v>352</v>
      </c>
      <c r="BM379" s="14" t="s">
        <v>7598</v>
      </c>
      <c r="BN379" s="14" t="s">
        <v>99</v>
      </c>
      <c r="BO379" s="14" t="s">
        <v>99</v>
      </c>
      <c r="BP379" s="14" t="s">
        <v>99</v>
      </c>
      <c r="BQ379" s="14" t="s">
        <v>99</v>
      </c>
      <c r="BR379" s="14" t="s">
        <v>124</v>
      </c>
      <c r="BS379" s="14" t="s">
        <v>7599</v>
      </c>
      <c r="BT379" s="14" t="str">
        <f>HYPERLINK("https%3A%2F%2Fwww.webofscience.com%2Fwos%2Fwoscc%2Ffull-record%2FWOS:000255998100017","View Full Record in Web of Science")</f>
        <v>View Full Record in Web of Science</v>
      </c>
    </row>
    <row r="380" ht="12.75" customHeight="1">
      <c r="A380" s="14" t="s">
        <v>97</v>
      </c>
      <c r="B380" s="14" t="s">
        <v>7600</v>
      </c>
      <c r="C380" s="14" t="s">
        <v>99</v>
      </c>
      <c r="D380" s="14" t="s">
        <v>99</v>
      </c>
      <c r="E380" s="14" t="s">
        <v>99</v>
      </c>
      <c r="F380" s="14" t="s">
        <v>7601</v>
      </c>
      <c r="G380" s="14" t="s">
        <v>99</v>
      </c>
      <c r="H380" s="14" t="s">
        <v>99</v>
      </c>
      <c r="I380" s="14" t="s">
        <v>7602</v>
      </c>
      <c r="J380" s="14" t="s">
        <v>1102</v>
      </c>
      <c r="K380" s="14" t="s">
        <v>99</v>
      </c>
      <c r="L380" s="14" t="s">
        <v>99</v>
      </c>
      <c r="M380" s="14" t="s">
        <v>103</v>
      </c>
      <c r="N380" s="14" t="s">
        <v>104</v>
      </c>
      <c r="O380" s="14" t="s">
        <v>99</v>
      </c>
      <c r="P380" s="14" t="s">
        <v>99</v>
      </c>
      <c r="Q380" s="14" t="s">
        <v>99</v>
      </c>
      <c r="R380" s="14" t="s">
        <v>99</v>
      </c>
      <c r="S380" s="14" t="s">
        <v>99</v>
      </c>
      <c r="T380" s="14" t="s">
        <v>7603</v>
      </c>
      <c r="U380" s="14" t="s">
        <v>7604</v>
      </c>
      <c r="V380" s="14" t="s">
        <v>7605</v>
      </c>
      <c r="W380" s="14" t="s">
        <v>7606</v>
      </c>
      <c r="X380" s="14" t="s">
        <v>7607</v>
      </c>
      <c r="Y380" s="14" t="s">
        <v>7608</v>
      </c>
      <c r="Z380" s="14" t="s">
        <v>7609</v>
      </c>
      <c r="AA380" s="14" t="s">
        <v>7610</v>
      </c>
      <c r="AB380" s="14" t="s">
        <v>7611</v>
      </c>
      <c r="AC380" s="14" t="s">
        <v>99</v>
      </c>
      <c r="AD380" s="14" t="s">
        <v>99</v>
      </c>
      <c r="AE380" s="14" t="s">
        <v>99</v>
      </c>
      <c r="AF380" s="14" t="s">
        <v>99</v>
      </c>
      <c r="AG380" s="14">
        <v>66.0</v>
      </c>
      <c r="AH380" s="14">
        <v>115.0</v>
      </c>
      <c r="AI380" s="14">
        <v>137.0</v>
      </c>
      <c r="AJ380" s="14">
        <v>3.0</v>
      </c>
      <c r="AK380" s="14">
        <v>105.0</v>
      </c>
      <c r="AL380" s="14" t="s">
        <v>493</v>
      </c>
      <c r="AM380" s="14" t="s">
        <v>468</v>
      </c>
      <c r="AN380" s="14" t="s">
        <v>635</v>
      </c>
      <c r="AO380" s="14" t="s">
        <v>1112</v>
      </c>
      <c r="AP380" s="14" t="s">
        <v>1113</v>
      </c>
      <c r="AQ380" s="14" t="s">
        <v>99</v>
      </c>
      <c r="AR380" s="14" t="s">
        <v>1114</v>
      </c>
      <c r="AS380" s="14" t="s">
        <v>1115</v>
      </c>
      <c r="AT380" s="14" t="s">
        <v>640</v>
      </c>
      <c r="AU380" s="14">
        <v>2008.0</v>
      </c>
      <c r="AV380" s="14">
        <v>141.0</v>
      </c>
      <c r="AW380" s="14">
        <v>5.0</v>
      </c>
      <c r="AX380" s="14" t="s">
        <v>99</v>
      </c>
      <c r="AY380" s="14" t="s">
        <v>99</v>
      </c>
      <c r="AZ380" s="14" t="s">
        <v>99</v>
      </c>
      <c r="BA380" s="14" t="s">
        <v>99</v>
      </c>
      <c r="BB380" s="14">
        <v>1343.0</v>
      </c>
      <c r="BC380" s="14">
        <v>1353.0</v>
      </c>
      <c r="BD380" s="14" t="s">
        <v>99</v>
      </c>
      <c r="BE380" s="14" t="s">
        <v>7612</v>
      </c>
      <c r="BF380" s="15" t="str">
        <f>HYPERLINK("http://dx.doi.org/10.1016/j.biocon.2008.03.007","http://dx.doi.org/10.1016/j.biocon.2008.03.007")</f>
        <v>http://dx.doi.org/10.1016/j.biocon.2008.03.007</v>
      </c>
      <c r="BG380" s="14" t="s">
        <v>99</v>
      </c>
      <c r="BH380" s="14" t="s">
        <v>99</v>
      </c>
      <c r="BI380" s="14">
        <v>11.0</v>
      </c>
      <c r="BJ380" s="14" t="s">
        <v>351</v>
      </c>
      <c r="BK380" s="14" t="s">
        <v>122</v>
      </c>
      <c r="BL380" s="14" t="s">
        <v>352</v>
      </c>
      <c r="BM380" s="14" t="s">
        <v>7613</v>
      </c>
      <c r="BN380" s="14" t="s">
        <v>99</v>
      </c>
      <c r="BO380" s="14" t="s">
        <v>99</v>
      </c>
      <c r="BP380" s="14" t="s">
        <v>99</v>
      </c>
      <c r="BQ380" s="14" t="s">
        <v>99</v>
      </c>
      <c r="BR380" s="14" t="s">
        <v>124</v>
      </c>
      <c r="BS380" s="14" t="s">
        <v>7614</v>
      </c>
      <c r="BT380" s="14" t="str">
        <f>HYPERLINK("https%3A%2F%2Fwww.webofscience.com%2Fwos%2Fwoscc%2Ffull-record%2FWOS:000257008400017","View Full Record in Web of Science")</f>
        <v>View Full Record in Web of Science</v>
      </c>
    </row>
    <row r="381" ht="12.75" customHeight="1">
      <c r="A381" s="14" t="s">
        <v>97</v>
      </c>
      <c r="B381" s="14" t="s">
        <v>7615</v>
      </c>
      <c r="C381" s="14" t="s">
        <v>99</v>
      </c>
      <c r="D381" s="14" t="s">
        <v>99</v>
      </c>
      <c r="E381" s="14" t="s">
        <v>99</v>
      </c>
      <c r="F381" s="14" t="s">
        <v>7616</v>
      </c>
      <c r="G381" s="14" t="s">
        <v>99</v>
      </c>
      <c r="H381" s="14" t="s">
        <v>99</v>
      </c>
      <c r="I381" s="14" t="s">
        <v>7617</v>
      </c>
      <c r="J381" s="14" t="s">
        <v>4245</v>
      </c>
      <c r="K381" s="14" t="s">
        <v>99</v>
      </c>
      <c r="L381" s="14" t="s">
        <v>99</v>
      </c>
      <c r="M381" s="14" t="s">
        <v>103</v>
      </c>
      <c r="N381" s="14" t="s">
        <v>104</v>
      </c>
      <c r="O381" s="14" t="s">
        <v>99</v>
      </c>
      <c r="P381" s="14" t="s">
        <v>99</v>
      </c>
      <c r="Q381" s="14" t="s">
        <v>99</v>
      </c>
      <c r="R381" s="14" t="s">
        <v>99</v>
      </c>
      <c r="S381" s="14" t="s">
        <v>99</v>
      </c>
      <c r="T381" s="14" t="s">
        <v>7618</v>
      </c>
      <c r="U381" s="14" t="s">
        <v>7619</v>
      </c>
      <c r="V381" s="14" t="s">
        <v>7620</v>
      </c>
      <c r="W381" s="14" t="s">
        <v>7621</v>
      </c>
      <c r="X381" s="14" t="s">
        <v>7622</v>
      </c>
      <c r="Y381" s="14" t="s">
        <v>7623</v>
      </c>
      <c r="Z381" s="14" t="s">
        <v>7624</v>
      </c>
      <c r="AA381" s="14" t="s">
        <v>7625</v>
      </c>
      <c r="AB381" s="14" t="s">
        <v>7626</v>
      </c>
      <c r="AC381" s="14" t="s">
        <v>99</v>
      </c>
      <c r="AD381" s="14" t="s">
        <v>99</v>
      </c>
      <c r="AE381" s="14" t="s">
        <v>99</v>
      </c>
      <c r="AF381" s="14" t="s">
        <v>99</v>
      </c>
      <c r="AG381" s="14">
        <v>43.0</v>
      </c>
      <c r="AH381" s="14">
        <v>238.0</v>
      </c>
      <c r="AI381" s="14">
        <v>270.0</v>
      </c>
      <c r="AJ381" s="14">
        <v>0.0</v>
      </c>
      <c r="AK381" s="14">
        <v>69.0</v>
      </c>
      <c r="AL381" s="14" t="s">
        <v>341</v>
      </c>
      <c r="AM381" s="14" t="s">
        <v>342</v>
      </c>
      <c r="AN381" s="14" t="s">
        <v>343</v>
      </c>
      <c r="AO381" s="14" t="s">
        <v>4258</v>
      </c>
      <c r="AP381" s="14" t="s">
        <v>4259</v>
      </c>
      <c r="AQ381" s="14" t="s">
        <v>99</v>
      </c>
      <c r="AR381" s="14" t="s">
        <v>4260</v>
      </c>
      <c r="AS381" s="14" t="s">
        <v>4261</v>
      </c>
      <c r="AT381" s="14" t="s">
        <v>718</v>
      </c>
      <c r="AU381" s="14">
        <v>2008.0</v>
      </c>
      <c r="AV381" s="14">
        <v>11.0</v>
      </c>
      <c r="AW381" s="14">
        <v>2.0</v>
      </c>
      <c r="AX381" s="14" t="s">
        <v>99</v>
      </c>
      <c r="AY381" s="14" t="s">
        <v>99</v>
      </c>
      <c r="AZ381" s="14" t="s">
        <v>99</v>
      </c>
      <c r="BA381" s="14" t="s">
        <v>99</v>
      </c>
      <c r="BB381" s="14">
        <v>169.0</v>
      </c>
      <c r="BC381" s="14">
        <v>178.0</v>
      </c>
      <c r="BD381" s="14" t="s">
        <v>99</v>
      </c>
      <c r="BE381" s="14" t="s">
        <v>7627</v>
      </c>
      <c r="BF381" s="15" t="str">
        <f>HYPERLINK("http://dx.doi.org/10.3170/2008-7-18348","http://dx.doi.org/10.3170/2008-7-18348")</f>
        <v>http://dx.doi.org/10.3170/2008-7-18348</v>
      </c>
      <c r="BG381" s="14" t="s">
        <v>99</v>
      </c>
      <c r="BH381" s="14" t="s">
        <v>99</v>
      </c>
      <c r="BI381" s="14">
        <v>10.0</v>
      </c>
      <c r="BJ381" s="14" t="s">
        <v>1141</v>
      </c>
      <c r="BK381" s="14" t="s">
        <v>122</v>
      </c>
      <c r="BL381" s="14" t="s">
        <v>1142</v>
      </c>
      <c r="BM381" s="14" t="s">
        <v>7628</v>
      </c>
      <c r="BN381" s="14" t="s">
        <v>99</v>
      </c>
      <c r="BO381" s="14" t="s">
        <v>99</v>
      </c>
      <c r="BP381" s="14" t="s">
        <v>99</v>
      </c>
      <c r="BQ381" s="14" t="s">
        <v>99</v>
      </c>
      <c r="BR381" s="14" t="s">
        <v>124</v>
      </c>
      <c r="BS381" s="14" t="s">
        <v>7629</v>
      </c>
      <c r="BT381" s="14" t="str">
        <f>HYPERLINK("https%3A%2F%2Fwww.webofscience.com%2Fwos%2Fwoscc%2Ffull-record%2FWOS:000255229600003","View Full Record in Web of Science")</f>
        <v>View Full Record in Web of Science</v>
      </c>
    </row>
    <row r="382" ht="12.75" customHeight="1">
      <c r="A382" s="14" t="s">
        <v>97</v>
      </c>
      <c r="B382" s="14" t="s">
        <v>7630</v>
      </c>
      <c r="C382" s="14" t="s">
        <v>99</v>
      </c>
      <c r="D382" s="14" t="s">
        <v>99</v>
      </c>
      <c r="E382" s="14" t="s">
        <v>99</v>
      </c>
      <c r="F382" s="14" t="s">
        <v>7631</v>
      </c>
      <c r="G382" s="14" t="s">
        <v>99</v>
      </c>
      <c r="H382" s="14" t="s">
        <v>99</v>
      </c>
      <c r="I382" s="14" t="s">
        <v>7632</v>
      </c>
      <c r="J382" s="14" t="s">
        <v>7633</v>
      </c>
      <c r="K382" s="14" t="s">
        <v>99</v>
      </c>
      <c r="L382" s="14" t="s">
        <v>99</v>
      </c>
      <c r="M382" s="14" t="s">
        <v>103</v>
      </c>
      <c r="N382" s="14" t="s">
        <v>104</v>
      </c>
      <c r="O382" s="14" t="s">
        <v>99</v>
      </c>
      <c r="P382" s="14" t="s">
        <v>99</v>
      </c>
      <c r="Q382" s="14" t="s">
        <v>99</v>
      </c>
      <c r="R382" s="14" t="s">
        <v>99</v>
      </c>
      <c r="S382" s="14" t="s">
        <v>99</v>
      </c>
      <c r="T382" s="14" t="s">
        <v>7634</v>
      </c>
      <c r="U382" s="14" t="s">
        <v>7635</v>
      </c>
      <c r="V382" s="14" t="s">
        <v>7636</v>
      </c>
      <c r="W382" s="14" t="s">
        <v>7637</v>
      </c>
      <c r="X382" s="14" t="s">
        <v>7638</v>
      </c>
      <c r="Y382" s="14" t="s">
        <v>7639</v>
      </c>
      <c r="Z382" s="14" t="s">
        <v>7640</v>
      </c>
      <c r="AA382" s="14" t="s">
        <v>7641</v>
      </c>
      <c r="AB382" s="14" t="s">
        <v>7642</v>
      </c>
      <c r="AC382" s="14" t="s">
        <v>7643</v>
      </c>
      <c r="AD382" s="14" t="s">
        <v>7644</v>
      </c>
      <c r="AE382" s="14" t="s">
        <v>7645</v>
      </c>
      <c r="AF382" s="14" t="s">
        <v>99</v>
      </c>
      <c r="AG382" s="14">
        <v>92.0</v>
      </c>
      <c r="AH382" s="14">
        <v>171.0</v>
      </c>
      <c r="AI382" s="14">
        <v>207.0</v>
      </c>
      <c r="AJ382" s="14">
        <v>2.0</v>
      </c>
      <c r="AK382" s="14">
        <v>130.0</v>
      </c>
      <c r="AL382" s="14" t="s">
        <v>7646</v>
      </c>
      <c r="AM382" s="14" t="s">
        <v>7403</v>
      </c>
      <c r="AN382" s="14" t="s">
        <v>7647</v>
      </c>
      <c r="AO382" s="14" t="s">
        <v>7648</v>
      </c>
      <c r="AP382" s="14" t="s">
        <v>7649</v>
      </c>
      <c r="AQ382" s="14" t="s">
        <v>99</v>
      </c>
      <c r="AR382" s="14" t="s">
        <v>7650</v>
      </c>
      <c r="AS382" s="14" t="s">
        <v>7651</v>
      </c>
      <c r="AT382" s="14" t="s">
        <v>718</v>
      </c>
      <c r="AU382" s="14">
        <v>2008.0</v>
      </c>
      <c r="AV382" s="14">
        <v>3.0</v>
      </c>
      <c r="AW382" s="14">
        <v>1.0</v>
      </c>
      <c r="AX382" s="14" t="s">
        <v>99</v>
      </c>
      <c r="AY382" s="14" t="s">
        <v>99</v>
      </c>
      <c r="AZ382" s="14" t="s">
        <v>99</v>
      </c>
      <c r="BA382" s="14" t="s">
        <v>99</v>
      </c>
      <c r="BB382" s="14">
        <v>9.0</v>
      </c>
      <c r="BC382" s="14">
        <v>22.0</v>
      </c>
      <c r="BD382" s="14" t="s">
        <v>99</v>
      </c>
      <c r="BE382" s="14" t="s">
        <v>7652</v>
      </c>
      <c r="BF382" s="15" t="str">
        <f>HYPERLINK("http://dx.doi.org/10.1007/s11625-008-0042-4","http://dx.doi.org/10.1007/s11625-008-0042-4")</f>
        <v>http://dx.doi.org/10.1007/s11625-008-0042-4</v>
      </c>
      <c r="BG382" s="14" t="s">
        <v>99</v>
      </c>
      <c r="BH382" s="14" t="s">
        <v>99</v>
      </c>
      <c r="BI382" s="14">
        <v>14.0</v>
      </c>
      <c r="BJ382" s="14" t="s">
        <v>7653</v>
      </c>
      <c r="BK382" s="14" t="s">
        <v>122</v>
      </c>
      <c r="BL382" s="14" t="s">
        <v>2837</v>
      </c>
      <c r="BM382" s="14" t="s">
        <v>7654</v>
      </c>
      <c r="BN382" s="14" t="s">
        <v>99</v>
      </c>
      <c r="BO382" s="14" t="s">
        <v>99</v>
      </c>
      <c r="BP382" s="14" t="s">
        <v>99</v>
      </c>
      <c r="BQ382" s="14" t="s">
        <v>99</v>
      </c>
      <c r="BR382" s="14" t="s">
        <v>124</v>
      </c>
      <c r="BS382" s="14" t="s">
        <v>7655</v>
      </c>
      <c r="BT382" s="14" t="str">
        <f>HYPERLINK("https%3A%2F%2Fwww.webofscience.com%2Fwos%2Fwoscc%2Ffull-record%2FWOS:000264104000003","View Full Record in Web of Science")</f>
        <v>View Full Record in Web of Science</v>
      </c>
    </row>
    <row r="383" ht="12.75" customHeight="1">
      <c r="A383" s="14" t="s">
        <v>97</v>
      </c>
      <c r="B383" s="14" t="s">
        <v>7656</v>
      </c>
      <c r="C383" s="14" t="s">
        <v>99</v>
      </c>
      <c r="D383" s="14" t="s">
        <v>99</v>
      </c>
      <c r="E383" s="14" t="s">
        <v>99</v>
      </c>
      <c r="F383" s="14" t="s">
        <v>7657</v>
      </c>
      <c r="G383" s="14" t="s">
        <v>99</v>
      </c>
      <c r="H383" s="14" t="s">
        <v>99</v>
      </c>
      <c r="I383" s="14" t="s">
        <v>7658</v>
      </c>
      <c r="J383" s="14" t="s">
        <v>7659</v>
      </c>
      <c r="K383" s="14" t="s">
        <v>99</v>
      </c>
      <c r="L383" s="14" t="s">
        <v>99</v>
      </c>
      <c r="M383" s="14" t="s">
        <v>103</v>
      </c>
      <c r="N383" s="14" t="s">
        <v>104</v>
      </c>
      <c r="O383" s="14" t="s">
        <v>99</v>
      </c>
      <c r="P383" s="14" t="s">
        <v>99</v>
      </c>
      <c r="Q383" s="14" t="s">
        <v>99</v>
      </c>
      <c r="R383" s="14" t="s">
        <v>99</v>
      </c>
      <c r="S383" s="14" t="s">
        <v>99</v>
      </c>
      <c r="T383" s="14" t="s">
        <v>7660</v>
      </c>
      <c r="U383" s="14" t="s">
        <v>7661</v>
      </c>
      <c r="V383" s="14" t="s">
        <v>7662</v>
      </c>
      <c r="W383" s="14" t="s">
        <v>7663</v>
      </c>
      <c r="X383" s="14" t="s">
        <v>7664</v>
      </c>
      <c r="Y383" s="14" t="s">
        <v>7665</v>
      </c>
      <c r="Z383" s="14" t="s">
        <v>7666</v>
      </c>
      <c r="AA383" s="14" t="s">
        <v>99</v>
      </c>
      <c r="AB383" s="14" t="s">
        <v>7667</v>
      </c>
      <c r="AC383" s="14" t="s">
        <v>99</v>
      </c>
      <c r="AD383" s="14" t="s">
        <v>99</v>
      </c>
      <c r="AE383" s="14" t="s">
        <v>99</v>
      </c>
      <c r="AF383" s="14" t="s">
        <v>99</v>
      </c>
      <c r="AG383" s="14">
        <v>61.0</v>
      </c>
      <c r="AH383" s="14">
        <v>111.0</v>
      </c>
      <c r="AI383" s="14">
        <v>128.0</v>
      </c>
      <c r="AJ383" s="14">
        <v>0.0</v>
      </c>
      <c r="AK383" s="14">
        <v>75.0</v>
      </c>
      <c r="AL383" s="14" t="s">
        <v>1731</v>
      </c>
      <c r="AM383" s="14" t="s">
        <v>1732</v>
      </c>
      <c r="AN383" s="14" t="s">
        <v>1733</v>
      </c>
      <c r="AO383" s="14" t="s">
        <v>7668</v>
      </c>
      <c r="AP383" s="14" t="s">
        <v>7669</v>
      </c>
      <c r="AQ383" s="14" t="s">
        <v>99</v>
      </c>
      <c r="AR383" s="14" t="s">
        <v>7670</v>
      </c>
      <c r="AS383" s="14" t="s">
        <v>7671</v>
      </c>
      <c r="AT383" s="14" t="s">
        <v>718</v>
      </c>
      <c r="AU383" s="14">
        <v>2008.0</v>
      </c>
      <c r="AV383" s="14">
        <v>12.0</v>
      </c>
      <c r="AW383" s="14">
        <v>2.0</v>
      </c>
      <c r="AX383" s="14" t="s">
        <v>99</v>
      </c>
      <c r="AY383" s="14" t="s">
        <v>99</v>
      </c>
      <c r="AZ383" s="14" t="s">
        <v>99</v>
      </c>
      <c r="BA383" s="14" t="s">
        <v>99</v>
      </c>
      <c r="BB383" s="14">
        <v>107.0</v>
      </c>
      <c r="BC383" s="14">
        <v>124.0</v>
      </c>
      <c r="BD383" s="14" t="s">
        <v>99</v>
      </c>
      <c r="BE383" s="14" t="s">
        <v>7672</v>
      </c>
      <c r="BF383" s="15" t="str">
        <f>HYPERLINK("http://dx.doi.org/10.1007/s10841-006-9065-2","http://dx.doi.org/10.1007/s10841-006-9065-2")</f>
        <v>http://dx.doi.org/10.1007/s10841-006-9065-2</v>
      </c>
      <c r="BG383" s="14" t="s">
        <v>99</v>
      </c>
      <c r="BH383" s="14" t="s">
        <v>99</v>
      </c>
      <c r="BI383" s="14">
        <v>18.0</v>
      </c>
      <c r="BJ383" s="14" t="s">
        <v>7673</v>
      </c>
      <c r="BK383" s="14" t="s">
        <v>122</v>
      </c>
      <c r="BL383" s="14" t="s">
        <v>7674</v>
      </c>
      <c r="BM383" s="14" t="s">
        <v>7675</v>
      </c>
      <c r="BN383" s="14" t="s">
        <v>99</v>
      </c>
      <c r="BO383" s="14" t="s">
        <v>99</v>
      </c>
      <c r="BP383" s="14" t="s">
        <v>99</v>
      </c>
      <c r="BQ383" s="14" t="s">
        <v>99</v>
      </c>
      <c r="BR383" s="14" t="s">
        <v>124</v>
      </c>
      <c r="BS383" s="14" t="s">
        <v>7676</v>
      </c>
      <c r="BT383" s="14" t="str">
        <f>HYPERLINK("https%3A%2F%2Fwww.webofscience.com%2Fwos%2Fwoscc%2Ffull-record%2FWOS:000253572400003","View Full Record in Web of Science")</f>
        <v>View Full Record in Web of Science</v>
      </c>
    </row>
    <row r="384" ht="12.75" customHeight="1">
      <c r="A384" s="14" t="s">
        <v>97</v>
      </c>
      <c r="B384" s="14" t="s">
        <v>7677</v>
      </c>
      <c r="C384" s="14" t="s">
        <v>99</v>
      </c>
      <c r="D384" s="14" t="s">
        <v>99</v>
      </c>
      <c r="E384" s="14" t="s">
        <v>99</v>
      </c>
      <c r="F384" s="14" t="s">
        <v>7678</v>
      </c>
      <c r="G384" s="14" t="s">
        <v>99</v>
      </c>
      <c r="H384" s="14" t="s">
        <v>99</v>
      </c>
      <c r="I384" s="14" t="s">
        <v>7679</v>
      </c>
      <c r="J384" s="14" t="s">
        <v>7680</v>
      </c>
      <c r="K384" s="14" t="s">
        <v>99</v>
      </c>
      <c r="L384" s="14" t="s">
        <v>99</v>
      </c>
      <c r="M384" s="14" t="s">
        <v>103</v>
      </c>
      <c r="N384" s="14" t="s">
        <v>104</v>
      </c>
      <c r="O384" s="14" t="s">
        <v>99</v>
      </c>
      <c r="P384" s="14" t="s">
        <v>99</v>
      </c>
      <c r="Q384" s="14" t="s">
        <v>99</v>
      </c>
      <c r="R384" s="14" t="s">
        <v>99</v>
      </c>
      <c r="S384" s="14" t="s">
        <v>99</v>
      </c>
      <c r="T384" s="14" t="s">
        <v>7681</v>
      </c>
      <c r="U384" s="14" t="s">
        <v>7682</v>
      </c>
      <c r="V384" s="14" t="s">
        <v>7683</v>
      </c>
      <c r="W384" s="14" t="s">
        <v>7684</v>
      </c>
      <c r="X384" s="14" t="s">
        <v>7685</v>
      </c>
      <c r="Y384" s="14" t="s">
        <v>7686</v>
      </c>
      <c r="Z384" s="14" t="s">
        <v>7687</v>
      </c>
      <c r="AA384" s="14" t="s">
        <v>99</v>
      </c>
      <c r="AB384" s="14" t="s">
        <v>7688</v>
      </c>
      <c r="AC384" s="14" t="s">
        <v>99</v>
      </c>
      <c r="AD384" s="14" t="s">
        <v>99</v>
      </c>
      <c r="AE384" s="14" t="s">
        <v>99</v>
      </c>
      <c r="AF384" s="14" t="s">
        <v>99</v>
      </c>
      <c r="AG384" s="14">
        <v>37.0</v>
      </c>
      <c r="AH384" s="14">
        <v>391.0</v>
      </c>
      <c r="AI384" s="14">
        <v>461.0</v>
      </c>
      <c r="AJ384" s="14">
        <v>5.0</v>
      </c>
      <c r="AK384" s="14">
        <v>223.0</v>
      </c>
      <c r="AL384" s="14" t="s">
        <v>1731</v>
      </c>
      <c r="AM384" s="14" t="s">
        <v>1732</v>
      </c>
      <c r="AN384" s="14" t="s">
        <v>1733</v>
      </c>
      <c r="AO384" s="14" t="s">
        <v>7689</v>
      </c>
      <c r="AP384" s="14" t="s">
        <v>7690</v>
      </c>
      <c r="AQ384" s="14" t="s">
        <v>99</v>
      </c>
      <c r="AR384" s="14" t="s">
        <v>7691</v>
      </c>
      <c r="AS384" s="14" t="s">
        <v>7692</v>
      </c>
      <c r="AT384" s="14" t="s">
        <v>718</v>
      </c>
      <c r="AU384" s="14">
        <v>2008.0</v>
      </c>
      <c r="AV384" s="14">
        <v>10.0</v>
      </c>
      <c r="AW384" s="14">
        <v>4.0</v>
      </c>
      <c r="AX384" s="14" t="s">
        <v>99</v>
      </c>
      <c r="AY384" s="14" t="s">
        <v>99</v>
      </c>
      <c r="AZ384" s="14" t="s">
        <v>99</v>
      </c>
      <c r="BA384" s="14" t="s">
        <v>99</v>
      </c>
      <c r="BB384" s="14">
        <v>391.0</v>
      </c>
      <c r="BC384" s="14">
        <v>398.0</v>
      </c>
      <c r="BD384" s="14" t="s">
        <v>99</v>
      </c>
      <c r="BE384" s="14" t="s">
        <v>7693</v>
      </c>
      <c r="BF384" s="15" t="str">
        <f>HYPERLINK("http://dx.doi.org/10.1007/s10530-007-9138-5","http://dx.doi.org/10.1007/s10530-007-9138-5")</f>
        <v>http://dx.doi.org/10.1007/s10530-007-9138-5</v>
      </c>
      <c r="BG384" s="14" t="s">
        <v>99</v>
      </c>
      <c r="BH384" s="14" t="s">
        <v>99</v>
      </c>
      <c r="BI384" s="14">
        <v>8.0</v>
      </c>
      <c r="BJ384" s="14" t="s">
        <v>550</v>
      </c>
      <c r="BK384" s="14" t="s">
        <v>800</v>
      </c>
      <c r="BL384" s="14" t="s">
        <v>352</v>
      </c>
      <c r="BM384" s="14" t="s">
        <v>7694</v>
      </c>
      <c r="BN384" s="14" t="s">
        <v>99</v>
      </c>
      <c r="BO384" s="14" t="s">
        <v>99</v>
      </c>
      <c r="BP384" s="14" t="s">
        <v>99</v>
      </c>
      <c r="BQ384" s="14" t="s">
        <v>99</v>
      </c>
      <c r="BR384" s="14" t="s">
        <v>124</v>
      </c>
      <c r="BS384" s="14" t="s">
        <v>7695</v>
      </c>
      <c r="BT384" s="14" t="str">
        <f>HYPERLINK("https%3A%2F%2Fwww.webofscience.com%2Fwos%2Fwoscc%2Ffull-record%2FWOS:000254086900002","View Full Record in Web of Science")</f>
        <v>View Full Record in Web of Science</v>
      </c>
    </row>
    <row r="385" ht="12.75" customHeight="1">
      <c r="A385" s="14" t="s">
        <v>97</v>
      </c>
      <c r="B385" s="14" t="s">
        <v>7696</v>
      </c>
      <c r="C385" s="14" t="s">
        <v>99</v>
      </c>
      <c r="D385" s="14" t="s">
        <v>99</v>
      </c>
      <c r="E385" s="14" t="s">
        <v>99</v>
      </c>
      <c r="F385" s="14" t="s">
        <v>7697</v>
      </c>
      <c r="G385" s="14" t="s">
        <v>99</v>
      </c>
      <c r="H385" s="14" t="s">
        <v>99</v>
      </c>
      <c r="I385" s="14" t="s">
        <v>7698</v>
      </c>
      <c r="J385" s="14" t="s">
        <v>328</v>
      </c>
      <c r="K385" s="14" t="s">
        <v>99</v>
      </c>
      <c r="L385" s="14" t="s">
        <v>99</v>
      </c>
      <c r="M385" s="14" t="s">
        <v>103</v>
      </c>
      <c r="N385" s="14" t="s">
        <v>104</v>
      </c>
      <c r="O385" s="14" t="s">
        <v>99</v>
      </c>
      <c r="P385" s="14" t="s">
        <v>99</v>
      </c>
      <c r="Q385" s="14" t="s">
        <v>99</v>
      </c>
      <c r="R385" s="14" t="s">
        <v>99</v>
      </c>
      <c r="S385" s="14" t="s">
        <v>99</v>
      </c>
      <c r="T385" s="14" t="s">
        <v>7699</v>
      </c>
      <c r="U385" s="14" t="s">
        <v>7700</v>
      </c>
      <c r="V385" s="14" t="s">
        <v>7701</v>
      </c>
      <c r="W385" s="14" t="s">
        <v>7702</v>
      </c>
      <c r="X385" s="14" t="s">
        <v>7703</v>
      </c>
      <c r="Y385" s="14" t="s">
        <v>7704</v>
      </c>
      <c r="Z385" s="14" t="s">
        <v>7705</v>
      </c>
      <c r="AA385" s="14" t="s">
        <v>7706</v>
      </c>
      <c r="AB385" s="14" t="s">
        <v>7707</v>
      </c>
      <c r="AC385" s="14" t="s">
        <v>99</v>
      </c>
      <c r="AD385" s="14" t="s">
        <v>99</v>
      </c>
      <c r="AE385" s="14" t="s">
        <v>99</v>
      </c>
      <c r="AF385" s="14" t="s">
        <v>99</v>
      </c>
      <c r="AG385" s="14">
        <v>49.0</v>
      </c>
      <c r="AH385" s="14">
        <v>136.0</v>
      </c>
      <c r="AI385" s="14">
        <v>155.0</v>
      </c>
      <c r="AJ385" s="14">
        <v>2.0</v>
      </c>
      <c r="AK385" s="14">
        <v>54.0</v>
      </c>
      <c r="AL385" s="14" t="s">
        <v>341</v>
      </c>
      <c r="AM385" s="14" t="s">
        <v>342</v>
      </c>
      <c r="AN385" s="14" t="s">
        <v>343</v>
      </c>
      <c r="AO385" s="14" t="s">
        <v>344</v>
      </c>
      <c r="AP385" s="14" t="s">
        <v>345</v>
      </c>
      <c r="AQ385" s="14" t="s">
        <v>99</v>
      </c>
      <c r="AR385" s="14" t="s">
        <v>346</v>
      </c>
      <c r="AS385" s="14" t="s">
        <v>347</v>
      </c>
      <c r="AT385" s="14" t="s">
        <v>1485</v>
      </c>
      <c r="AU385" s="14">
        <v>2008.0</v>
      </c>
      <c r="AV385" s="14">
        <v>14.0</v>
      </c>
      <c r="AW385" s="14">
        <v>3.0</v>
      </c>
      <c r="AX385" s="14" t="s">
        <v>99</v>
      </c>
      <c r="AY385" s="14" t="s">
        <v>99</v>
      </c>
      <c r="AZ385" s="14" t="s">
        <v>99</v>
      </c>
      <c r="BA385" s="14" t="s">
        <v>99</v>
      </c>
      <c r="BB385" s="14">
        <v>483.0</v>
      </c>
      <c r="BC385" s="14">
        <v>494.0</v>
      </c>
      <c r="BD385" s="14" t="s">
        <v>99</v>
      </c>
      <c r="BE385" s="14" t="s">
        <v>7708</v>
      </c>
      <c r="BF385" s="15" t="str">
        <f>HYPERLINK("http://dx.doi.org/10.1111/j.1365-2486.2007.01527.x","http://dx.doi.org/10.1111/j.1365-2486.2007.01527.x")</f>
        <v>http://dx.doi.org/10.1111/j.1365-2486.2007.01527.x</v>
      </c>
      <c r="BG385" s="14" t="s">
        <v>99</v>
      </c>
      <c r="BH385" s="14" t="s">
        <v>99</v>
      </c>
      <c r="BI385" s="14">
        <v>12.0</v>
      </c>
      <c r="BJ385" s="14" t="s">
        <v>351</v>
      </c>
      <c r="BK385" s="14" t="s">
        <v>122</v>
      </c>
      <c r="BL385" s="14" t="s">
        <v>352</v>
      </c>
      <c r="BM385" s="14" t="s">
        <v>7709</v>
      </c>
      <c r="BN385" s="14" t="s">
        <v>99</v>
      </c>
      <c r="BO385" s="14" t="s">
        <v>99</v>
      </c>
      <c r="BP385" s="14" t="s">
        <v>99</v>
      </c>
      <c r="BQ385" s="14" t="s">
        <v>99</v>
      </c>
      <c r="BR385" s="14" t="s">
        <v>124</v>
      </c>
      <c r="BS385" s="14" t="s">
        <v>7710</v>
      </c>
      <c r="BT385" s="14" t="str">
        <f>HYPERLINK("https%3A%2F%2Fwww.webofscience.com%2Fwos%2Fwoscc%2Ffull-record%2FWOS:000252929900004","View Full Record in Web of Science")</f>
        <v>View Full Record in Web of Science</v>
      </c>
    </row>
    <row r="386" ht="12.75" customHeight="1">
      <c r="A386" s="14" t="s">
        <v>97</v>
      </c>
      <c r="B386" s="14" t="s">
        <v>7711</v>
      </c>
      <c r="C386" s="14" t="s">
        <v>99</v>
      </c>
      <c r="D386" s="14" t="s">
        <v>99</v>
      </c>
      <c r="E386" s="14" t="s">
        <v>99</v>
      </c>
      <c r="F386" s="14" t="s">
        <v>7712</v>
      </c>
      <c r="G386" s="14" t="s">
        <v>99</v>
      </c>
      <c r="H386" s="14" t="s">
        <v>99</v>
      </c>
      <c r="I386" s="14" t="s">
        <v>7713</v>
      </c>
      <c r="J386" s="14" t="s">
        <v>2566</v>
      </c>
      <c r="K386" s="14" t="s">
        <v>99</v>
      </c>
      <c r="L386" s="14" t="s">
        <v>99</v>
      </c>
      <c r="M386" s="14" t="s">
        <v>103</v>
      </c>
      <c r="N386" s="14" t="s">
        <v>104</v>
      </c>
      <c r="O386" s="14" t="s">
        <v>99</v>
      </c>
      <c r="P386" s="14" t="s">
        <v>99</v>
      </c>
      <c r="Q386" s="14" t="s">
        <v>99</v>
      </c>
      <c r="R386" s="14" t="s">
        <v>99</v>
      </c>
      <c r="S386" s="14" t="s">
        <v>99</v>
      </c>
      <c r="T386" s="14" t="s">
        <v>99</v>
      </c>
      <c r="U386" s="14" t="s">
        <v>7714</v>
      </c>
      <c r="V386" s="14" t="s">
        <v>7715</v>
      </c>
      <c r="W386" s="14" t="s">
        <v>7716</v>
      </c>
      <c r="X386" s="14" t="s">
        <v>7717</v>
      </c>
      <c r="Y386" s="14" t="s">
        <v>7718</v>
      </c>
      <c r="Z386" s="14" t="s">
        <v>7719</v>
      </c>
      <c r="AA386" s="14" t="s">
        <v>7720</v>
      </c>
      <c r="AB386" s="14" t="s">
        <v>7721</v>
      </c>
      <c r="AC386" s="14" t="s">
        <v>99</v>
      </c>
      <c r="AD386" s="14" t="s">
        <v>99</v>
      </c>
      <c r="AE386" s="14" t="s">
        <v>99</v>
      </c>
      <c r="AF386" s="14" t="s">
        <v>99</v>
      </c>
      <c r="AG386" s="14">
        <v>34.0</v>
      </c>
      <c r="AH386" s="14">
        <v>4939.0</v>
      </c>
      <c r="AI386" s="14">
        <v>5702.0</v>
      </c>
      <c r="AJ386" s="14">
        <v>54.0</v>
      </c>
      <c r="AK386" s="14">
        <v>3002.0</v>
      </c>
      <c r="AL386" s="14" t="s">
        <v>1243</v>
      </c>
      <c r="AM386" s="14" t="s">
        <v>789</v>
      </c>
      <c r="AN386" s="14" t="s">
        <v>1244</v>
      </c>
      <c r="AO386" s="14" t="s">
        <v>2578</v>
      </c>
      <c r="AP386" s="14" t="s">
        <v>99</v>
      </c>
      <c r="AQ386" s="14" t="s">
        <v>99</v>
      </c>
      <c r="AR386" s="14" t="s">
        <v>2566</v>
      </c>
      <c r="AS386" s="14" t="s">
        <v>2580</v>
      </c>
      <c r="AT386" s="14" t="s">
        <v>1505</v>
      </c>
      <c r="AU386" s="14">
        <v>2008.0</v>
      </c>
      <c r="AV386" s="14">
        <v>319.0</v>
      </c>
      <c r="AW386" s="14">
        <v>5865.0</v>
      </c>
      <c r="AX386" s="14" t="s">
        <v>99</v>
      </c>
      <c r="AY386" s="14" t="s">
        <v>99</v>
      </c>
      <c r="AZ386" s="14" t="s">
        <v>99</v>
      </c>
      <c r="BA386" s="14" t="s">
        <v>99</v>
      </c>
      <c r="BB386" s="14">
        <v>948.0</v>
      </c>
      <c r="BC386" s="14">
        <v>952.0</v>
      </c>
      <c r="BD386" s="14" t="s">
        <v>99</v>
      </c>
      <c r="BE386" s="14" t="s">
        <v>7722</v>
      </c>
      <c r="BF386" s="15" t="str">
        <f>HYPERLINK("http://dx.doi.org/10.1126/science.1149345","http://dx.doi.org/10.1126/science.1149345")</f>
        <v>http://dx.doi.org/10.1126/science.1149345</v>
      </c>
      <c r="BG386" s="14" t="s">
        <v>99</v>
      </c>
      <c r="BH386" s="14" t="s">
        <v>99</v>
      </c>
      <c r="BI386" s="14">
        <v>5.0</v>
      </c>
      <c r="BJ386" s="14" t="s">
        <v>799</v>
      </c>
      <c r="BK386" s="14" t="s">
        <v>122</v>
      </c>
      <c r="BL386" s="14" t="s">
        <v>801</v>
      </c>
      <c r="BM386" s="14" t="s">
        <v>7723</v>
      </c>
      <c r="BN386" s="14">
        <v>1.8276889E7</v>
      </c>
      <c r="BO386" s="14" t="s">
        <v>99</v>
      </c>
      <c r="BP386" s="14" t="s">
        <v>99</v>
      </c>
      <c r="BQ386" s="14" t="s">
        <v>99</v>
      </c>
      <c r="BR386" s="14" t="s">
        <v>124</v>
      </c>
      <c r="BS386" s="14" t="s">
        <v>7724</v>
      </c>
      <c r="BT386" s="14" t="str">
        <f>HYPERLINK("https%3A%2F%2Fwww.webofscience.com%2Fwos%2Fwoscc%2Ffull-record%2FWOS:000253165700045","View Full Record in Web of Science")</f>
        <v>View Full Record in Web of Science</v>
      </c>
    </row>
    <row r="387" ht="12.75" customHeight="1">
      <c r="A387" s="14" t="s">
        <v>97</v>
      </c>
      <c r="B387" s="14" t="s">
        <v>7725</v>
      </c>
      <c r="C387" s="14" t="s">
        <v>99</v>
      </c>
      <c r="D387" s="14" t="s">
        <v>99</v>
      </c>
      <c r="E387" s="14" t="s">
        <v>99</v>
      </c>
      <c r="F387" s="14" t="s">
        <v>7726</v>
      </c>
      <c r="G387" s="14" t="s">
        <v>99</v>
      </c>
      <c r="H387" s="14" t="s">
        <v>99</v>
      </c>
      <c r="I387" s="14" t="s">
        <v>7727</v>
      </c>
      <c r="J387" s="14" t="s">
        <v>430</v>
      </c>
      <c r="K387" s="14" t="s">
        <v>99</v>
      </c>
      <c r="L387" s="14" t="s">
        <v>99</v>
      </c>
      <c r="M387" s="14" t="s">
        <v>103</v>
      </c>
      <c r="N387" s="14" t="s">
        <v>2284</v>
      </c>
      <c r="O387" s="14" t="s">
        <v>7728</v>
      </c>
      <c r="P387" s="14" t="s">
        <v>7729</v>
      </c>
      <c r="Q387" s="14" t="s">
        <v>7730</v>
      </c>
      <c r="R387" s="14" t="s">
        <v>7731</v>
      </c>
      <c r="S387" s="14" t="s">
        <v>99</v>
      </c>
      <c r="T387" s="14" t="s">
        <v>7732</v>
      </c>
      <c r="U387" s="14" t="s">
        <v>7733</v>
      </c>
      <c r="V387" s="14" t="s">
        <v>7734</v>
      </c>
      <c r="W387" s="14" t="s">
        <v>7735</v>
      </c>
      <c r="X387" s="14" t="s">
        <v>6702</v>
      </c>
      <c r="Y387" s="14" t="s">
        <v>7736</v>
      </c>
      <c r="Z387" s="14" t="s">
        <v>7737</v>
      </c>
      <c r="AA387" s="14" t="s">
        <v>7738</v>
      </c>
      <c r="AB387" s="14" t="s">
        <v>7739</v>
      </c>
      <c r="AC387" s="14" t="s">
        <v>99</v>
      </c>
      <c r="AD387" s="14" t="s">
        <v>99</v>
      </c>
      <c r="AE387" s="14" t="s">
        <v>99</v>
      </c>
      <c r="AF387" s="14" t="s">
        <v>99</v>
      </c>
      <c r="AG387" s="14">
        <v>68.0</v>
      </c>
      <c r="AH387" s="14">
        <v>530.0</v>
      </c>
      <c r="AI387" s="14">
        <v>707.0</v>
      </c>
      <c r="AJ387" s="14">
        <v>1.0</v>
      </c>
      <c r="AK387" s="14">
        <v>226.0</v>
      </c>
      <c r="AL387" s="14" t="s">
        <v>441</v>
      </c>
      <c r="AM387" s="14" t="s">
        <v>442</v>
      </c>
      <c r="AN387" s="14" t="s">
        <v>443</v>
      </c>
      <c r="AO387" s="14" t="s">
        <v>444</v>
      </c>
      <c r="AP387" s="14" t="s">
        <v>445</v>
      </c>
      <c r="AQ387" s="14" t="s">
        <v>99</v>
      </c>
      <c r="AR387" s="14" t="s">
        <v>446</v>
      </c>
      <c r="AS387" s="14" t="s">
        <v>447</v>
      </c>
      <c r="AT387" s="14" t="s">
        <v>3429</v>
      </c>
      <c r="AU387" s="14">
        <v>2008.0</v>
      </c>
      <c r="AV387" s="14">
        <v>254.0</v>
      </c>
      <c r="AW387" s="14">
        <v>3.0</v>
      </c>
      <c r="AX387" s="14" t="s">
        <v>99</v>
      </c>
      <c r="AY387" s="14" t="s">
        <v>99</v>
      </c>
      <c r="AZ387" s="14" t="s">
        <v>99</v>
      </c>
      <c r="BA387" s="14" t="s">
        <v>99</v>
      </c>
      <c r="BB387" s="14">
        <v>390.0</v>
      </c>
      <c r="BC387" s="14">
        <v>406.0</v>
      </c>
      <c r="BD387" s="14" t="s">
        <v>99</v>
      </c>
      <c r="BE387" s="14" t="s">
        <v>7740</v>
      </c>
      <c r="BF387" s="15" t="str">
        <f>HYPERLINK("http://dx.doi.org/10.1016/j.foreco.2007.07.023","http://dx.doi.org/10.1016/j.foreco.2007.07.023")</f>
        <v>http://dx.doi.org/10.1016/j.foreco.2007.07.023</v>
      </c>
      <c r="BG387" s="14" t="s">
        <v>99</v>
      </c>
      <c r="BH387" s="14" t="s">
        <v>99</v>
      </c>
      <c r="BI387" s="14">
        <v>17.0</v>
      </c>
      <c r="BJ387" s="14" t="s">
        <v>281</v>
      </c>
      <c r="BK387" s="14" t="s">
        <v>2311</v>
      </c>
      <c r="BL387" s="14" t="s">
        <v>281</v>
      </c>
      <c r="BM387" s="14" t="s">
        <v>7741</v>
      </c>
      <c r="BN387" s="14" t="s">
        <v>99</v>
      </c>
      <c r="BO387" s="14" t="s">
        <v>99</v>
      </c>
      <c r="BP387" s="14" t="s">
        <v>99</v>
      </c>
      <c r="BQ387" s="14" t="s">
        <v>99</v>
      </c>
      <c r="BR387" s="14" t="s">
        <v>124</v>
      </c>
      <c r="BS387" s="14" t="s">
        <v>7742</v>
      </c>
      <c r="BT387" s="14" t="str">
        <f>HYPERLINK("https%3A%2F%2Fwww.webofscience.com%2Fwos%2Fwoscc%2Ffull-record%2FWOS:000253444600003","View Full Record in Web of Science")</f>
        <v>View Full Record in Web of Science</v>
      </c>
    </row>
    <row r="388" ht="12.75" customHeight="1">
      <c r="A388" s="14" t="s">
        <v>97</v>
      </c>
      <c r="B388" s="14" t="s">
        <v>7743</v>
      </c>
      <c r="C388" s="14" t="s">
        <v>99</v>
      </c>
      <c r="D388" s="14" t="s">
        <v>99</v>
      </c>
      <c r="E388" s="14" t="s">
        <v>99</v>
      </c>
      <c r="F388" s="14" t="s">
        <v>7744</v>
      </c>
      <c r="G388" s="14" t="s">
        <v>99</v>
      </c>
      <c r="H388" s="14" t="s">
        <v>99</v>
      </c>
      <c r="I388" s="14" t="s">
        <v>7745</v>
      </c>
      <c r="J388" s="14" t="s">
        <v>2142</v>
      </c>
      <c r="K388" s="14" t="s">
        <v>99</v>
      </c>
      <c r="L388" s="14" t="s">
        <v>99</v>
      </c>
      <c r="M388" s="14" t="s">
        <v>103</v>
      </c>
      <c r="N388" s="14" t="s">
        <v>104</v>
      </c>
      <c r="O388" s="14" t="s">
        <v>99</v>
      </c>
      <c r="P388" s="14" t="s">
        <v>99</v>
      </c>
      <c r="Q388" s="14" t="s">
        <v>99</v>
      </c>
      <c r="R388" s="14" t="s">
        <v>99</v>
      </c>
      <c r="S388" s="14" t="s">
        <v>99</v>
      </c>
      <c r="T388" s="14" t="s">
        <v>7746</v>
      </c>
      <c r="U388" s="14" t="s">
        <v>7747</v>
      </c>
      <c r="V388" s="14" t="s">
        <v>7748</v>
      </c>
      <c r="W388" s="14" t="s">
        <v>7749</v>
      </c>
      <c r="X388" s="14" t="s">
        <v>7750</v>
      </c>
      <c r="Y388" s="14" t="s">
        <v>7751</v>
      </c>
      <c r="Z388" s="14" t="s">
        <v>7752</v>
      </c>
      <c r="AA388" s="14" t="s">
        <v>7753</v>
      </c>
      <c r="AB388" s="14" t="s">
        <v>7754</v>
      </c>
      <c r="AC388" s="14" t="s">
        <v>99</v>
      </c>
      <c r="AD388" s="14" t="s">
        <v>99</v>
      </c>
      <c r="AE388" s="14" t="s">
        <v>99</v>
      </c>
      <c r="AF388" s="14" t="s">
        <v>99</v>
      </c>
      <c r="AG388" s="14">
        <v>54.0</v>
      </c>
      <c r="AH388" s="14">
        <v>478.0</v>
      </c>
      <c r="AI388" s="14">
        <v>596.0</v>
      </c>
      <c r="AJ388" s="14">
        <v>2.0</v>
      </c>
      <c r="AK388" s="14">
        <v>433.0</v>
      </c>
      <c r="AL388" s="14" t="s">
        <v>1822</v>
      </c>
      <c r="AM388" s="14" t="s">
        <v>342</v>
      </c>
      <c r="AN388" s="14" t="s">
        <v>343</v>
      </c>
      <c r="AO388" s="14" t="s">
        <v>2155</v>
      </c>
      <c r="AP388" s="14" t="s">
        <v>2156</v>
      </c>
      <c r="AQ388" s="14" t="s">
        <v>99</v>
      </c>
      <c r="AR388" s="14" t="s">
        <v>2157</v>
      </c>
      <c r="AS388" s="14" t="s">
        <v>2158</v>
      </c>
      <c r="AT388" s="14" t="s">
        <v>280</v>
      </c>
      <c r="AU388" s="14">
        <v>2008.0</v>
      </c>
      <c r="AV388" s="14">
        <v>22.0</v>
      </c>
      <c r="AW388" s="14">
        <v>1.0</v>
      </c>
      <c r="AX388" s="14" t="s">
        <v>99</v>
      </c>
      <c r="AY388" s="14" t="s">
        <v>99</v>
      </c>
      <c r="AZ388" s="14" t="s">
        <v>99</v>
      </c>
      <c r="BA388" s="14" t="s">
        <v>99</v>
      </c>
      <c r="BB388" s="14">
        <v>140.0</v>
      </c>
      <c r="BC388" s="14">
        <v>150.0</v>
      </c>
      <c r="BD388" s="14" t="s">
        <v>99</v>
      </c>
      <c r="BE388" s="14" t="s">
        <v>7755</v>
      </c>
      <c r="BF388" s="15" t="str">
        <f>HYPERLINK("http://dx.doi.org/10.1111/j.1523-1739.2007.00852.x","http://dx.doi.org/10.1111/j.1523-1739.2007.00852.x")</f>
        <v>http://dx.doi.org/10.1111/j.1523-1739.2007.00852.x</v>
      </c>
      <c r="BG388" s="14" t="s">
        <v>99</v>
      </c>
      <c r="BH388" s="14" t="s">
        <v>99</v>
      </c>
      <c r="BI388" s="14">
        <v>11.0</v>
      </c>
      <c r="BJ388" s="14" t="s">
        <v>351</v>
      </c>
      <c r="BK388" s="14" t="s">
        <v>122</v>
      </c>
      <c r="BL388" s="14" t="s">
        <v>352</v>
      </c>
      <c r="BM388" s="14" t="s">
        <v>7756</v>
      </c>
      <c r="BN388" s="14">
        <v>1.8254859E7</v>
      </c>
      <c r="BO388" s="14" t="s">
        <v>238</v>
      </c>
      <c r="BP388" s="14" t="s">
        <v>99</v>
      </c>
      <c r="BQ388" s="14" t="s">
        <v>99</v>
      </c>
      <c r="BR388" s="14" t="s">
        <v>124</v>
      </c>
      <c r="BS388" s="14" t="s">
        <v>7757</v>
      </c>
      <c r="BT388" s="14" t="str">
        <f>HYPERLINK("https%3A%2F%2Fwww.webofscience.com%2Fwos%2Fwoscc%2Ffull-record%2FWOS:000252895700016","View Full Record in Web of Science")</f>
        <v>View Full Record in Web of Science</v>
      </c>
    </row>
    <row r="389" ht="12.75" customHeight="1">
      <c r="A389" s="14" t="s">
        <v>97</v>
      </c>
      <c r="B389" s="14" t="s">
        <v>7758</v>
      </c>
      <c r="C389" s="14" t="s">
        <v>99</v>
      </c>
      <c r="D389" s="14" t="s">
        <v>99</v>
      </c>
      <c r="E389" s="14" t="s">
        <v>99</v>
      </c>
      <c r="F389" s="14" t="s">
        <v>7759</v>
      </c>
      <c r="G389" s="14" t="s">
        <v>99</v>
      </c>
      <c r="H389" s="14" t="s">
        <v>99</v>
      </c>
      <c r="I389" s="14" t="s">
        <v>7760</v>
      </c>
      <c r="J389" s="14" t="s">
        <v>430</v>
      </c>
      <c r="K389" s="14" t="s">
        <v>99</v>
      </c>
      <c r="L389" s="14" t="s">
        <v>99</v>
      </c>
      <c r="M389" s="14" t="s">
        <v>103</v>
      </c>
      <c r="N389" s="14" t="s">
        <v>104</v>
      </c>
      <c r="O389" s="14" t="s">
        <v>99</v>
      </c>
      <c r="P389" s="14" t="s">
        <v>99</v>
      </c>
      <c r="Q389" s="14" t="s">
        <v>99</v>
      </c>
      <c r="R389" s="14" t="s">
        <v>99</v>
      </c>
      <c r="S389" s="14" t="s">
        <v>99</v>
      </c>
      <c r="T389" s="14" t="s">
        <v>7761</v>
      </c>
      <c r="U389" s="14" t="s">
        <v>7762</v>
      </c>
      <c r="V389" s="14" t="s">
        <v>7763</v>
      </c>
      <c r="W389" s="14" t="s">
        <v>7764</v>
      </c>
      <c r="X389" s="14" t="s">
        <v>7765</v>
      </c>
      <c r="Y389" s="14" t="s">
        <v>7766</v>
      </c>
      <c r="Z389" s="14" t="s">
        <v>7767</v>
      </c>
      <c r="AA389" s="14" t="s">
        <v>99</v>
      </c>
      <c r="AB389" s="14" t="s">
        <v>99</v>
      </c>
      <c r="AC389" s="14" t="s">
        <v>99</v>
      </c>
      <c r="AD389" s="14" t="s">
        <v>99</v>
      </c>
      <c r="AE389" s="14" t="s">
        <v>99</v>
      </c>
      <c r="AF389" s="14" t="s">
        <v>99</v>
      </c>
      <c r="AG389" s="14">
        <v>84.0</v>
      </c>
      <c r="AH389" s="14">
        <v>43.0</v>
      </c>
      <c r="AI389" s="14">
        <v>59.0</v>
      </c>
      <c r="AJ389" s="14">
        <v>0.0</v>
      </c>
      <c r="AK389" s="14">
        <v>68.0</v>
      </c>
      <c r="AL389" s="14" t="s">
        <v>441</v>
      </c>
      <c r="AM389" s="14" t="s">
        <v>442</v>
      </c>
      <c r="AN389" s="14" t="s">
        <v>443</v>
      </c>
      <c r="AO389" s="14" t="s">
        <v>444</v>
      </c>
      <c r="AP389" s="14" t="s">
        <v>445</v>
      </c>
      <c r="AQ389" s="14" t="s">
        <v>99</v>
      </c>
      <c r="AR389" s="14" t="s">
        <v>446</v>
      </c>
      <c r="AS389" s="14" t="s">
        <v>447</v>
      </c>
      <c r="AT389" s="14" t="s">
        <v>7768</v>
      </c>
      <c r="AU389" s="14">
        <v>2008.0</v>
      </c>
      <c r="AV389" s="14">
        <v>254.0</v>
      </c>
      <c r="AW389" s="14">
        <v>2.0</v>
      </c>
      <c r="AX389" s="14" t="s">
        <v>99</v>
      </c>
      <c r="AY389" s="14" t="s">
        <v>99</v>
      </c>
      <c r="AZ389" s="14" t="s">
        <v>99</v>
      </c>
      <c r="BA389" s="14" t="s">
        <v>99</v>
      </c>
      <c r="BB389" s="14">
        <v>239.0</v>
      </c>
      <c r="BC389" s="14">
        <v>254.0</v>
      </c>
      <c r="BD389" s="14" t="s">
        <v>99</v>
      </c>
      <c r="BE389" s="14" t="s">
        <v>7769</v>
      </c>
      <c r="BF389" s="15" t="str">
        <f>HYPERLINK("http://dx.doi.org/10.1016/j.foreco.2007.08.005","http://dx.doi.org/10.1016/j.foreco.2007.08.005")</f>
        <v>http://dx.doi.org/10.1016/j.foreco.2007.08.005</v>
      </c>
      <c r="BG389" s="14" t="s">
        <v>99</v>
      </c>
      <c r="BH389" s="14" t="s">
        <v>99</v>
      </c>
      <c r="BI389" s="14">
        <v>16.0</v>
      </c>
      <c r="BJ389" s="14" t="s">
        <v>281</v>
      </c>
      <c r="BK389" s="14" t="s">
        <v>122</v>
      </c>
      <c r="BL389" s="14" t="s">
        <v>281</v>
      </c>
      <c r="BM389" s="14" t="s">
        <v>7770</v>
      </c>
      <c r="BN389" s="14" t="s">
        <v>99</v>
      </c>
      <c r="BO389" s="14" t="s">
        <v>99</v>
      </c>
      <c r="BP389" s="14" t="s">
        <v>99</v>
      </c>
      <c r="BQ389" s="14" t="s">
        <v>99</v>
      </c>
      <c r="BR389" s="14" t="s">
        <v>124</v>
      </c>
      <c r="BS389" s="14" t="s">
        <v>7771</v>
      </c>
      <c r="BT389" s="14" t="str">
        <f>HYPERLINK("https%3A%2F%2Fwww.webofscience.com%2Fwos%2Fwoscc%2Ffull-record%2FWOS:000252763100014","View Full Record in Web of Science")</f>
        <v>View Full Record in Web of Science</v>
      </c>
    </row>
    <row r="390" ht="12.75" customHeight="1">
      <c r="A390" s="14" t="s">
        <v>97</v>
      </c>
      <c r="B390" s="14" t="s">
        <v>7772</v>
      </c>
      <c r="C390" s="14" t="s">
        <v>99</v>
      </c>
      <c r="D390" s="14" t="s">
        <v>99</v>
      </c>
      <c r="E390" s="14" t="s">
        <v>99</v>
      </c>
      <c r="F390" s="14" t="s">
        <v>7773</v>
      </c>
      <c r="G390" s="14" t="s">
        <v>99</v>
      </c>
      <c r="H390" s="14" t="s">
        <v>99</v>
      </c>
      <c r="I390" s="14" t="s">
        <v>7774</v>
      </c>
      <c r="J390" s="14" t="s">
        <v>2500</v>
      </c>
      <c r="K390" s="14" t="s">
        <v>99</v>
      </c>
      <c r="L390" s="14" t="s">
        <v>99</v>
      </c>
      <c r="M390" s="14" t="s">
        <v>103</v>
      </c>
      <c r="N390" s="14" t="s">
        <v>104</v>
      </c>
      <c r="O390" s="14" t="s">
        <v>99</v>
      </c>
      <c r="P390" s="14" t="s">
        <v>99</v>
      </c>
      <c r="Q390" s="14" t="s">
        <v>99</v>
      </c>
      <c r="R390" s="14" t="s">
        <v>99</v>
      </c>
      <c r="S390" s="14" t="s">
        <v>99</v>
      </c>
      <c r="T390" s="14" t="s">
        <v>99</v>
      </c>
      <c r="U390" s="14" t="s">
        <v>99</v>
      </c>
      <c r="V390" s="14" t="s">
        <v>7775</v>
      </c>
      <c r="W390" s="14" t="s">
        <v>7776</v>
      </c>
      <c r="X390" s="14" t="s">
        <v>7777</v>
      </c>
      <c r="Y390" s="14" t="s">
        <v>7778</v>
      </c>
      <c r="Z390" s="14" t="s">
        <v>7779</v>
      </c>
      <c r="AA390" s="14" t="s">
        <v>7780</v>
      </c>
      <c r="AB390" s="14" t="s">
        <v>7781</v>
      </c>
      <c r="AC390" s="14" t="s">
        <v>7782</v>
      </c>
      <c r="AD390" s="14" t="s">
        <v>7783</v>
      </c>
      <c r="AE390" s="14" t="s">
        <v>7784</v>
      </c>
      <c r="AF390" s="14" t="s">
        <v>99</v>
      </c>
      <c r="AG390" s="14">
        <v>47.0</v>
      </c>
      <c r="AH390" s="14">
        <v>220.0</v>
      </c>
      <c r="AI390" s="14">
        <v>245.0</v>
      </c>
      <c r="AJ390" s="14">
        <v>0.0</v>
      </c>
      <c r="AK390" s="14">
        <v>96.0</v>
      </c>
      <c r="AL390" s="14" t="s">
        <v>2512</v>
      </c>
      <c r="AM390" s="14" t="s">
        <v>2513</v>
      </c>
      <c r="AN390" s="14" t="s">
        <v>2514</v>
      </c>
      <c r="AO390" s="14" t="s">
        <v>2515</v>
      </c>
      <c r="AP390" s="14" t="s">
        <v>99</v>
      </c>
      <c r="AQ390" s="14" t="s">
        <v>99</v>
      </c>
      <c r="AR390" s="14" t="s">
        <v>2500</v>
      </c>
      <c r="AS390" s="14" t="s">
        <v>2516</v>
      </c>
      <c r="AT390" s="14" t="s">
        <v>7785</v>
      </c>
      <c r="AU390" s="14">
        <v>2008.0</v>
      </c>
      <c r="AV390" s="14">
        <v>3.0</v>
      </c>
      <c r="AW390" s="14">
        <v>1.0</v>
      </c>
      <c r="AX390" s="14" t="s">
        <v>99</v>
      </c>
      <c r="AY390" s="14" t="s">
        <v>99</v>
      </c>
      <c r="AZ390" s="14" t="s">
        <v>99</v>
      </c>
      <c r="BA390" s="14" t="s">
        <v>99</v>
      </c>
      <c r="BB390" s="14" t="s">
        <v>99</v>
      </c>
      <c r="BC390" s="14" t="s">
        <v>99</v>
      </c>
      <c r="BD390" s="14" t="s">
        <v>7786</v>
      </c>
      <c r="BE390" s="14" t="s">
        <v>7787</v>
      </c>
      <c r="BF390" s="15" t="str">
        <f>HYPERLINK("http://dx.doi.org/10.1371/journal.pone.0001439","http://dx.doi.org/10.1371/journal.pone.0001439")</f>
        <v>http://dx.doi.org/10.1371/journal.pone.0001439</v>
      </c>
      <c r="BG390" s="14" t="s">
        <v>99</v>
      </c>
      <c r="BH390" s="14" t="s">
        <v>99</v>
      </c>
      <c r="BI390" s="14">
        <v>11.0</v>
      </c>
      <c r="BJ390" s="14" t="s">
        <v>799</v>
      </c>
      <c r="BK390" s="14" t="s">
        <v>122</v>
      </c>
      <c r="BL390" s="14" t="s">
        <v>801</v>
      </c>
      <c r="BM390" s="14" t="s">
        <v>7788</v>
      </c>
      <c r="BN390" s="14">
        <v>1.819725E7</v>
      </c>
      <c r="BO390" s="14" t="s">
        <v>1508</v>
      </c>
      <c r="BP390" s="14" t="s">
        <v>99</v>
      </c>
      <c r="BQ390" s="14" t="s">
        <v>99</v>
      </c>
      <c r="BR390" s="14" t="s">
        <v>124</v>
      </c>
      <c r="BS390" s="14" t="s">
        <v>7789</v>
      </c>
      <c r="BT390" s="14" t="str">
        <f>HYPERLINK("https%3A%2F%2Fwww.webofscience.com%2Fwos%2Fwoscc%2Ffull-record%2FWOS:000260503800011","View Full Record in Web of Science")</f>
        <v>View Full Record in Web of Science</v>
      </c>
    </row>
    <row r="391" ht="12.75" customHeight="1">
      <c r="A391" s="14" t="s">
        <v>97</v>
      </c>
      <c r="B391" s="14" t="s">
        <v>7790</v>
      </c>
      <c r="C391" s="14" t="s">
        <v>99</v>
      </c>
      <c r="D391" s="14" t="s">
        <v>99</v>
      </c>
      <c r="E391" s="14" t="s">
        <v>99</v>
      </c>
      <c r="F391" s="14" t="s">
        <v>7791</v>
      </c>
      <c r="G391" s="14" t="s">
        <v>99</v>
      </c>
      <c r="H391" s="14" t="s">
        <v>99</v>
      </c>
      <c r="I391" s="14" t="s">
        <v>7792</v>
      </c>
      <c r="J391" s="14" t="s">
        <v>7793</v>
      </c>
      <c r="K391" s="14" t="s">
        <v>99</v>
      </c>
      <c r="L391" s="14" t="s">
        <v>99</v>
      </c>
      <c r="M391" s="14" t="s">
        <v>103</v>
      </c>
      <c r="N391" s="14" t="s">
        <v>104</v>
      </c>
      <c r="O391" s="14" t="s">
        <v>99</v>
      </c>
      <c r="P391" s="14" t="s">
        <v>99</v>
      </c>
      <c r="Q391" s="14" t="s">
        <v>99</v>
      </c>
      <c r="R391" s="14" t="s">
        <v>99</v>
      </c>
      <c r="S391" s="14" t="s">
        <v>99</v>
      </c>
      <c r="T391" s="14" t="s">
        <v>7794</v>
      </c>
      <c r="U391" s="14" t="s">
        <v>7795</v>
      </c>
      <c r="V391" s="14" t="s">
        <v>7796</v>
      </c>
      <c r="W391" s="14" t="s">
        <v>7797</v>
      </c>
      <c r="X391" s="14" t="s">
        <v>7798</v>
      </c>
      <c r="Y391" s="14" t="s">
        <v>7799</v>
      </c>
      <c r="Z391" s="14" t="s">
        <v>7800</v>
      </c>
      <c r="AA391" s="14" t="s">
        <v>7801</v>
      </c>
      <c r="AB391" s="14" t="s">
        <v>7802</v>
      </c>
      <c r="AC391" s="14" t="s">
        <v>99</v>
      </c>
      <c r="AD391" s="14" t="s">
        <v>99</v>
      </c>
      <c r="AE391" s="14" t="s">
        <v>99</v>
      </c>
      <c r="AF391" s="14" t="s">
        <v>99</v>
      </c>
      <c r="AG391" s="14">
        <v>94.0</v>
      </c>
      <c r="AH391" s="14">
        <v>229.0</v>
      </c>
      <c r="AI391" s="14">
        <v>266.0</v>
      </c>
      <c r="AJ391" s="14">
        <v>1.0</v>
      </c>
      <c r="AK391" s="14">
        <v>120.0</v>
      </c>
      <c r="AL391" s="14" t="s">
        <v>7208</v>
      </c>
      <c r="AM391" s="14" t="s">
        <v>7209</v>
      </c>
      <c r="AN391" s="14" t="s">
        <v>7210</v>
      </c>
      <c r="AO391" s="14" t="s">
        <v>7803</v>
      </c>
      <c r="AP391" s="14" t="s">
        <v>7804</v>
      </c>
      <c r="AQ391" s="14" t="s">
        <v>99</v>
      </c>
      <c r="AR391" s="14" t="s">
        <v>7805</v>
      </c>
      <c r="AS391" s="14" t="s">
        <v>7806</v>
      </c>
      <c r="AT391" s="14" t="s">
        <v>935</v>
      </c>
      <c r="AU391" s="14">
        <v>2008.0</v>
      </c>
      <c r="AV391" s="14">
        <v>171.0</v>
      </c>
      <c r="AW391" s="14">
        <v>1.0</v>
      </c>
      <c r="AX391" s="14" t="s">
        <v>99</v>
      </c>
      <c r="AY391" s="14" t="s">
        <v>99</v>
      </c>
      <c r="AZ391" s="14" t="s">
        <v>99</v>
      </c>
      <c r="BA391" s="14" t="s">
        <v>99</v>
      </c>
      <c r="BB391" s="14" t="s">
        <v>7807</v>
      </c>
      <c r="BC391" s="14" t="s">
        <v>7808</v>
      </c>
      <c r="BD391" s="14" t="s">
        <v>99</v>
      </c>
      <c r="BE391" s="14" t="s">
        <v>7809</v>
      </c>
      <c r="BF391" s="15" t="str">
        <f>HYPERLINK("http://dx.doi.org/10.1086/523949","http://dx.doi.org/10.1086/523949")</f>
        <v>http://dx.doi.org/10.1086/523949</v>
      </c>
      <c r="BG391" s="14" t="s">
        <v>99</v>
      </c>
      <c r="BH391" s="14" t="s">
        <v>99</v>
      </c>
      <c r="BI391" s="14">
        <v>19.0</v>
      </c>
      <c r="BJ391" s="14" t="s">
        <v>1224</v>
      </c>
      <c r="BK391" s="14" t="s">
        <v>122</v>
      </c>
      <c r="BL391" s="14" t="s">
        <v>1225</v>
      </c>
      <c r="BM391" s="14" t="s">
        <v>7810</v>
      </c>
      <c r="BN391" s="14">
        <v>1.817114E7</v>
      </c>
      <c r="BO391" s="14" t="s">
        <v>99</v>
      </c>
      <c r="BP391" s="14" t="s">
        <v>99</v>
      </c>
      <c r="BQ391" s="14" t="s">
        <v>99</v>
      </c>
      <c r="BR391" s="14" t="s">
        <v>124</v>
      </c>
      <c r="BS391" s="14" t="s">
        <v>7811</v>
      </c>
      <c r="BT391" s="14" t="str">
        <f>HYPERLINK("https%3A%2F%2Fwww.webofscience.com%2Fwos%2Fwoscc%2Ffull-record%2FWOS:000252191700017","View Full Record in Web of Science")</f>
        <v>View Full Record in Web of Science</v>
      </c>
    </row>
    <row r="392" ht="12.75" customHeight="1">
      <c r="A392" s="14" t="s">
        <v>959</v>
      </c>
      <c r="B392" s="14" t="s">
        <v>7812</v>
      </c>
      <c r="C392" s="14" t="s">
        <v>99</v>
      </c>
      <c r="D392" s="14" t="s">
        <v>7813</v>
      </c>
      <c r="E392" s="14" t="s">
        <v>99</v>
      </c>
      <c r="F392" s="14" t="s">
        <v>7814</v>
      </c>
      <c r="G392" s="14" t="s">
        <v>99</v>
      </c>
      <c r="H392" s="14" t="s">
        <v>99</v>
      </c>
      <c r="I392" s="14" t="s">
        <v>7815</v>
      </c>
      <c r="J392" s="14" t="s">
        <v>7816</v>
      </c>
      <c r="K392" s="14" t="s">
        <v>7817</v>
      </c>
      <c r="L392" s="14" t="s">
        <v>99</v>
      </c>
      <c r="M392" s="14" t="s">
        <v>103</v>
      </c>
      <c r="N392" s="14" t="s">
        <v>291</v>
      </c>
      <c r="O392" s="14" t="s">
        <v>99</v>
      </c>
      <c r="P392" s="14" t="s">
        <v>99</v>
      </c>
      <c r="Q392" s="14" t="s">
        <v>99</v>
      </c>
      <c r="R392" s="14" t="s">
        <v>99</v>
      </c>
      <c r="S392" s="14" t="s">
        <v>99</v>
      </c>
      <c r="T392" s="14" t="s">
        <v>99</v>
      </c>
      <c r="U392" s="14" t="s">
        <v>7818</v>
      </c>
      <c r="V392" s="14" t="s">
        <v>7819</v>
      </c>
      <c r="W392" s="14" t="s">
        <v>7820</v>
      </c>
      <c r="X392" s="14" t="s">
        <v>7821</v>
      </c>
      <c r="Y392" s="14" t="s">
        <v>7822</v>
      </c>
      <c r="Z392" s="14" t="s">
        <v>99</v>
      </c>
      <c r="AA392" s="14" t="s">
        <v>7823</v>
      </c>
      <c r="AB392" s="14" t="s">
        <v>7824</v>
      </c>
      <c r="AC392" s="14" t="s">
        <v>99</v>
      </c>
      <c r="AD392" s="14" t="s">
        <v>99</v>
      </c>
      <c r="AE392" s="14" t="s">
        <v>99</v>
      </c>
      <c r="AF392" s="14" t="s">
        <v>99</v>
      </c>
      <c r="AG392" s="14">
        <v>169.0</v>
      </c>
      <c r="AH392" s="14">
        <v>165.0</v>
      </c>
      <c r="AI392" s="14">
        <v>207.0</v>
      </c>
      <c r="AJ392" s="14">
        <v>2.0</v>
      </c>
      <c r="AK392" s="14">
        <v>21.0</v>
      </c>
      <c r="AL392" s="14" t="s">
        <v>7825</v>
      </c>
      <c r="AM392" s="14" t="s">
        <v>2235</v>
      </c>
      <c r="AN392" s="14" t="s">
        <v>7826</v>
      </c>
      <c r="AO392" s="14" t="s">
        <v>7827</v>
      </c>
      <c r="AP392" s="14" t="s">
        <v>99</v>
      </c>
      <c r="AQ392" s="14" t="s">
        <v>7828</v>
      </c>
      <c r="AR392" s="14" t="s">
        <v>7829</v>
      </c>
      <c r="AS392" s="14" t="s">
        <v>7830</v>
      </c>
      <c r="AT392" s="14" t="s">
        <v>99</v>
      </c>
      <c r="AU392" s="14">
        <v>2008.0</v>
      </c>
      <c r="AV392" s="14" t="s">
        <v>99</v>
      </c>
      <c r="AW392" s="14" t="s">
        <v>99</v>
      </c>
      <c r="AX392" s="14" t="s">
        <v>99</v>
      </c>
      <c r="AY392" s="14" t="s">
        <v>99</v>
      </c>
      <c r="AZ392" s="14" t="s">
        <v>99</v>
      </c>
      <c r="BA392" s="14" t="s">
        <v>99</v>
      </c>
      <c r="BB392" s="14">
        <v>107.0</v>
      </c>
      <c r="BC392" s="14">
        <v>146.0</v>
      </c>
      <c r="BD392" s="14" t="s">
        <v>99</v>
      </c>
      <c r="BE392" s="14" t="s">
        <v>7831</v>
      </c>
      <c r="BF392" s="15" t="str">
        <f>HYPERLINK("http://dx.doi.org/10.1016/B978-012088449-0.50007-8","http://dx.doi.org/10.1016/B978-012088449-0.50007-8")</f>
        <v>http://dx.doi.org/10.1016/B978-012088449-0.50007-8</v>
      </c>
      <c r="BG392" s="14" t="s">
        <v>99</v>
      </c>
      <c r="BH392" s="14" t="s">
        <v>99</v>
      </c>
      <c r="BI392" s="14">
        <v>40.0</v>
      </c>
      <c r="BJ392" s="14" t="s">
        <v>1274</v>
      </c>
      <c r="BK392" s="14" t="s">
        <v>302</v>
      </c>
      <c r="BL392" s="14" t="s">
        <v>397</v>
      </c>
      <c r="BM392" s="14" t="s">
        <v>7832</v>
      </c>
      <c r="BN392" s="14" t="s">
        <v>99</v>
      </c>
      <c r="BO392" s="14" t="s">
        <v>99</v>
      </c>
      <c r="BP392" s="14" t="s">
        <v>99</v>
      </c>
      <c r="BQ392" s="14" t="s">
        <v>99</v>
      </c>
      <c r="BR392" s="14" t="s">
        <v>124</v>
      </c>
      <c r="BS392" s="14" t="s">
        <v>7833</v>
      </c>
      <c r="BT392" s="14" t="str">
        <f>HYPERLINK("https%3A%2F%2Fwww.webofscience.com%2Fwos%2Fwoscc%2Ffull-record%2FWOS:000318618900006","View Full Record in Web of Science")</f>
        <v>View Full Record in Web of Science</v>
      </c>
    </row>
    <row r="393" ht="12.75" customHeight="1">
      <c r="A393" s="14" t="s">
        <v>97</v>
      </c>
      <c r="B393" s="14" t="s">
        <v>7834</v>
      </c>
      <c r="C393" s="14" t="s">
        <v>99</v>
      </c>
      <c r="D393" s="14" t="s">
        <v>99</v>
      </c>
      <c r="E393" s="14" t="s">
        <v>99</v>
      </c>
      <c r="F393" s="14" t="s">
        <v>7835</v>
      </c>
      <c r="G393" s="14" t="s">
        <v>99</v>
      </c>
      <c r="H393" s="14" t="s">
        <v>99</v>
      </c>
      <c r="I393" s="14" t="s">
        <v>7836</v>
      </c>
      <c r="J393" s="14" t="s">
        <v>2142</v>
      </c>
      <c r="K393" s="14" t="s">
        <v>99</v>
      </c>
      <c r="L393" s="14" t="s">
        <v>99</v>
      </c>
      <c r="M393" s="14" t="s">
        <v>103</v>
      </c>
      <c r="N393" s="14" t="s">
        <v>104</v>
      </c>
      <c r="O393" s="14" t="s">
        <v>99</v>
      </c>
      <c r="P393" s="14" t="s">
        <v>99</v>
      </c>
      <c r="Q393" s="14" t="s">
        <v>99</v>
      </c>
      <c r="R393" s="14" t="s">
        <v>99</v>
      </c>
      <c r="S393" s="14" t="s">
        <v>99</v>
      </c>
      <c r="T393" s="14" t="s">
        <v>7837</v>
      </c>
      <c r="U393" s="14" t="s">
        <v>7838</v>
      </c>
      <c r="V393" s="14" t="s">
        <v>7839</v>
      </c>
      <c r="W393" s="14" t="s">
        <v>7840</v>
      </c>
      <c r="X393" s="14" t="s">
        <v>7841</v>
      </c>
      <c r="Y393" s="14" t="s">
        <v>7842</v>
      </c>
      <c r="Z393" s="14" t="s">
        <v>7843</v>
      </c>
      <c r="AA393" s="14" t="s">
        <v>7844</v>
      </c>
      <c r="AB393" s="14" t="s">
        <v>99</v>
      </c>
      <c r="AC393" s="14" t="s">
        <v>99</v>
      </c>
      <c r="AD393" s="14" t="s">
        <v>99</v>
      </c>
      <c r="AE393" s="14" t="s">
        <v>99</v>
      </c>
      <c r="AF393" s="14" t="s">
        <v>99</v>
      </c>
      <c r="AG393" s="14">
        <v>51.0</v>
      </c>
      <c r="AH393" s="14">
        <v>115.0</v>
      </c>
      <c r="AI393" s="14">
        <v>142.0</v>
      </c>
      <c r="AJ393" s="14">
        <v>1.0</v>
      </c>
      <c r="AK393" s="14">
        <v>48.0</v>
      </c>
      <c r="AL393" s="14" t="s">
        <v>341</v>
      </c>
      <c r="AM393" s="14" t="s">
        <v>342</v>
      </c>
      <c r="AN393" s="14" t="s">
        <v>343</v>
      </c>
      <c r="AO393" s="14" t="s">
        <v>2155</v>
      </c>
      <c r="AP393" s="14" t="s">
        <v>2156</v>
      </c>
      <c r="AQ393" s="14" t="s">
        <v>99</v>
      </c>
      <c r="AR393" s="14" t="s">
        <v>2157</v>
      </c>
      <c r="AS393" s="14" t="s">
        <v>2158</v>
      </c>
      <c r="AT393" s="14" t="s">
        <v>1058</v>
      </c>
      <c r="AU393" s="14">
        <v>2007.0</v>
      </c>
      <c r="AV393" s="14">
        <v>21.0</v>
      </c>
      <c r="AW393" s="14">
        <v>6.0</v>
      </c>
      <c r="AX393" s="14" t="s">
        <v>99</v>
      </c>
      <c r="AY393" s="14" t="s">
        <v>99</v>
      </c>
      <c r="AZ393" s="14" t="s">
        <v>99</v>
      </c>
      <c r="BA393" s="14" t="s">
        <v>99</v>
      </c>
      <c r="BB393" s="14">
        <v>1545.0</v>
      </c>
      <c r="BC393" s="14">
        <v>1555.0</v>
      </c>
      <c r="BD393" s="14" t="s">
        <v>99</v>
      </c>
      <c r="BE393" s="14" t="s">
        <v>7845</v>
      </c>
      <c r="BF393" s="15" t="str">
        <f>HYPERLINK("http://dx.doi.org/10.1111/j.1523-1739.2007.00814.x","http://dx.doi.org/10.1111/j.1523-1739.2007.00814.x")</f>
        <v>http://dx.doi.org/10.1111/j.1523-1739.2007.00814.x</v>
      </c>
      <c r="BG393" s="14" t="s">
        <v>99</v>
      </c>
      <c r="BH393" s="14" t="s">
        <v>99</v>
      </c>
      <c r="BI393" s="14">
        <v>11.0</v>
      </c>
      <c r="BJ393" s="14" t="s">
        <v>351</v>
      </c>
      <c r="BK393" s="14" t="s">
        <v>122</v>
      </c>
      <c r="BL393" s="14" t="s">
        <v>352</v>
      </c>
      <c r="BM393" s="14" t="s">
        <v>7846</v>
      </c>
      <c r="BN393" s="14">
        <v>1.8173478E7</v>
      </c>
      <c r="BO393" s="14" t="s">
        <v>99</v>
      </c>
      <c r="BP393" s="14" t="s">
        <v>99</v>
      </c>
      <c r="BQ393" s="14" t="s">
        <v>99</v>
      </c>
      <c r="BR393" s="14" t="s">
        <v>124</v>
      </c>
      <c r="BS393" s="14" t="s">
        <v>7847</v>
      </c>
      <c r="BT393" s="14" t="str">
        <f>HYPERLINK("https%3A%2F%2Fwww.webofscience.com%2Fwos%2Fwoscc%2Ffull-record%2FWOS:000251764200024","View Full Record in Web of Science")</f>
        <v>View Full Record in Web of Science</v>
      </c>
    </row>
    <row r="394" ht="12.75" customHeight="1">
      <c r="A394" s="14" t="s">
        <v>97</v>
      </c>
      <c r="B394" s="14" t="s">
        <v>7848</v>
      </c>
      <c r="C394" s="14" t="s">
        <v>99</v>
      </c>
      <c r="D394" s="14" t="s">
        <v>99</v>
      </c>
      <c r="E394" s="14" t="s">
        <v>99</v>
      </c>
      <c r="F394" s="14" t="s">
        <v>7849</v>
      </c>
      <c r="G394" s="14" t="s">
        <v>99</v>
      </c>
      <c r="H394" s="14" t="s">
        <v>99</v>
      </c>
      <c r="I394" s="14" t="s">
        <v>7850</v>
      </c>
      <c r="J394" s="14" t="s">
        <v>1721</v>
      </c>
      <c r="K394" s="14" t="s">
        <v>99</v>
      </c>
      <c r="L394" s="14" t="s">
        <v>99</v>
      </c>
      <c r="M394" s="14" t="s">
        <v>103</v>
      </c>
      <c r="N394" s="14" t="s">
        <v>104</v>
      </c>
      <c r="O394" s="14" t="s">
        <v>99</v>
      </c>
      <c r="P394" s="14" t="s">
        <v>99</v>
      </c>
      <c r="Q394" s="14" t="s">
        <v>99</v>
      </c>
      <c r="R394" s="14" t="s">
        <v>99</v>
      </c>
      <c r="S394" s="14" t="s">
        <v>99</v>
      </c>
      <c r="T394" s="14" t="s">
        <v>7851</v>
      </c>
      <c r="U394" s="14" t="s">
        <v>7852</v>
      </c>
      <c r="V394" s="14" t="s">
        <v>7853</v>
      </c>
      <c r="W394" s="14" t="s">
        <v>7854</v>
      </c>
      <c r="X394" s="14" t="s">
        <v>7855</v>
      </c>
      <c r="Y394" s="14" t="s">
        <v>7856</v>
      </c>
      <c r="Z394" s="14" t="s">
        <v>7857</v>
      </c>
      <c r="AA394" s="14" t="s">
        <v>7858</v>
      </c>
      <c r="AB394" s="14" t="s">
        <v>7859</v>
      </c>
      <c r="AC394" s="14" t="s">
        <v>99</v>
      </c>
      <c r="AD394" s="14" t="s">
        <v>99</v>
      </c>
      <c r="AE394" s="14" t="s">
        <v>99</v>
      </c>
      <c r="AF394" s="14" t="s">
        <v>99</v>
      </c>
      <c r="AG394" s="14">
        <v>56.0</v>
      </c>
      <c r="AH394" s="14">
        <v>156.0</v>
      </c>
      <c r="AI394" s="14">
        <v>175.0</v>
      </c>
      <c r="AJ394" s="14">
        <v>3.0</v>
      </c>
      <c r="AK394" s="14">
        <v>125.0</v>
      </c>
      <c r="AL394" s="14" t="s">
        <v>1731</v>
      </c>
      <c r="AM394" s="14" t="s">
        <v>1732</v>
      </c>
      <c r="AN394" s="14" t="s">
        <v>1733</v>
      </c>
      <c r="AO394" s="14" t="s">
        <v>1734</v>
      </c>
      <c r="AP394" s="14" t="s">
        <v>99</v>
      </c>
      <c r="AQ394" s="14" t="s">
        <v>99</v>
      </c>
      <c r="AR394" s="14" t="s">
        <v>1736</v>
      </c>
      <c r="AS394" s="14" t="s">
        <v>1737</v>
      </c>
      <c r="AT394" s="14" t="s">
        <v>1058</v>
      </c>
      <c r="AU394" s="14">
        <v>2007.0</v>
      </c>
      <c r="AV394" s="14">
        <v>16.0</v>
      </c>
      <c r="AW394" s="14">
        <v>13.0</v>
      </c>
      <c r="AX394" s="14" t="s">
        <v>99</v>
      </c>
      <c r="AY394" s="14" t="s">
        <v>99</v>
      </c>
      <c r="AZ394" s="14" t="s">
        <v>99</v>
      </c>
      <c r="BA394" s="14" t="s">
        <v>99</v>
      </c>
      <c r="BB394" s="14">
        <v>3803.0</v>
      </c>
      <c r="BC394" s="14">
        <v>3816.0</v>
      </c>
      <c r="BD394" s="14" t="s">
        <v>99</v>
      </c>
      <c r="BE394" s="14" t="s">
        <v>7860</v>
      </c>
      <c r="BF394" s="15" t="str">
        <f>HYPERLINK("http://dx.doi.org/10.1007/s10531-007-9181-7","http://dx.doi.org/10.1007/s10531-007-9181-7")</f>
        <v>http://dx.doi.org/10.1007/s10531-007-9181-7</v>
      </c>
      <c r="BG394" s="14" t="s">
        <v>99</v>
      </c>
      <c r="BH394" s="14" t="s">
        <v>99</v>
      </c>
      <c r="BI394" s="14">
        <v>14.0</v>
      </c>
      <c r="BJ394" s="14" t="s">
        <v>351</v>
      </c>
      <c r="BK394" s="14" t="s">
        <v>122</v>
      </c>
      <c r="BL394" s="14" t="s">
        <v>352</v>
      </c>
      <c r="BM394" s="14" t="s">
        <v>7861</v>
      </c>
      <c r="BN394" s="14" t="s">
        <v>99</v>
      </c>
      <c r="BO394" s="14" t="s">
        <v>99</v>
      </c>
      <c r="BP394" s="14" t="s">
        <v>99</v>
      </c>
      <c r="BQ394" s="14" t="s">
        <v>99</v>
      </c>
      <c r="BR394" s="14" t="s">
        <v>124</v>
      </c>
      <c r="BS394" s="14" t="s">
        <v>7862</v>
      </c>
      <c r="BT394" s="14" t="str">
        <f>HYPERLINK("https%3A%2F%2Fwww.webofscience.com%2Fwos%2Fwoscc%2Ffull-record%2FWOS:000250301400007","View Full Record in Web of Science")</f>
        <v>View Full Record in Web of Science</v>
      </c>
    </row>
    <row r="395" ht="12.75" customHeight="1">
      <c r="A395" s="14" t="s">
        <v>97</v>
      </c>
      <c r="B395" s="14" t="s">
        <v>7863</v>
      </c>
      <c r="C395" s="14" t="s">
        <v>99</v>
      </c>
      <c r="D395" s="14" t="s">
        <v>99</v>
      </c>
      <c r="E395" s="14" t="s">
        <v>99</v>
      </c>
      <c r="F395" s="14" t="s">
        <v>7864</v>
      </c>
      <c r="G395" s="14" t="s">
        <v>99</v>
      </c>
      <c r="H395" s="14" t="s">
        <v>99</v>
      </c>
      <c r="I395" s="14" t="s">
        <v>7865</v>
      </c>
      <c r="J395" s="14" t="s">
        <v>1721</v>
      </c>
      <c r="K395" s="14" t="s">
        <v>99</v>
      </c>
      <c r="L395" s="14" t="s">
        <v>99</v>
      </c>
      <c r="M395" s="14" t="s">
        <v>103</v>
      </c>
      <c r="N395" s="14" t="s">
        <v>104</v>
      </c>
      <c r="O395" s="14" t="s">
        <v>99</v>
      </c>
      <c r="P395" s="14" t="s">
        <v>99</v>
      </c>
      <c r="Q395" s="14" t="s">
        <v>99</v>
      </c>
      <c r="R395" s="14" t="s">
        <v>99</v>
      </c>
      <c r="S395" s="14" t="s">
        <v>99</v>
      </c>
      <c r="T395" s="14" t="s">
        <v>7866</v>
      </c>
      <c r="U395" s="14" t="s">
        <v>7867</v>
      </c>
      <c r="V395" s="14" t="s">
        <v>7868</v>
      </c>
      <c r="W395" s="14" t="s">
        <v>7869</v>
      </c>
      <c r="X395" s="14" t="s">
        <v>7870</v>
      </c>
      <c r="Y395" s="14" t="s">
        <v>7871</v>
      </c>
      <c r="Z395" s="14" t="s">
        <v>7872</v>
      </c>
      <c r="AA395" s="14" t="s">
        <v>7873</v>
      </c>
      <c r="AB395" s="14" t="s">
        <v>7874</v>
      </c>
      <c r="AC395" s="14" t="s">
        <v>99</v>
      </c>
      <c r="AD395" s="14" t="s">
        <v>99</v>
      </c>
      <c r="AE395" s="14" t="s">
        <v>99</v>
      </c>
      <c r="AF395" s="14" t="s">
        <v>99</v>
      </c>
      <c r="AG395" s="14">
        <v>41.0</v>
      </c>
      <c r="AH395" s="14">
        <v>7.0</v>
      </c>
      <c r="AI395" s="14">
        <v>10.0</v>
      </c>
      <c r="AJ395" s="14">
        <v>1.0</v>
      </c>
      <c r="AK395" s="14">
        <v>26.0</v>
      </c>
      <c r="AL395" s="14" t="s">
        <v>1731</v>
      </c>
      <c r="AM395" s="14" t="s">
        <v>1732</v>
      </c>
      <c r="AN395" s="14" t="s">
        <v>1733</v>
      </c>
      <c r="AO395" s="14" t="s">
        <v>1734</v>
      </c>
      <c r="AP395" s="14" t="s">
        <v>1735</v>
      </c>
      <c r="AQ395" s="14" t="s">
        <v>99</v>
      </c>
      <c r="AR395" s="14" t="s">
        <v>1736</v>
      </c>
      <c r="AS395" s="14" t="s">
        <v>1737</v>
      </c>
      <c r="AT395" s="14" t="s">
        <v>1058</v>
      </c>
      <c r="AU395" s="14">
        <v>2007.0</v>
      </c>
      <c r="AV395" s="14">
        <v>16.0</v>
      </c>
      <c r="AW395" s="14">
        <v>14.0</v>
      </c>
      <c r="AX395" s="14" t="s">
        <v>99</v>
      </c>
      <c r="AY395" s="14" t="s">
        <v>99</v>
      </c>
      <c r="AZ395" s="14" t="s">
        <v>99</v>
      </c>
      <c r="BA395" s="14" t="s">
        <v>99</v>
      </c>
      <c r="BB395" s="14">
        <v>3939.0</v>
      </c>
      <c r="BC395" s="14">
        <v>3950.0</v>
      </c>
      <c r="BD395" s="14" t="s">
        <v>99</v>
      </c>
      <c r="BE395" s="14" t="s">
        <v>7875</v>
      </c>
      <c r="BF395" s="15" t="str">
        <f>HYPERLINK("http://dx.doi.org/10.1007/s10531-007-9152-z","http://dx.doi.org/10.1007/s10531-007-9152-z")</f>
        <v>http://dx.doi.org/10.1007/s10531-007-9152-z</v>
      </c>
      <c r="BG395" s="14" t="s">
        <v>99</v>
      </c>
      <c r="BH395" s="14" t="s">
        <v>99</v>
      </c>
      <c r="BI395" s="14">
        <v>12.0</v>
      </c>
      <c r="BJ395" s="14" t="s">
        <v>351</v>
      </c>
      <c r="BK395" s="14" t="s">
        <v>122</v>
      </c>
      <c r="BL395" s="14" t="s">
        <v>352</v>
      </c>
      <c r="BM395" s="14" t="s">
        <v>7876</v>
      </c>
      <c r="BN395" s="14" t="s">
        <v>99</v>
      </c>
      <c r="BO395" s="14" t="s">
        <v>99</v>
      </c>
      <c r="BP395" s="14" t="s">
        <v>99</v>
      </c>
      <c r="BQ395" s="14" t="s">
        <v>99</v>
      </c>
      <c r="BR395" s="14" t="s">
        <v>124</v>
      </c>
      <c r="BS395" s="14" t="s">
        <v>7877</v>
      </c>
      <c r="BT395" s="14" t="str">
        <f>HYPERLINK("https%3A%2F%2Fwww.webofscience.com%2Fwos%2Fwoscc%2Ffull-record%2FWOS:000250833000001","View Full Record in Web of Science")</f>
        <v>View Full Record in Web of Science</v>
      </c>
    </row>
    <row r="396" ht="12.75" customHeight="1">
      <c r="A396" s="14" t="s">
        <v>97</v>
      </c>
      <c r="B396" s="14" t="s">
        <v>7878</v>
      </c>
      <c r="C396" s="14" t="s">
        <v>99</v>
      </c>
      <c r="D396" s="14" t="s">
        <v>99</v>
      </c>
      <c r="E396" s="14" t="s">
        <v>99</v>
      </c>
      <c r="F396" s="14" t="s">
        <v>7879</v>
      </c>
      <c r="G396" s="14" t="s">
        <v>99</v>
      </c>
      <c r="H396" s="14" t="s">
        <v>99</v>
      </c>
      <c r="I396" s="14" t="s">
        <v>7880</v>
      </c>
      <c r="J396" s="14" t="s">
        <v>876</v>
      </c>
      <c r="K396" s="14" t="s">
        <v>99</v>
      </c>
      <c r="L396" s="14" t="s">
        <v>99</v>
      </c>
      <c r="M396" s="14" t="s">
        <v>103</v>
      </c>
      <c r="N396" s="14" t="s">
        <v>104</v>
      </c>
      <c r="O396" s="14" t="s">
        <v>99</v>
      </c>
      <c r="P396" s="14" t="s">
        <v>99</v>
      </c>
      <c r="Q396" s="14" t="s">
        <v>99</v>
      </c>
      <c r="R396" s="14" t="s">
        <v>99</v>
      </c>
      <c r="S396" s="14" t="s">
        <v>99</v>
      </c>
      <c r="T396" s="14" t="s">
        <v>7881</v>
      </c>
      <c r="U396" s="14" t="s">
        <v>7882</v>
      </c>
      <c r="V396" s="14" t="s">
        <v>7883</v>
      </c>
      <c r="W396" s="14" t="s">
        <v>7884</v>
      </c>
      <c r="X396" s="14" t="s">
        <v>7885</v>
      </c>
      <c r="Y396" s="14" t="s">
        <v>7886</v>
      </c>
      <c r="Z396" s="14" t="s">
        <v>7887</v>
      </c>
      <c r="AA396" s="14" t="s">
        <v>99</v>
      </c>
      <c r="AB396" s="14" t="s">
        <v>7888</v>
      </c>
      <c r="AC396" s="14" t="s">
        <v>99</v>
      </c>
      <c r="AD396" s="14" t="s">
        <v>99</v>
      </c>
      <c r="AE396" s="14" t="s">
        <v>99</v>
      </c>
      <c r="AF396" s="14" t="s">
        <v>99</v>
      </c>
      <c r="AG396" s="14">
        <v>36.0</v>
      </c>
      <c r="AH396" s="14">
        <v>69.0</v>
      </c>
      <c r="AI396" s="14">
        <v>73.0</v>
      </c>
      <c r="AJ396" s="14">
        <v>0.0</v>
      </c>
      <c r="AK396" s="14">
        <v>76.0</v>
      </c>
      <c r="AL396" s="14" t="s">
        <v>1033</v>
      </c>
      <c r="AM396" s="14" t="s">
        <v>442</v>
      </c>
      <c r="AN396" s="14" t="s">
        <v>1034</v>
      </c>
      <c r="AO396" s="14" t="s">
        <v>889</v>
      </c>
      <c r="AP396" s="14" t="s">
        <v>890</v>
      </c>
      <c r="AQ396" s="14" t="s">
        <v>99</v>
      </c>
      <c r="AR396" s="14" t="s">
        <v>891</v>
      </c>
      <c r="AS396" s="14" t="s">
        <v>892</v>
      </c>
      <c r="AT396" s="14" t="s">
        <v>348</v>
      </c>
      <c r="AU396" s="14">
        <v>2007.0</v>
      </c>
      <c r="AV396" s="14">
        <v>87.0</v>
      </c>
      <c r="AW396" s="14" t="s">
        <v>7889</v>
      </c>
      <c r="AX396" s="14" t="s">
        <v>99</v>
      </c>
      <c r="AY396" s="14" t="s">
        <v>99</v>
      </c>
      <c r="AZ396" s="14" t="s">
        <v>99</v>
      </c>
      <c r="BA396" s="14" t="s">
        <v>99</v>
      </c>
      <c r="BB396" s="14">
        <v>208.0</v>
      </c>
      <c r="BC396" s="14">
        <v>218.0</v>
      </c>
      <c r="BD396" s="14" t="s">
        <v>99</v>
      </c>
      <c r="BE396" s="14" t="s">
        <v>7890</v>
      </c>
      <c r="BF396" s="15" t="str">
        <f>HYPERLINK("http://dx.doi.org/10.1016/j.fishres.2006.12.009","http://dx.doi.org/10.1016/j.fishres.2006.12.009")</f>
        <v>http://dx.doi.org/10.1016/j.fishres.2006.12.009</v>
      </c>
      <c r="BG396" s="14" t="s">
        <v>99</v>
      </c>
      <c r="BH396" s="14" t="s">
        <v>99</v>
      </c>
      <c r="BI396" s="14">
        <v>11.0</v>
      </c>
      <c r="BJ396" s="14" t="s">
        <v>894</v>
      </c>
      <c r="BK396" s="14" t="s">
        <v>122</v>
      </c>
      <c r="BL396" s="14" t="s">
        <v>894</v>
      </c>
      <c r="BM396" s="14" t="s">
        <v>7891</v>
      </c>
      <c r="BN396" s="14" t="s">
        <v>99</v>
      </c>
      <c r="BO396" s="14" t="s">
        <v>99</v>
      </c>
      <c r="BP396" s="14" t="s">
        <v>99</v>
      </c>
      <c r="BQ396" s="14" t="s">
        <v>99</v>
      </c>
      <c r="BR396" s="14" t="s">
        <v>124</v>
      </c>
      <c r="BS396" s="14" t="s">
        <v>7892</v>
      </c>
      <c r="BT396" s="14" t="str">
        <f>HYPERLINK("https%3A%2F%2Fwww.webofscience.com%2Fwos%2Fwoscc%2Ffull-record%2FWOS:000251468500012","View Full Record in Web of Science")</f>
        <v>View Full Record in Web of Science</v>
      </c>
    </row>
    <row r="397" ht="12.75" customHeight="1">
      <c r="A397" s="14" t="s">
        <v>97</v>
      </c>
      <c r="B397" s="14" t="s">
        <v>7893</v>
      </c>
      <c r="C397" s="14" t="s">
        <v>99</v>
      </c>
      <c r="D397" s="14" t="s">
        <v>99</v>
      </c>
      <c r="E397" s="14" t="s">
        <v>99</v>
      </c>
      <c r="F397" s="14" t="s">
        <v>7894</v>
      </c>
      <c r="G397" s="14" t="s">
        <v>99</v>
      </c>
      <c r="H397" s="14" t="s">
        <v>99</v>
      </c>
      <c r="I397" s="14" t="s">
        <v>7895</v>
      </c>
      <c r="J397" s="14" t="s">
        <v>5780</v>
      </c>
      <c r="K397" s="14" t="s">
        <v>99</v>
      </c>
      <c r="L397" s="14" t="s">
        <v>99</v>
      </c>
      <c r="M397" s="14" t="s">
        <v>103</v>
      </c>
      <c r="N397" s="14" t="s">
        <v>104</v>
      </c>
      <c r="O397" s="14" t="s">
        <v>99</v>
      </c>
      <c r="P397" s="14" t="s">
        <v>99</v>
      </c>
      <c r="Q397" s="14" t="s">
        <v>99</v>
      </c>
      <c r="R397" s="14" t="s">
        <v>99</v>
      </c>
      <c r="S397" s="14" t="s">
        <v>99</v>
      </c>
      <c r="T397" s="14" t="s">
        <v>99</v>
      </c>
      <c r="U397" s="14" t="s">
        <v>7896</v>
      </c>
      <c r="V397" s="14" t="s">
        <v>7897</v>
      </c>
      <c r="W397" s="14" t="s">
        <v>7898</v>
      </c>
      <c r="X397" s="14" t="s">
        <v>7899</v>
      </c>
      <c r="Y397" s="14" t="s">
        <v>7900</v>
      </c>
      <c r="Z397" s="14" t="s">
        <v>99</v>
      </c>
      <c r="AA397" s="14" t="s">
        <v>7901</v>
      </c>
      <c r="AB397" s="14" t="s">
        <v>7902</v>
      </c>
      <c r="AC397" s="14" t="s">
        <v>99</v>
      </c>
      <c r="AD397" s="14" t="s">
        <v>99</v>
      </c>
      <c r="AE397" s="14" t="s">
        <v>99</v>
      </c>
      <c r="AF397" s="14" t="s">
        <v>99</v>
      </c>
      <c r="AG397" s="14">
        <v>54.0</v>
      </c>
      <c r="AH397" s="14">
        <v>89.0</v>
      </c>
      <c r="AI397" s="14">
        <v>95.0</v>
      </c>
      <c r="AJ397" s="14">
        <v>0.0</v>
      </c>
      <c r="AK397" s="14">
        <v>33.0</v>
      </c>
      <c r="AL397" s="14" t="s">
        <v>982</v>
      </c>
      <c r="AM397" s="14" t="s">
        <v>789</v>
      </c>
      <c r="AN397" s="14" t="s">
        <v>983</v>
      </c>
      <c r="AO397" s="14" t="s">
        <v>5791</v>
      </c>
      <c r="AP397" s="14" t="s">
        <v>5792</v>
      </c>
      <c r="AQ397" s="14" t="s">
        <v>99</v>
      </c>
      <c r="AR397" s="14" t="s">
        <v>5793</v>
      </c>
      <c r="AS397" s="14" t="s">
        <v>5794</v>
      </c>
      <c r="AT397" s="14" t="s">
        <v>7903</v>
      </c>
      <c r="AU397" s="14">
        <v>2007.0</v>
      </c>
      <c r="AV397" s="14">
        <v>21.0</v>
      </c>
      <c r="AW397" s="14">
        <v>4.0</v>
      </c>
      <c r="AX397" s="14" t="s">
        <v>99</v>
      </c>
      <c r="AY397" s="14" t="s">
        <v>99</v>
      </c>
      <c r="AZ397" s="14" t="s">
        <v>99</v>
      </c>
      <c r="BA397" s="14" t="s">
        <v>99</v>
      </c>
      <c r="BB397" s="14" t="s">
        <v>99</v>
      </c>
      <c r="BC397" s="14" t="s">
        <v>99</v>
      </c>
      <c r="BD397" s="14" t="s">
        <v>7904</v>
      </c>
      <c r="BE397" s="14" t="s">
        <v>7905</v>
      </c>
      <c r="BF397" s="15" t="str">
        <f>HYPERLINK("http://dx.doi.org/10.1029/2006GB002825","http://dx.doi.org/10.1029/2006GB002825")</f>
        <v>http://dx.doi.org/10.1029/2006GB002825</v>
      </c>
      <c r="BG397" s="14" t="s">
        <v>99</v>
      </c>
      <c r="BH397" s="14" t="s">
        <v>99</v>
      </c>
      <c r="BI397" s="14">
        <v>13.0</v>
      </c>
      <c r="BJ397" s="14" t="s">
        <v>5798</v>
      </c>
      <c r="BK397" s="14" t="s">
        <v>122</v>
      </c>
      <c r="BL397" s="14" t="s">
        <v>5799</v>
      </c>
      <c r="BM397" s="14" t="s">
        <v>7906</v>
      </c>
      <c r="BN397" s="14" t="s">
        <v>99</v>
      </c>
      <c r="BO397" s="14" t="s">
        <v>7907</v>
      </c>
      <c r="BP397" s="14" t="s">
        <v>99</v>
      </c>
      <c r="BQ397" s="14" t="s">
        <v>99</v>
      </c>
      <c r="BR397" s="14" t="s">
        <v>124</v>
      </c>
      <c r="BS397" s="14" t="s">
        <v>7908</v>
      </c>
      <c r="BT397" s="14" t="str">
        <f>HYPERLINK("https%3A%2F%2Fwww.webofscience.com%2Fwos%2Fwoscc%2Ffull-record%2FWOS:000250045700001","View Full Record in Web of Science")</f>
        <v>View Full Record in Web of Science</v>
      </c>
    </row>
    <row r="398" ht="12.75" customHeight="1">
      <c r="A398" s="14" t="s">
        <v>97</v>
      </c>
      <c r="B398" s="14" t="s">
        <v>7909</v>
      </c>
      <c r="C398" s="14" t="s">
        <v>99</v>
      </c>
      <c r="D398" s="14" t="s">
        <v>99</v>
      </c>
      <c r="E398" s="14" t="s">
        <v>99</v>
      </c>
      <c r="F398" s="14" t="s">
        <v>7910</v>
      </c>
      <c r="G398" s="14" t="s">
        <v>99</v>
      </c>
      <c r="H398" s="14" t="s">
        <v>99</v>
      </c>
      <c r="I398" s="14" t="s">
        <v>7911</v>
      </c>
      <c r="J398" s="14" t="s">
        <v>1123</v>
      </c>
      <c r="K398" s="14" t="s">
        <v>99</v>
      </c>
      <c r="L398" s="14" t="s">
        <v>99</v>
      </c>
      <c r="M398" s="14" t="s">
        <v>103</v>
      </c>
      <c r="N398" s="14" t="s">
        <v>104</v>
      </c>
      <c r="O398" s="14" t="s">
        <v>99</v>
      </c>
      <c r="P398" s="14" t="s">
        <v>99</v>
      </c>
      <c r="Q398" s="14" t="s">
        <v>99</v>
      </c>
      <c r="R398" s="14" t="s">
        <v>99</v>
      </c>
      <c r="S398" s="14" t="s">
        <v>99</v>
      </c>
      <c r="T398" s="14" t="s">
        <v>7912</v>
      </c>
      <c r="U398" s="14" t="s">
        <v>7913</v>
      </c>
      <c r="V398" s="14" t="s">
        <v>7914</v>
      </c>
      <c r="W398" s="14" t="s">
        <v>7915</v>
      </c>
      <c r="X398" s="14" t="s">
        <v>7916</v>
      </c>
      <c r="Y398" s="14" t="s">
        <v>7917</v>
      </c>
      <c r="Z398" s="14" t="s">
        <v>7918</v>
      </c>
      <c r="AA398" s="14" t="s">
        <v>99</v>
      </c>
      <c r="AB398" s="14" t="s">
        <v>99</v>
      </c>
      <c r="AC398" s="14" t="s">
        <v>99</v>
      </c>
      <c r="AD398" s="14" t="s">
        <v>99</v>
      </c>
      <c r="AE398" s="14" t="s">
        <v>99</v>
      </c>
      <c r="AF398" s="14" t="s">
        <v>99</v>
      </c>
      <c r="AG398" s="14">
        <v>48.0</v>
      </c>
      <c r="AH398" s="14">
        <v>44.0</v>
      </c>
      <c r="AI398" s="14">
        <v>47.0</v>
      </c>
      <c r="AJ398" s="14">
        <v>3.0</v>
      </c>
      <c r="AK398" s="14">
        <v>43.0</v>
      </c>
      <c r="AL398" s="14" t="s">
        <v>341</v>
      </c>
      <c r="AM398" s="14" t="s">
        <v>342</v>
      </c>
      <c r="AN398" s="14" t="s">
        <v>343</v>
      </c>
      <c r="AO398" s="14" t="s">
        <v>1136</v>
      </c>
      <c r="AP398" s="14" t="s">
        <v>1137</v>
      </c>
      <c r="AQ398" s="14" t="s">
        <v>99</v>
      </c>
      <c r="AR398" s="14" t="s">
        <v>1138</v>
      </c>
      <c r="AS398" s="14" t="s">
        <v>1139</v>
      </c>
      <c r="AT398" s="14" t="s">
        <v>2372</v>
      </c>
      <c r="AU398" s="14">
        <v>2007.0</v>
      </c>
      <c r="AV398" s="14">
        <v>18.0</v>
      </c>
      <c r="AW398" s="14">
        <v>5.0</v>
      </c>
      <c r="AX398" s="14" t="s">
        <v>99</v>
      </c>
      <c r="AY398" s="14" t="s">
        <v>99</v>
      </c>
      <c r="AZ398" s="14" t="s">
        <v>99</v>
      </c>
      <c r="BA398" s="14" t="s">
        <v>99</v>
      </c>
      <c r="BB398" s="14">
        <v>625.0</v>
      </c>
      <c r="BC398" s="14">
        <v>634.0</v>
      </c>
      <c r="BD398" s="14" t="s">
        <v>99</v>
      </c>
      <c r="BE398" s="14" t="s">
        <v>7919</v>
      </c>
      <c r="BF398" s="15" t="str">
        <f>HYPERLINK("http://dx.doi.org/10.1658/1100-9233(2007)18[625:FEOFEO]2.0.CO;2","http://dx.doi.org/10.1658/1100-9233(2007)18[625:FEOFEO]2.0.CO;2")</f>
        <v>http://dx.doi.org/10.1658/1100-9233(2007)18[625:FEOFEO]2.0.CO;2</v>
      </c>
      <c r="BG398" s="14" t="s">
        <v>99</v>
      </c>
      <c r="BH398" s="14" t="s">
        <v>99</v>
      </c>
      <c r="BI398" s="14">
        <v>10.0</v>
      </c>
      <c r="BJ398" s="14" t="s">
        <v>1141</v>
      </c>
      <c r="BK398" s="14" t="s">
        <v>122</v>
      </c>
      <c r="BL398" s="14" t="s">
        <v>1142</v>
      </c>
      <c r="BM398" s="14" t="s">
        <v>7920</v>
      </c>
      <c r="BN398" s="14" t="s">
        <v>99</v>
      </c>
      <c r="BO398" s="14" t="s">
        <v>99</v>
      </c>
      <c r="BP398" s="14" t="s">
        <v>99</v>
      </c>
      <c r="BQ398" s="14" t="s">
        <v>99</v>
      </c>
      <c r="BR398" s="14" t="s">
        <v>124</v>
      </c>
      <c r="BS398" s="14" t="s">
        <v>7921</v>
      </c>
      <c r="BT398" s="14" t="str">
        <f>HYPERLINK("https%3A%2F%2Fwww.webofscience.com%2Fwos%2Fwoscc%2Ffull-record%2FWOS:000248293400002","View Full Record in Web of Science")</f>
        <v>View Full Record in Web of Science</v>
      </c>
    </row>
    <row r="399" ht="12.75" customHeight="1">
      <c r="A399" s="14" t="s">
        <v>97</v>
      </c>
      <c r="B399" s="14" t="s">
        <v>7922</v>
      </c>
      <c r="C399" s="14" t="s">
        <v>99</v>
      </c>
      <c r="D399" s="14" t="s">
        <v>99</v>
      </c>
      <c r="E399" s="14" t="s">
        <v>99</v>
      </c>
      <c r="F399" s="14" t="s">
        <v>7923</v>
      </c>
      <c r="G399" s="14" t="s">
        <v>99</v>
      </c>
      <c r="H399" s="14" t="s">
        <v>99</v>
      </c>
      <c r="I399" s="14" t="s">
        <v>7924</v>
      </c>
      <c r="J399" s="14" t="s">
        <v>7925</v>
      </c>
      <c r="K399" s="14" t="s">
        <v>99</v>
      </c>
      <c r="L399" s="14" t="s">
        <v>99</v>
      </c>
      <c r="M399" s="14" t="s">
        <v>103</v>
      </c>
      <c r="N399" s="14" t="s">
        <v>104</v>
      </c>
      <c r="O399" s="14" t="s">
        <v>99</v>
      </c>
      <c r="P399" s="14" t="s">
        <v>99</v>
      </c>
      <c r="Q399" s="14" t="s">
        <v>99</v>
      </c>
      <c r="R399" s="14" t="s">
        <v>99</v>
      </c>
      <c r="S399" s="14" t="s">
        <v>99</v>
      </c>
      <c r="T399" s="14" t="s">
        <v>7926</v>
      </c>
      <c r="U399" s="14" t="s">
        <v>7927</v>
      </c>
      <c r="V399" s="14" t="s">
        <v>7928</v>
      </c>
      <c r="W399" s="14" t="s">
        <v>7929</v>
      </c>
      <c r="X399" s="14" t="s">
        <v>99</v>
      </c>
      <c r="Y399" s="14" t="s">
        <v>7665</v>
      </c>
      <c r="Z399" s="14" t="s">
        <v>7930</v>
      </c>
      <c r="AA399" s="14" t="s">
        <v>99</v>
      </c>
      <c r="AB399" s="14" t="s">
        <v>7931</v>
      </c>
      <c r="AC399" s="14" t="s">
        <v>99</v>
      </c>
      <c r="AD399" s="14" t="s">
        <v>99</v>
      </c>
      <c r="AE399" s="14" t="s">
        <v>99</v>
      </c>
      <c r="AF399" s="14" t="s">
        <v>99</v>
      </c>
      <c r="AG399" s="14">
        <v>49.0</v>
      </c>
      <c r="AH399" s="14">
        <v>85.0</v>
      </c>
      <c r="AI399" s="14">
        <v>95.0</v>
      </c>
      <c r="AJ399" s="14">
        <v>0.0</v>
      </c>
      <c r="AK399" s="14">
        <v>27.0</v>
      </c>
      <c r="AL399" s="14" t="s">
        <v>1731</v>
      </c>
      <c r="AM399" s="14" t="s">
        <v>1594</v>
      </c>
      <c r="AN399" s="14" t="s">
        <v>3448</v>
      </c>
      <c r="AO399" s="14" t="s">
        <v>7932</v>
      </c>
      <c r="AP399" s="14" t="s">
        <v>7933</v>
      </c>
      <c r="AQ399" s="14" t="s">
        <v>99</v>
      </c>
      <c r="AR399" s="14" t="s">
        <v>7934</v>
      </c>
      <c r="AS399" s="14" t="s">
        <v>7935</v>
      </c>
      <c r="AT399" s="14" t="s">
        <v>2372</v>
      </c>
      <c r="AU399" s="14">
        <v>2007.0</v>
      </c>
      <c r="AV399" s="14">
        <v>126.0</v>
      </c>
      <c r="AW399" s="14">
        <v>4.0</v>
      </c>
      <c r="AX399" s="14" t="s">
        <v>99</v>
      </c>
      <c r="AY399" s="14" t="s">
        <v>99</v>
      </c>
      <c r="AZ399" s="14" t="s">
        <v>99</v>
      </c>
      <c r="BA399" s="14" t="s">
        <v>99</v>
      </c>
      <c r="BB399" s="14">
        <v>513.0</v>
      </c>
      <c r="BC399" s="14">
        <v>527.0</v>
      </c>
      <c r="BD399" s="14" t="s">
        <v>99</v>
      </c>
      <c r="BE399" s="14" t="s">
        <v>7936</v>
      </c>
      <c r="BF399" s="15" t="str">
        <f>HYPERLINK("http://dx.doi.org/10.1007/s10342-007-0173-7","http://dx.doi.org/10.1007/s10342-007-0173-7")</f>
        <v>http://dx.doi.org/10.1007/s10342-007-0173-7</v>
      </c>
      <c r="BG399" s="14" t="s">
        <v>99</v>
      </c>
      <c r="BH399" s="14" t="s">
        <v>99</v>
      </c>
      <c r="BI399" s="14">
        <v>15.0</v>
      </c>
      <c r="BJ399" s="14" t="s">
        <v>281</v>
      </c>
      <c r="BK399" s="14" t="s">
        <v>122</v>
      </c>
      <c r="BL399" s="14" t="s">
        <v>281</v>
      </c>
      <c r="BM399" s="14" t="s">
        <v>7937</v>
      </c>
      <c r="BN399" s="14" t="s">
        <v>99</v>
      </c>
      <c r="BO399" s="14" t="s">
        <v>99</v>
      </c>
      <c r="BP399" s="14" t="s">
        <v>99</v>
      </c>
      <c r="BQ399" s="14" t="s">
        <v>99</v>
      </c>
      <c r="BR399" s="14" t="s">
        <v>124</v>
      </c>
      <c r="BS399" s="14" t="s">
        <v>7938</v>
      </c>
      <c r="BT399" s="14" t="str">
        <f>HYPERLINK("https%3A%2F%2Fwww.webofscience.com%2Fwos%2Fwoscc%2Ffull-record%2FWOS:000249576100005","View Full Record in Web of Science")</f>
        <v>View Full Record in Web of Science</v>
      </c>
    </row>
    <row r="400" ht="12.75" customHeight="1">
      <c r="A400" s="14" t="s">
        <v>97</v>
      </c>
      <c r="B400" s="14" t="s">
        <v>7939</v>
      </c>
      <c r="C400" s="14" t="s">
        <v>99</v>
      </c>
      <c r="D400" s="14" t="s">
        <v>99</v>
      </c>
      <c r="E400" s="14" t="s">
        <v>99</v>
      </c>
      <c r="F400" s="14" t="s">
        <v>7940</v>
      </c>
      <c r="G400" s="14" t="s">
        <v>99</v>
      </c>
      <c r="H400" s="14" t="s">
        <v>99</v>
      </c>
      <c r="I400" s="14" t="s">
        <v>7941</v>
      </c>
      <c r="J400" s="14" t="s">
        <v>2142</v>
      </c>
      <c r="K400" s="14" t="s">
        <v>99</v>
      </c>
      <c r="L400" s="14" t="s">
        <v>99</v>
      </c>
      <c r="M400" s="14" t="s">
        <v>103</v>
      </c>
      <c r="N400" s="14" t="s">
        <v>104</v>
      </c>
      <c r="O400" s="14" t="s">
        <v>99</v>
      </c>
      <c r="P400" s="14" t="s">
        <v>99</v>
      </c>
      <c r="Q400" s="14" t="s">
        <v>99</v>
      </c>
      <c r="R400" s="14" t="s">
        <v>99</v>
      </c>
      <c r="S400" s="14" t="s">
        <v>99</v>
      </c>
      <c r="T400" s="14" t="s">
        <v>7942</v>
      </c>
      <c r="U400" s="14" t="s">
        <v>7943</v>
      </c>
      <c r="V400" s="14" t="s">
        <v>7944</v>
      </c>
      <c r="W400" s="14" t="s">
        <v>7945</v>
      </c>
      <c r="X400" s="14" t="s">
        <v>99</v>
      </c>
      <c r="Y400" s="14" t="s">
        <v>7946</v>
      </c>
      <c r="Z400" s="14" t="s">
        <v>7947</v>
      </c>
      <c r="AA400" s="14" t="s">
        <v>99</v>
      </c>
      <c r="AB400" s="14" t="s">
        <v>99</v>
      </c>
      <c r="AC400" s="14" t="s">
        <v>99</v>
      </c>
      <c r="AD400" s="14" t="s">
        <v>99</v>
      </c>
      <c r="AE400" s="14" t="s">
        <v>99</v>
      </c>
      <c r="AF400" s="14" t="s">
        <v>99</v>
      </c>
      <c r="AG400" s="14">
        <v>41.0</v>
      </c>
      <c r="AH400" s="14">
        <v>105.0</v>
      </c>
      <c r="AI400" s="14">
        <v>130.0</v>
      </c>
      <c r="AJ400" s="14">
        <v>1.0</v>
      </c>
      <c r="AK400" s="14">
        <v>144.0</v>
      </c>
      <c r="AL400" s="14" t="s">
        <v>341</v>
      </c>
      <c r="AM400" s="14" t="s">
        <v>342</v>
      </c>
      <c r="AN400" s="14" t="s">
        <v>343</v>
      </c>
      <c r="AO400" s="14" t="s">
        <v>2155</v>
      </c>
      <c r="AP400" s="14" t="s">
        <v>2156</v>
      </c>
      <c r="AQ400" s="14" t="s">
        <v>99</v>
      </c>
      <c r="AR400" s="14" t="s">
        <v>2157</v>
      </c>
      <c r="AS400" s="14" t="s">
        <v>2158</v>
      </c>
      <c r="AT400" s="14" t="s">
        <v>474</v>
      </c>
      <c r="AU400" s="14">
        <v>2007.0</v>
      </c>
      <c r="AV400" s="14">
        <v>21.0</v>
      </c>
      <c r="AW400" s="14">
        <v>4.0</v>
      </c>
      <c r="AX400" s="14" t="s">
        <v>99</v>
      </c>
      <c r="AY400" s="14" t="s">
        <v>99</v>
      </c>
      <c r="AZ400" s="14" t="s">
        <v>99</v>
      </c>
      <c r="BA400" s="14" t="s">
        <v>99</v>
      </c>
      <c r="BB400" s="14">
        <v>1092.0</v>
      </c>
      <c r="BC400" s="14">
        <v>1104.0</v>
      </c>
      <c r="BD400" s="14" t="s">
        <v>99</v>
      </c>
      <c r="BE400" s="14" t="s">
        <v>7948</v>
      </c>
      <c r="BF400" s="15" t="str">
        <f>HYPERLINK("http://dx.doi.org/10.1111/j.1523-1739.2007.00719.x","http://dx.doi.org/10.1111/j.1523-1739.2007.00719.x")</f>
        <v>http://dx.doi.org/10.1111/j.1523-1739.2007.00719.x</v>
      </c>
      <c r="BG400" s="14" t="s">
        <v>99</v>
      </c>
      <c r="BH400" s="14" t="s">
        <v>99</v>
      </c>
      <c r="BI400" s="14">
        <v>13.0</v>
      </c>
      <c r="BJ400" s="14" t="s">
        <v>351</v>
      </c>
      <c r="BK400" s="14" t="s">
        <v>122</v>
      </c>
      <c r="BL400" s="14" t="s">
        <v>352</v>
      </c>
      <c r="BM400" s="14" t="s">
        <v>7949</v>
      </c>
      <c r="BN400" s="14">
        <v>1.7650258E7</v>
      </c>
      <c r="BO400" s="14" t="s">
        <v>99</v>
      </c>
      <c r="BP400" s="14" t="s">
        <v>99</v>
      </c>
      <c r="BQ400" s="14" t="s">
        <v>99</v>
      </c>
      <c r="BR400" s="14" t="s">
        <v>124</v>
      </c>
      <c r="BS400" s="14" t="s">
        <v>7950</v>
      </c>
      <c r="BT400" s="14" t="str">
        <f>HYPERLINK("https%3A%2F%2Fwww.webofscience.com%2Fwos%2Fwoscc%2Ffull-record%2FWOS:000248401200029","View Full Record in Web of Science")</f>
        <v>View Full Record in Web of Science</v>
      </c>
    </row>
    <row r="401" ht="12.75" customHeight="1">
      <c r="A401" s="14" t="s">
        <v>97</v>
      </c>
      <c r="B401" s="14" t="s">
        <v>7951</v>
      </c>
      <c r="C401" s="14" t="s">
        <v>99</v>
      </c>
      <c r="D401" s="14" t="s">
        <v>99</v>
      </c>
      <c r="E401" s="14" t="s">
        <v>99</v>
      </c>
      <c r="F401" s="14" t="s">
        <v>7952</v>
      </c>
      <c r="G401" s="14" t="s">
        <v>99</v>
      </c>
      <c r="H401" s="14" t="s">
        <v>99</v>
      </c>
      <c r="I401" s="14" t="s">
        <v>7953</v>
      </c>
      <c r="J401" s="14" t="s">
        <v>328</v>
      </c>
      <c r="K401" s="14" t="s">
        <v>99</v>
      </c>
      <c r="L401" s="14" t="s">
        <v>99</v>
      </c>
      <c r="M401" s="14" t="s">
        <v>103</v>
      </c>
      <c r="N401" s="14" t="s">
        <v>104</v>
      </c>
      <c r="O401" s="14" t="s">
        <v>99</v>
      </c>
      <c r="P401" s="14" t="s">
        <v>99</v>
      </c>
      <c r="Q401" s="14" t="s">
        <v>99</v>
      </c>
      <c r="R401" s="14" t="s">
        <v>99</v>
      </c>
      <c r="S401" s="14" t="s">
        <v>99</v>
      </c>
      <c r="T401" s="14" t="s">
        <v>7954</v>
      </c>
      <c r="U401" s="14" t="s">
        <v>7955</v>
      </c>
      <c r="V401" s="14" t="s">
        <v>7956</v>
      </c>
      <c r="W401" s="14" t="s">
        <v>7957</v>
      </c>
      <c r="X401" s="14" t="s">
        <v>7958</v>
      </c>
      <c r="Y401" s="14" t="s">
        <v>7959</v>
      </c>
      <c r="Z401" s="14" t="s">
        <v>7960</v>
      </c>
      <c r="AA401" s="14" t="s">
        <v>7961</v>
      </c>
      <c r="AB401" s="14" t="s">
        <v>7962</v>
      </c>
      <c r="AC401" s="14" t="s">
        <v>99</v>
      </c>
      <c r="AD401" s="14" t="s">
        <v>99</v>
      </c>
      <c r="AE401" s="14" t="s">
        <v>99</v>
      </c>
      <c r="AF401" s="14" t="s">
        <v>99</v>
      </c>
      <c r="AG401" s="14">
        <v>77.0</v>
      </c>
      <c r="AH401" s="14">
        <v>154.0</v>
      </c>
      <c r="AI401" s="14">
        <v>187.0</v>
      </c>
      <c r="AJ401" s="14">
        <v>1.0</v>
      </c>
      <c r="AK401" s="14">
        <v>86.0</v>
      </c>
      <c r="AL401" s="14" t="s">
        <v>1822</v>
      </c>
      <c r="AM401" s="14" t="s">
        <v>342</v>
      </c>
      <c r="AN401" s="14" t="s">
        <v>343</v>
      </c>
      <c r="AO401" s="14" t="s">
        <v>344</v>
      </c>
      <c r="AP401" s="14" t="s">
        <v>345</v>
      </c>
      <c r="AQ401" s="14" t="s">
        <v>99</v>
      </c>
      <c r="AR401" s="14" t="s">
        <v>346</v>
      </c>
      <c r="AS401" s="14" t="s">
        <v>347</v>
      </c>
      <c r="AT401" s="14" t="s">
        <v>525</v>
      </c>
      <c r="AU401" s="14">
        <v>2007.0</v>
      </c>
      <c r="AV401" s="14">
        <v>13.0</v>
      </c>
      <c r="AW401" s="14">
        <v>7.0</v>
      </c>
      <c r="AX401" s="14" t="s">
        <v>99</v>
      </c>
      <c r="AY401" s="14" t="s">
        <v>99</v>
      </c>
      <c r="AZ401" s="14" t="s">
        <v>99</v>
      </c>
      <c r="BA401" s="14" t="s">
        <v>99</v>
      </c>
      <c r="BB401" s="14">
        <v>1368.0</v>
      </c>
      <c r="BC401" s="14">
        <v>1385.0</v>
      </c>
      <c r="BD401" s="14" t="s">
        <v>99</v>
      </c>
      <c r="BE401" s="14" t="s">
        <v>7963</v>
      </c>
      <c r="BF401" s="15" t="str">
        <f>HYPERLINK("http://dx.doi.org/10.1111/j.1365-2486.2007.01357.x","http://dx.doi.org/10.1111/j.1365-2486.2007.01357.x")</f>
        <v>http://dx.doi.org/10.1111/j.1365-2486.2007.01357.x</v>
      </c>
      <c r="BG401" s="14" t="s">
        <v>99</v>
      </c>
      <c r="BH401" s="14" t="s">
        <v>99</v>
      </c>
      <c r="BI401" s="14">
        <v>18.0</v>
      </c>
      <c r="BJ401" s="14" t="s">
        <v>351</v>
      </c>
      <c r="BK401" s="14" t="s">
        <v>122</v>
      </c>
      <c r="BL401" s="14" t="s">
        <v>352</v>
      </c>
      <c r="BM401" s="14" t="s">
        <v>7964</v>
      </c>
      <c r="BN401" s="14" t="s">
        <v>99</v>
      </c>
      <c r="BO401" s="14" t="s">
        <v>99</v>
      </c>
      <c r="BP401" s="14" t="s">
        <v>99</v>
      </c>
      <c r="BQ401" s="14" t="s">
        <v>99</v>
      </c>
      <c r="BR401" s="14" t="s">
        <v>124</v>
      </c>
      <c r="BS401" s="14" t="s">
        <v>7965</v>
      </c>
      <c r="BT401" s="14" t="str">
        <f>HYPERLINK("https%3A%2F%2Fwww.webofscience.com%2Fwos%2Fwoscc%2Ffull-record%2FWOS:000248945800007","View Full Record in Web of Science")</f>
        <v>View Full Record in Web of Science</v>
      </c>
    </row>
    <row r="402" ht="12.75" customHeight="1">
      <c r="A402" s="14" t="s">
        <v>97</v>
      </c>
      <c r="B402" s="14" t="s">
        <v>7966</v>
      </c>
      <c r="C402" s="14" t="s">
        <v>99</v>
      </c>
      <c r="D402" s="14" t="s">
        <v>99</v>
      </c>
      <c r="E402" s="14" t="s">
        <v>99</v>
      </c>
      <c r="F402" s="14" t="s">
        <v>7967</v>
      </c>
      <c r="G402" s="14" t="s">
        <v>99</v>
      </c>
      <c r="H402" s="14" t="s">
        <v>99</v>
      </c>
      <c r="I402" s="14" t="s">
        <v>7968</v>
      </c>
      <c r="J402" s="14" t="s">
        <v>1721</v>
      </c>
      <c r="K402" s="14" t="s">
        <v>99</v>
      </c>
      <c r="L402" s="14" t="s">
        <v>99</v>
      </c>
      <c r="M402" s="14" t="s">
        <v>103</v>
      </c>
      <c r="N402" s="14" t="s">
        <v>104</v>
      </c>
      <c r="O402" s="14" t="s">
        <v>99</v>
      </c>
      <c r="P402" s="14" t="s">
        <v>99</v>
      </c>
      <c r="Q402" s="14" t="s">
        <v>99</v>
      </c>
      <c r="R402" s="14" t="s">
        <v>99</v>
      </c>
      <c r="S402" s="14" t="s">
        <v>99</v>
      </c>
      <c r="T402" s="14" t="s">
        <v>7969</v>
      </c>
      <c r="U402" s="14" t="s">
        <v>7970</v>
      </c>
      <c r="V402" s="14" t="s">
        <v>7971</v>
      </c>
      <c r="W402" s="14" t="s">
        <v>7972</v>
      </c>
      <c r="X402" s="14" t="s">
        <v>7973</v>
      </c>
      <c r="Y402" s="14" t="s">
        <v>7974</v>
      </c>
      <c r="Z402" s="14" t="s">
        <v>7975</v>
      </c>
      <c r="AA402" s="14" t="s">
        <v>7976</v>
      </c>
      <c r="AB402" s="14" t="s">
        <v>7977</v>
      </c>
      <c r="AC402" s="14" t="s">
        <v>99</v>
      </c>
      <c r="AD402" s="14" t="s">
        <v>99</v>
      </c>
      <c r="AE402" s="14" t="s">
        <v>99</v>
      </c>
      <c r="AF402" s="14" t="s">
        <v>99</v>
      </c>
      <c r="AG402" s="14">
        <v>66.0</v>
      </c>
      <c r="AH402" s="14">
        <v>22.0</v>
      </c>
      <c r="AI402" s="14">
        <v>29.0</v>
      </c>
      <c r="AJ402" s="14">
        <v>3.0</v>
      </c>
      <c r="AK402" s="14">
        <v>46.0</v>
      </c>
      <c r="AL402" s="14" t="s">
        <v>1731</v>
      </c>
      <c r="AM402" s="14" t="s">
        <v>1732</v>
      </c>
      <c r="AN402" s="14" t="s">
        <v>1733</v>
      </c>
      <c r="AO402" s="14" t="s">
        <v>1734</v>
      </c>
      <c r="AP402" s="14" t="s">
        <v>1735</v>
      </c>
      <c r="AQ402" s="14" t="s">
        <v>99</v>
      </c>
      <c r="AR402" s="14" t="s">
        <v>1736</v>
      </c>
      <c r="AS402" s="14" t="s">
        <v>1737</v>
      </c>
      <c r="AT402" s="14" t="s">
        <v>616</v>
      </c>
      <c r="AU402" s="14">
        <v>2007.0</v>
      </c>
      <c r="AV402" s="14">
        <v>16.0</v>
      </c>
      <c r="AW402" s="14">
        <v>7.0</v>
      </c>
      <c r="AX402" s="14" t="s">
        <v>99</v>
      </c>
      <c r="AY402" s="14" t="s">
        <v>99</v>
      </c>
      <c r="AZ402" s="14" t="s">
        <v>99</v>
      </c>
      <c r="BA402" s="14" t="s">
        <v>99</v>
      </c>
      <c r="BB402" s="14">
        <v>2167.0</v>
      </c>
      <c r="BC402" s="14">
        <v>2184.0</v>
      </c>
      <c r="BD402" s="14" t="s">
        <v>99</v>
      </c>
      <c r="BE402" s="14" t="s">
        <v>7978</v>
      </c>
      <c r="BF402" s="15" t="str">
        <f>HYPERLINK("http://dx.doi.org/10.1007/s10531-006-9146-2","http://dx.doi.org/10.1007/s10531-006-9146-2")</f>
        <v>http://dx.doi.org/10.1007/s10531-006-9146-2</v>
      </c>
      <c r="BG402" s="14" t="s">
        <v>99</v>
      </c>
      <c r="BH402" s="14" t="s">
        <v>99</v>
      </c>
      <c r="BI402" s="14">
        <v>18.0</v>
      </c>
      <c r="BJ402" s="14" t="s">
        <v>351</v>
      </c>
      <c r="BK402" s="14" t="s">
        <v>122</v>
      </c>
      <c r="BL402" s="14" t="s">
        <v>352</v>
      </c>
      <c r="BM402" s="14" t="s">
        <v>7979</v>
      </c>
      <c r="BN402" s="14" t="s">
        <v>99</v>
      </c>
      <c r="BO402" s="14" t="s">
        <v>425</v>
      </c>
      <c r="BP402" s="14" t="s">
        <v>99</v>
      </c>
      <c r="BQ402" s="14" t="s">
        <v>99</v>
      </c>
      <c r="BR402" s="14" t="s">
        <v>124</v>
      </c>
      <c r="BS402" s="14" t="s">
        <v>7980</v>
      </c>
      <c r="BT402" s="14" t="str">
        <f>HYPERLINK("https%3A%2F%2Fwww.webofscience.com%2Fwos%2Fwoscc%2Ffull-record%2FWOS:000247153100012","View Full Record in Web of Science")</f>
        <v>View Full Record in Web of Science</v>
      </c>
    </row>
    <row r="403" ht="12.75" customHeight="1">
      <c r="A403" s="14" t="s">
        <v>97</v>
      </c>
      <c r="B403" s="14" t="s">
        <v>7981</v>
      </c>
      <c r="C403" s="14" t="s">
        <v>99</v>
      </c>
      <c r="D403" s="14" t="s">
        <v>99</v>
      </c>
      <c r="E403" s="14" t="s">
        <v>99</v>
      </c>
      <c r="F403" s="14" t="s">
        <v>7982</v>
      </c>
      <c r="G403" s="14" t="s">
        <v>99</v>
      </c>
      <c r="H403" s="14" t="s">
        <v>99</v>
      </c>
      <c r="I403" s="14" t="s">
        <v>7983</v>
      </c>
      <c r="J403" s="14" t="s">
        <v>7984</v>
      </c>
      <c r="K403" s="14" t="s">
        <v>99</v>
      </c>
      <c r="L403" s="14" t="s">
        <v>99</v>
      </c>
      <c r="M403" s="14" t="s">
        <v>103</v>
      </c>
      <c r="N403" s="14" t="s">
        <v>104</v>
      </c>
      <c r="O403" s="14" t="s">
        <v>99</v>
      </c>
      <c r="P403" s="14" t="s">
        <v>99</v>
      </c>
      <c r="Q403" s="14" t="s">
        <v>99</v>
      </c>
      <c r="R403" s="14" t="s">
        <v>99</v>
      </c>
      <c r="S403" s="14" t="s">
        <v>99</v>
      </c>
      <c r="T403" s="14" t="s">
        <v>99</v>
      </c>
      <c r="U403" s="14" t="s">
        <v>7985</v>
      </c>
      <c r="V403" s="14" t="s">
        <v>7986</v>
      </c>
      <c r="W403" s="14" t="s">
        <v>7987</v>
      </c>
      <c r="X403" s="14" t="s">
        <v>7988</v>
      </c>
      <c r="Y403" s="14" t="s">
        <v>7989</v>
      </c>
      <c r="Z403" s="14" t="s">
        <v>7990</v>
      </c>
      <c r="AA403" s="14" t="s">
        <v>7991</v>
      </c>
      <c r="AB403" s="14" t="s">
        <v>7992</v>
      </c>
      <c r="AC403" s="14" t="s">
        <v>99</v>
      </c>
      <c r="AD403" s="14" t="s">
        <v>99</v>
      </c>
      <c r="AE403" s="14" t="s">
        <v>99</v>
      </c>
      <c r="AF403" s="14" t="s">
        <v>99</v>
      </c>
      <c r="AG403" s="14">
        <v>36.0</v>
      </c>
      <c r="AH403" s="14">
        <v>828.0</v>
      </c>
      <c r="AI403" s="14">
        <v>992.0</v>
      </c>
      <c r="AJ403" s="14">
        <v>11.0</v>
      </c>
      <c r="AK403" s="14">
        <v>457.0</v>
      </c>
      <c r="AL403" s="14" t="s">
        <v>2512</v>
      </c>
      <c r="AM403" s="14" t="s">
        <v>2513</v>
      </c>
      <c r="AN403" s="14" t="s">
        <v>2514</v>
      </c>
      <c r="AO403" s="14" t="s">
        <v>7993</v>
      </c>
      <c r="AP403" s="14" t="s">
        <v>7994</v>
      </c>
      <c r="AQ403" s="14" t="s">
        <v>99</v>
      </c>
      <c r="AR403" s="14" t="s">
        <v>7995</v>
      </c>
      <c r="AS403" s="14" t="s">
        <v>7996</v>
      </c>
      <c r="AT403" s="14" t="s">
        <v>616</v>
      </c>
      <c r="AU403" s="14">
        <v>2007.0</v>
      </c>
      <c r="AV403" s="14">
        <v>5.0</v>
      </c>
      <c r="AW403" s="14">
        <v>6.0</v>
      </c>
      <c r="AX403" s="14" t="s">
        <v>99</v>
      </c>
      <c r="AY403" s="14" t="s">
        <v>99</v>
      </c>
      <c r="AZ403" s="14" t="s">
        <v>99</v>
      </c>
      <c r="BA403" s="14" t="s">
        <v>99</v>
      </c>
      <c r="BB403" s="14">
        <v>1211.0</v>
      </c>
      <c r="BC403" s="14">
        <v>1219.0</v>
      </c>
      <c r="BD403" s="14" t="s">
        <v>7997</v>
      </c>
      <c r="BE403" s="14" t="s">
        <v>7998</v>
      </c>
      <c r="BF403" s="15" t="str">
        <f>HYPERLINK("http://dx.doi.org/10.1371/journal.pbio.0050157","http://dx.doi.org/10.1371/journal.pbio.0050157")</f>
        <v>http://dx.doi.org/10.1371/journal.pbio.0050157</v>
      </c>
      <c r="BG403" s="14" t="s">
        <v>99</v>
      </c>
      <c r="BH403" s="14" t="s">
        <v>99</v>
      </c>
      <c r="BI403" s="14">
        <v>9.0</v>
      </c>
      <c r="BJ403" s="14" t="s">
        <v>7999</v>
      </c>
      <c r="BK403" s="14" t="s">
        <v>122</v>
      </c>
      <c r="BL403" s="14" t="s">
        <v>8000</v>
      </c>
      <c r="BM403" s="14" t="s">
        <v>8001</v>
      </c>
      <c r="BN403" s="14">
        <v>1.7550306E7</v>
      </c>
      <c r="BO403" s="14" t="s">
        <v>1251</v>
      </c>
      <c r="BP403" s="14" t="s">
        <v>99</v>
      </c>
      <c r="BQ403" s="14" t="s">
        <v>99</v>
      </c>
      <c r="BR403" s="14" t="s">
        <v>124</v>
      </c>
      <c r="BS403" s="14" t="s">
        <v>8002</v>
      </c>
      <c r="BT403" s="14" t="str">
        <f>HYPERLINK("https%3A%2F%2Fwww.webofscience.com%2Fwos%2Fwoscc%2Ffull-record%2FWOS:000247173200006","View Full Record in Web of Science")</f>
        <v>View Full Record in Web of Science</v>
      </c>
    </row>
    <row r="404" ht="12.75" customHeight="1">
      <c r="A404" s="14" t="s">
        <v>97</v>
      </c>
      <c r="B404" s="14" t="s">
        <v>8003</v>
      </c>
      <c r="C404" s="14" t="s">
        <v>99</v>
      </c>
      <c r="D404" s="14" t="s">
        <v>99</v>
      </c>
      <c r="E404" s="14" t="s">
        <v>99</v>
      </c>
      <c r="F404" s="14" t="s">
        <v>8004</v>
      </c>
      <c r="G404" s="14" t="s">
        <v>99</v>
      </c>
      <c r="H404" s="14" t="s">
        <v>99</v>
      </c>
      <c r="I404" s="14" t="s">
        <v>8005</v>
      </c>
      <c r="J404" s="14" t="s">
        <v>776</v>
      </c>
      <c r="K404" s="14" t="s">
        <v>99</v>
      </c>
      <c r="L404" s="14" t="s">
        <v>99</v>
      </c>
      <c r="M404" s="14" t="s">
        <v>103</v>
      </c>
      <c r="N404" s="14" t="s">
        <v>104</v>
      </c>
      <c r="O404" s="14" t="s">
        <v>99</v>
      </c>
      <c r="P404" s="14" t="s">
        <v>99</v>
      </c>
      <c r="Q404" s="14" t="s">
        <v>99</v>
      </c>
      <c r="R404" s="14" t="s">
        <v>99</v>
      </c>
      <c r="S404" s="14" t="s">
        <v>99</v>
      </c>
      <c r="T404" s="14" t="s">
        <v>8006</v>
      </c>
      <c r="U404" s="14" t="s">
        <v>8007</v>
      </c>
      <c r="V404" s="14" t="s">
        <v>8008</v>
      </c>
      <c r="W404" s="14" t="s">
        <v>8009</v>
      </c>
      <c r="X404" s="14" t="s">
        <v>8010</v>
      </c>
      <c r="Y404" s="14" t="s">
        <v>8011</v>
      </c>
      <c r="Z404" s="14" t="s">
        <v>8012</v>
      </c>
      <c r="AA404" s="14" t="s">
        <v>8013</v>
      </c>
      <c r="AB404" s="14" t="s">
        <v>8014</v>
      </c>
      <c r="AC404" s="14" t="s">
        <v>99</v>
      </c>
      <c r="AD404" s="14" t="s">
        <v>99</v>
      </c>
      <c r="AE404" s="14" t="s">
        <v>99</v>
      </c>
      <c r="AF404" s="14" t="s">
        <v>99</v>
      </c>
      <c r="AG404" s="14">
        <v>30.0</v>
      </c>
      <c r="AH404" s="14">
        <v>1604.0</v>
      </c>
      <c r="AI404" s="14">
        <v>1933.0</v>
      </c>
      <c r="AJ404" s="14">
        <v>12.0</v>
      </c>
      <c r="AK404" s="14">
        <v>1201.0</v>
      </c>
      <c r="AL404" s="14" t="s">
        <v>788</v>
      </c>
      <c r="AM404" s="14" t="s">
        <v>789</v>
      </c>
      <c r="AN404" s="14" t="s">
        <v>790</v>
      </c>
      <c r="AO404" s="14" t="s">
        <v>791</v>
      </c>
      <c r="AP404" s="14" t="s">
        <v>99</v>
      </c>
      <c r="AQ404" s="14" t="s">
        <v>99</v>
      </c>
      <c r="AR404" s="14" t="s">
        <v>793</v>
      </c>
      <c r="AS404" s="14" t="s">
        <v>794</v>
      </c>
      <c r="AT404" s="14" t="s">
        <v>4083</v>
      </c>
      <c r="AU404" s="14">
        <v>2007.0</v>
      </c>
      <c r="AV404" s="14">
        <v>104.0</v>
      </c>
      <c r="AW404" s="14">
        <v>21.0</v>
      </c>
      <c r="AX404" s="14" t="s">
        <v>99</v>
      </c>
      <c r="AY404" s="14" t="s">
        <v>99</v>
      </c>
      <c r="AZ404" s="14" t="s">
        <v>99</v>
      </c>
      <c r="BA404" s="14" t="s">
        <v>99</v>
      </c>
      <c r="BB404" s="14">
        <v>8897.0</v>
      </c>
      <c r="BC404" s="14">
        <v>8901.0</v>
      </c>
      <c r="BD404" s="14" t="s">
        <v>99</v>
      </c>
      <c r="BE404" s="14" t="s">
        <v>8015</v>
      </c>
      <c r="BF404" s="15" t="str">
        <f>HYPERLINK("http://dx.doi.org/10.1073/pnas.0609568104","http://dx.doi.org/10.1073/pnas.0609568104")</f>
        <v>http://dx.doi.org/10.1073/pnas.0609568104</v>
      </c>
      <c r="BG404" s="14" t="s">
        <v>99</v>
      </c>
      <c r="BH404" s="14" t="s">
        <v>99</v>
      </c>
      <c r="BI404" s="14">
        <v>5.0</v>
      </c>
      <c r="BJ404" s="14" t="s">
        <v>799</v>
      </c>
      <c r="BK404" s="14" t="s">
        <v>122</v>
      </c>
      <c r="BL404" s="14" t="s">
        <v>801</v>
      </c>
      <c r="BM404" s="14" t="s">
        <v>8016</v>
      </c>
      <c r="BN404" s="14">
        <v>1.7517636E7</v>
      </c>
      <c r="BO404" s="14" t="s">
        <v>425</v>
      </c>
      <c r="BP404" s="14" t="s">
        <v>99</v>
      </c>
      <c r="BQ404" s="14" t="s">
        <v>99</v>
      </c>
      <c r="BR404" s="14" t="s">
        <v>124</v>
      </c>
      <c r="BS404" s="14" t="s">
        <v>8017</v>
      </c>
      <c r="BT404" s="14" t="str">
        <f>HYPERLINK("https%3A%2F%2Fwww.webofscience.com%2Fwos%2Fwoscc%2Ffull-record%2FWOS:000246853700040","View Full Record in Web of Science")</f>
        <v>View Full Record in Web of Science</v>
      </c>
    </row>
    <row r="405" ht="12.75" customHeight="1">
      <c r="A405" s="14" t="s">
        <v>97</v>
      </c>
      <c r="B405" s="14" t="s">
        <v>8018</v>
      </c>
      <c r="C405" s="14" t="s">
        <v>99</v>
      </c>
      <c r="D405" s="14" t="s">
        <v>99</v>
      </c>
      <c r="E405" s="14" t="s">
        <v>99</v>
      </c>
      <c r="F405" s="14" t="s">
        <v>8019</v>
      </c>
      <c r="G405" s="14" t="s">
        <v>99</v>
      </c>
      <c r="H405" s="14" t="s">
        <v>99</v>
      </c>
      <c r="I405" s="14" t="s">
        <v>8020</v>
      </c>
      <c r="J405" s="14" t="s">
        <v>1422</v>
      </c>
      <c r="K405" s="14" t="s">
        <v>99</v>
      </c>
      <c r="L405" s="14" t="s">
        <v>99</v>
      </c>
      <c r="M405" s="14" t="s">
        <v>103</v>
      </c>
      <c r="N405" s="14" t="s">
        <v>104</v>
      </c>
      <c r="O405" s="14" t="s">
        <v>99</v>
      </c>
      <c r="P405" s="14" t="s">
        <v>99</v>
      </c>
      <c r="Q405" s="14" t="s">
        <v>99</v>
      </c>
      <c r="R405" s="14" t="s">
        <v>99</v>
      </c>
      <c r="S405" s="14" t="s">
        <v>99</v>
      </c>
      <c r="T405" s="14" t="s">
        <v>99</v>
      </c>
      <c r="U405" s="14" t="s">
        <v>8021</v>
      </c>
      <c r="V405" s="14" t="s">
        <v>8022</v>
      </c>
      <c r="W405" s="14" t="s">
        <v>8023</v>
      </c>
      <c r="X405" s="14" t="s">
        <v>8024</v>
      </c>
      <c r="Y405" s="14" t="s">
        <v>8025</v>
      </c>
      <c r="Z405" s="14" t="s">
        <v>6391</v>
      </c>
      <c r="AA405" s="14" t="s">
        <v>8026</v>
      </c>
      <c r="AB405" s="14" t="s">
        <v>8027</v>
      </c>
      <c r="AC405" s="14" t="s">
        <v>99</v>
      </c>
      <c r="AD405" s="14" t="s">
        <v>99</v>
      </c>
      <c r="AE405" s="14" t="s">
        <v>99</v>
      </c>
      <c r="AF405" s="14" t="s">
        <v>99</v>
      </c>
      <c r="AG405" s="14">
        <v>36.0</v>
      </c>
      <c r="AH405" s="14">
        <v>168.0</v>
      </c>
      <c r="AI405" s="14">
        <v>197.0</v>
      </c>
      <c r="AJ405" s="14">
        <v>10.0</v>
      </c>
      <c r="AK405" s="14">
        <v>177.0</v>
      </c>
      <c r="AL405" s="14" t="s">
        <v>1431</v>
      </c>
      <c r="AM405" s="14" t="s">
        <v>789</v>
      </c>
      <c r="AN405" s="14" t="s">
        <v>1432</v>
      </c>
      <c r="AO405" s="14" t="s">
        <v>1433</v>
      </c>
      <c r="AP405" s="14" t="s">
        <v>1434</v>
      </c>
      <c r="AQ405" s="14" t="s">
        <v>99</v>
      </c>
      <c r="AR405" s="14" t="s">
        <v>1435</v>
      </c>
      <c r="AS405" s="14" t="s">
        <v>1436</v>
      </c>
      <c r="AT405" s="14" t="s">
        <v>7549</v>
      </c>
      <c r="AU405" s="14">
        <v>2007.0</v>
      </c>
      <c r="AV405" s="14">
        <v>41.0</v>
      </c>
      <c r="AW405" s="14">
        <v>10.0</v>
      </c>
      <c r="AX405" s="14" t="s">
        <v>99</v>
      </c>
      <c r="AY405" s="14" t="s">
        <v>99</v>
      </c>
      <c r="AZ405" s="14" t="s">
        <v>99</v>
      </c>
      <c r="BA405" s="14" t="s">
        <v>99</v>
      </c>
      <c r="BB405" s="14">
        <v>3495.0</v>
      </c>
      <c r="BC405" s="14">
        <v>3500.0</v>
      </c>
      <c r="BD405" s="14" t="s">
        <v>99</v>
      </c>
      <c r="BE405" s="14" t="s">
        <v>8028</v>
      </c>
      <c r="BF405" s="15" t="str">
        <f>HYPERLINK("http://dx.doi.org/10.1021/es062147h","http://dx.doi.org/10.1021/es062147h")</f>
        <v>http://dx.doi.org/10.1021/es062147h</v>
      </c>
      <c r="BG405" s="14" t="s">
        <v>99</v>
      </c>
      <c r="BH405" s="14" t="s">
        <v>99</v>
      </c>
      <c r="BI405" s="14">
        <v>6.0</v>
      </c>
      <c r="BJ405" s="14" t="s">
        <v>1439</v>
      </c>
      <c r="BK405" s="14" t="s">
        <v>122</v>
      </c>
      <c r="BL405" s="14" t="s">
        <v>1440</v>
      </c>
      <c r="BM405" s="14" t="s">
        <v>8029</v>
      </c>
      <c r="BN405" s="14">
        <v>1.7547169E7</v>
      </c>
      <c r="BO405" s="14" t="s">
        <v>99</v>
      </c>
      <c r="BP405" s="14" t="s">
        <v>99</v>
      </c>
      <c r="BQ405" s="14" t="s">
        <v>99</v>
      </c>
      <c r="BR405" s="14" t="s">
        <v>124</v>
      </c>
      <c r="BS405" s="14" t="s">
        <v>8030</v>
      </c>
      <c r="BT405" s="14" t="str">
        <f>HYPERLINK("https%3A%2F%2Fwww.webofscience.com%2Fwos%2Fwoscc%2Ffull-record%2FWOS:000246371800023","View Full Record in Web of Science")</f>
        <v>View Full Record in Web of Science</v>
      </c>
    </row>
    <row r="406" ht="12.75" customHeight="1">
      <c r="A406" s="14" t="s">
        <v>97</v>
      </c>
      <c r="B406" s="14" t="s">
        <v>8031</v>
      </c>
      <c r="C406" s="14" t="s">
        <v>99</v>
      </c>
      <c r="D406" s="14" t="s">
        <v>99</v>
      </c>
      <c r="E406" s="14" t="s">
        <v>99</v>
      </c>
      <c r="F406" s="14" t="s">
        <v>8032</v>
      </c>
      <c r="G406" s="14" t="s">
        <v>99</v>
      </c>
      <c r="H406" s="14" t="s">
        <v>99</v>
      </c>
      <c r="I406" s="14" t="s">
        <v>8033</v>
      </c>
      <c r="J406" s="14" t="s">
        <v>6455</v>
      </c>
      <c r="K406" s="14" t="s">
        <v>99</v>
      </c>
      <c r="L406" s="14" t="s">
        <v>99</v>
      </c>
      <c r="M406" s="14" t="s">
        <v>103</v>
      </c>
      <c r="N406" s="14" t="s">
        <v>2284</v>
      </c>
      <c r="O406" s="14" t="s">
        <v>8034</v>
      </c>
      <c r="P406" s="14">
        <v>2005.0</v>
      </c>
      <c r="Q406" s="14" t="s">
        <v>8035</v>
      </c>
      <c r="R406" s="14" t="s">
        <v>8036</v>
      </c>
      <c r="S406" s="14" t="s">
        <v>99</v>
      </c>
      <c r="T406" s="14" t="s">
        <v>8037</v>
      </c>
      <c r="U406" s="14" t="s">
        <v>8038</v>
      </c>
      <c r="V406" s="14" t="s">
        <v>8039</v>
      </c>
      <c r="W406" s="14" t="s">
        <v>8040</v>
      </c>
      <c r="X406" s="14" t="s">
        <v>8041</v>
      </c>
      <c r="Y406" s="14" t="s">
        <v>8042</v>
      </c>
      <c r="Z406" s="14" t="s">
        <v>8043</v>
      </c>
      <c r="AA406" s="14" t="s">
        <v>8044</v>
      </c>
      <c r="AB406" s="14" t="s">
        <v>99</v>
      </c>
      <c r="AC406" s="14" t="s">
        <v>99</v>
      </c>
      <c r="AD406" s="14" t="s">
        <v>99</v>
      </c>
      <c r="AE406" s="14" t="s">
        <v>99</v>
      </c>
      <c r="AF406" s="14" t="s">
        <v>99</v>
      </c>
      <c r="AG406" s="14">
        <v>56.0</v>
      </c>
      <c r="AH406" s="14">
        <v>122.0</v>
      </c>
      <c r="AI406" s="14">
        <v>144.0</v>
      </c>
      <c r="AJ406" s="14">
        <v>1.0</v>
      </c>
      <c r="AK406" s="14">
        <v>69.0</v>
      </c>
      <c r="AL406" s="14" t="s">
        <v>341</v>
      </c>
      <c r="AM406" s="14" t="s">
        <v>342</v>
      </c>
      <c r="AN406" s="14" t="s">
        <v>343</v>
      </c>
      <c r="AO406" s="14" t="s">
        <v>6468</v>
      </c>
      <c r="AP406" s="14" t="s">
        <v>6469</v>
      </c>
      <c r="AQ406" s="14" t="s">
        <v>99</v>
      </c>
      <c r="AR406" s="14" t="s">
        <v>6455</v>
      </c>
      <c r="AS406" s="14" t="s">
        <v>6470</v>
      </c>
      <c r="AT406" s="14" t="s">
        <v>640</v>
      </c>
      <c r="AU406" s="14">
        <v>2007.0</v>
      </c>
      <c r="AV406" s="14">
        <v>39.0</v>
      </c>
      <c r="AW406" s="14">
        <v>3.0</v>
      </c>
      <c r="AX406" s="14" t="s">
        <v>99</v>
      </c>
      <c r="AY406" s="14" t="s">
        <v>99</v>
      </c>
      <c r="AZ406" s="14" t="s">
        <v>99</v>
      </c>
      <c r="BA406" s="14" t="s">
        <v>99</v>
      </c>
      <c r="BB406" s="14">
        <v>348.0</v>
      </c>
      <c r="BC406" s="14">
        <v>354.0</v>
      </c>
      <c r="BD406" s="14" t="s">
        <v>99</v>
      </c>
      <c r="BE406" s="14" t="s">
        <v>8045</v>
      </c>
      <c r="BF406" s="15" t="str">
        <f>HYPERLINK("http://dx.doi.org/10.1111/j.1744-7429.2007.00276.x","http://dx.doi.org/10.1111/j.1744-7429.2007.00276.x")</f>
        <v>http://dx.doi.org/10.1111/j.1744-7429.2007.00276.x</v>
      </c>
      <c r="BG406" s="14" t="s">
        <v>99</v>
      </c>
      <c r="BH406" s="14" t="s">
        <v>99</v>
      </c>
      <c r="BI406" s="14">
        <v>7.0</v>
      </c>
      <c r="BJ406" s="14" t="s">
        <v>259</v>
      </c>
      <c r="BK406" s="14" t="s">
        <v>2311</v>
      </c>
      <c r="BL406" s="14" t="s">
        <v>260</v>
      </c>
      <c r="BM406" s="14" t="s">
        <v>8046</v>
      </c>
      <c r="BN406" s="14" t="s">
        <v>99</v>
      </c>
      <c r="BO406" s="14" t="s">
        <v>99</v>
      </c>
      <c r="BP406" s="14" t="s">
        <v>99</v>
      </c>
      <c r="BQ406" s="14" t="s">
        <v>99</v>
      </c>
      <c r="BR406" s="14" t="s">
        <v>124</v>
      </c>
      <c r="BS406" s="14" t="s">
        <v>8047</v>
      </c>
      <c r="BT406" s="14" t="str">
        <f>HYPERLINK("https%3A%2F%2Fwww.webofscience.com%2Fwos%2Fwoscc%2Ffull-record%2FWOS:000245939300007","View Full Record in Web of Science")</f>
        <v>View Full Record in Web of Science</v>
      </c>
    </row>
    <row r="407" ht="12.75" customHeight="1">
      <c r="A407" s="14" t="s">
        <v>97</v>
      </c>
      <c r="B407" s="14" t="s">
        <v>8048</v>
      </c>
      <c r="C407" s="14" t="s">
        <v>99</v>
      </c>
      <c r="D407" s="14" t="s">
        <v>99</v>
      </c>
      <c r="E407" s="14" t="s">
        <v>99</v>
      </c>
      <c r="F407" s="14" t="s">
        <v>8049</v>
      </c>
      <c r="G407" s="14" t="s">
        <v>99</v>
      </c>
      <c r="H407" s="14" t="s">
        <v>99</v>
      </c>
      <c r="I407" s="14" t="s">
        <v>8050</v>
      </c>
      <c r="J407" s="14" t="s">
        <v>6455</v>
      </c>
      <c r="K407" s="14" t="s">
        <v>99</v>
      </c>
      <c r="L407" s="14" t="s">
        <v>99</v>
      </c>
      <c r="M407" s="14" t="s">
        <v>103</v>
      </c>
      <c r="N407" s="14" t="s">
        <v>2284</v>
      </c>
      <c r="O407" s="14" t="s">
        <v>8034</v>
      </c>
      <c r="P407" s="14">
        <v>2005.0</v>
      </c>
      <c r="Q407" s="14" t="s">
        <v>8035</v>
      </c>
      <c r="R407" s="14" t="s">
        <v>8036</v>
      </c>
      <c r="S407" s="14" t="s">
        <v>99</v>
      </c>
      <c r="T407" s="14" t="s">
        <v>8051</v>
      </c>
      <c r="U407" s="14" t="s">
        <v>8052</v>
      </c>
      <c r="V407" s="14" t="s">
        <v>8053</v>
      </c>
      <c r="W407" s="14" t="s">
        <v>8054</v>
      </c>
      <c r="X407" s="14" t="s">
        <v>8055</v>
      </c>
      <c r="Y407" s="14" t="s">
        <v>8056</v>
      </c>
      <c r="Z407" s="14" t="s">
        <v>8057</v>
      </c>
      <c r="AA407" s="14" t="s">
        <v>8058</v>
      </c>
      <c r="AB407" s="14" t="s">
        <v>99</v>
      </c>
      <c r="AC407" s="14" t="s">
        <v>99</v>
      </c>
      <c r="AD407" s="14" t="s">
        <v>99</v>
      </c>
      <c r="AE407" s="14" t="s">
        <v>99</v>
      </c>
      <c r="AF407" s="14" t="s">
        <v>99</v>
      </c>
      <c r="AG407" s="14">
        <v>62.0</v>
      </c>
      <c r="AH407" s="14">
        <v>83.0</v>
      </c>
      <c r="AI407" s="14">
        <v>100.0</v>
      </c>
      <c r="AJ407" s="14">
        <v>1.0</v>
      </c>
      <c r="AK407" s="14">
        <v>45.0</v>
      </c>
      <c r="AL407" s="14" t="s">
        <v>341</v>
      </c>
      <c r="AM407" s="14" t="s">
        <v>342</v>
      </c>
      <c r="AN407" s="14" t="s">
        <v>343</v>
      </c>
      <c r="AO407" s="14" t="s">
        <v>6468</v>
      </c>
      <c r="AP407" s="14" t="s">
        <v>6469</v>
      </c>
      <c r="AQ407" s="14" t="s">
        <v>99</v>
      </c>
      <c r="AR407" s="14" t="s">
        <v>6455</v>
      </c>
      <c r="AS407" s="14" t="s">
        <v>6470</v>
      </c>
      <c r="AT407" s="14" t="s">
        <v>640</v>
      </c>
      <c r="AU407" s="14">
        <v>2007.0</v>
      </c>
      <c r="AV407" s="14">
        <v>39.0</v>
      </c>
      <c r="AW407" s="14">
        <v>3.0</v>
      </c>
      <c r="AX407" s="14" t="s">
        <v>99</v>
      </c>
      <c r="AY407" s="14" t="s">
        <v>99</v>
      </c>
      <c r="AZ407" s="14" t="s">
        <v>99</v>
      </c>
      <c r="BA407" s="14" t="s">
        <v>99</v>
      </c>
      <c r="BB407" s="14">
        <v>340.0</v>
      </c>
      <c r="BC407" s="14">
        <v>347.0</v>
      </c>
      <c r="BD407" s="14" t="s">
        <v>99</v>
      </c>
      <c r="BE407" s="14" t="s">
        <v>8059</v>
      </c>
      <c r="BF407" s="15" t="str">
        <f>HYPERLINK("http://dx.doi.org/10.1111/j.1744-7429.2007.00275.x","http://dx.doi.org/10.1111/j.1744-7429.2007.00275.x")</f>
        <v>http://dx.doi.org/10.1111/j.1744-7429.2007.00275.x</v>
      </c>
      <c r="BG407" s="14" t="s">
        <v>99</v>
      </c>
      <c r="BH407" s="14" t="s">
        <v>99</v>
      </c>
      <c r="BI407" s="14">
        <v>8.0</v>
      </c>
      <c r="BJ407" s="14" t="s">
        <v>259</v>
      </c>
      <c r="BK407" s="14" t="s">
        <v>2311</v>
      </c>
      <c r="BL407" s="14" t="s">
        <v>260</v>
      </c>
      <c r="BM407" s="14" t="s">
        <v>8046</v>
      </c>
      <c r="BN407" s="14" t="s">
        <v>99</v>
      </c>
      <c r="BO407" s="14" t="s">
        <v>99</v>
      </c>
      <c r="BP407" s="14" t="s">
        <v>99</v>
      </c>
      <c r="BQ407" s="14" t="s">
        <v>99</v>
      </c>
      <c r="BR407" s="14" t="s">
        <v>124</v>
      </c>
      <c r="BS407" s="14" t="s">
        <v>8060</v>
      </c>
      <c r="BT407" s="14" t="str">
        <f>HYPERLINK("https%3A%2F%2Fwww.webofscience.com%2Fwos%2Fwoscc%2Ffull-record%2FWOS:000245939300006","View Full Record in Web of Science")</f>
        <v>View Full Record in Web of Science</v>
      </c>
    </row>
    <row r="408" ht="12.75" customHeight="1">
      <c r="A408" s="14" t="s">
        <v>97</v>
      </c>
      <c r="B408" s="14" t="s">
        <v>8061</v>
      </c>
      <c r="C408" s="14" t="s">
        <v>99</v>
      </c>
      <c r="D408" s="14" t="s">
        <v>99</v>
      </c>
      <c r="E408" s="14" t="s">
        <v>99</v>
      </c>
      <c r="F408" s="14" t="s">
        <v>8062</v>
      </c>
      <c r="G408" s="14" t="s">
        <v>99</v>
      </c>
      <c r="H408" s="14" t="s">
        <v>99</v>
      </c>
      <c r="I408" s="14" t="s">
        <v>8063</v>
      </c>
      <c r="J408" s="14" t="s">
        <v>7984</v>
      </c>
      <c r="K408" s="14" t="s">
        <v>99</v>
      </c>
      <c r="L408" s="14" t="s">
        <v>99</v>
      </c>
      <c r="M408" s="14" t="s">
        <v>103</v>
      </c>
      <c r="N408" s="14" t="s">
        <v>104</v>
      </c>
      <c r="O408" s="14" t="s">
        <v>99</v>
      </c>
      <c r="P408" s="14" t="s">
        <v>99</v>
      </c>
      <c r="Q408" s="14" t="s">
        <v>99</v>
      </c>
      <c r="R408" s="14" t="s">
        <v>99</v>
      </c>
      <c r="S408" s="14" t="s">
        <v>99</v>
      </c>
      <c r="T408" s="14" t="s">
        <v>99</v>
      </c>
      <c r="U408" s="14" t="s">
        <v>8064</v>
      </c>
      <c r="V408" s="14" t="s">
        <v>8065</v>
      </c>
      <c r="W408" s="14" t="s">
        <v>8066</v>
      </c>
      <c r="X408" s="14" t="s">
        <v>8067</v>
      </c>
      <c r="Y408" s="14" t="s">
        <v>8068</v>
      </c>
      <c r="Z408" s="14" t="s">
        <v>8069</v>
      </c>
      <c r="AA408" s="14" t="s">
        <v>8070</v>
      </c>
      <c r="AB408" s="14" t="s">
        <v>8071</v>
      </c>
      <c r="AC408" s="14" t="s">
        <v>99</v>
      </c>
      <c r="AD408" s="14" t="s">
        <v>99</v>
      </c>
      <c r="AE408" s="14" t="s">
        <v>99</v>
      </c>
      <c r="AF408" s="14" t="s">
        <v>99</v>
      </c>
      <c r="AG408" s="14">
        <v>45.0</v>
      </c>
      <c r="AH408" s="14">
        <v>134.0</v>
      </c>
      <c r="AI408" s="14">
        <v>157.0</v>
      </c>
      <c r="AJ408" s="14">
        <v>0.0</v>
      </c>
      <c r="AK408" s="14">
        <v>97.0</v>
      </c>
      <c r="AL408" s="14" t="s">
        <v>2512</v>
      </c>
      <c r="AM408" s="14" t="s">
        <v>2513</v>
      </c>
      <c r="AN408" s="14" t="s">
        <v>2514</v>
      </c>
      <c r="AO408" s="14" t="s">
        <v>7993</v>
      </c>
      <c r="AP408" s="14" t="s">
        <v>7994</v>
      </c>
      <c r="AQ408" s="14" t="s">
        <v>99</v>
      </c>
      <c r="AR408" s="14" t="s">
        <v>7995</v>
      </c>
      <c r="AS408" s="14" t="s">
        <v>7996</v>
      </c>
      <c r="AT408" s="14" t="s">
        <v>718</v>
      </c>
      <c r="AU408" s="14">
        <v>2007.0</v>
      </c>
      <c r="AV408" s="14">
        <v>5.0</v>
      </c>
      <c r="AW408" s="14">
        <v>4.0</v>
      </c>
      <c r="AX408" s="14" t="s">
        <v>99</v>
      </c>
      <c r="AY408" s="14" t="s">
        <v>99</v>
      </c>
      <c r="AZ408" s="14" t="s">
        <v>99</v>
      </c>
      <c r="BA408" s="14" t="s">
        <v>99</v>
      </c>
      <c r="BB408" s="14">
        <v>945.0</v>
      </c>
      <c r="BC408" s="14">
        <v>953.0</v>
      </c>
      <c r="BD408" s="14" t="s">
        <v>8072</v>
      </c>
      <c r="BE408" s="14" t="s">
        <v>8073</v>
      </c>
      <c r="BF408" s="15" t="str">
        <f>HYPERLINK("http://dx.doi.org/10.1371/journal.pbio.0050111","http://dx.doi.org/10.1371/journal.pbio.0050111")</f>
        <v>http://dx.doi.org/10.1371/journal.pbio.0050111</v>
      </c>
      <c r="BG408" s="14" t="s">
        <v>99</v>
      </c>
      <c r="BH408" s="14" t="s">
        <v>99</v>
      </c>
      <c r="BI408" s="14">
        <v>9.0</v>
      </c>
      <c r="BJ408" s="14" t="s">
        <v>7999</v>
      </c>
      <c r="BK408" s="14" t="s">
        <v>122</v>
      </c>
      <c r="BL408" s="14" t="s">
        <v>8000</v>
      </c>
      <c r="BM408" s="14" t="s">
        <v>8074</v>
      </c>
      <c r="BN408" s="14">
        <v>1.7407383E7</v>
      </c>
      <c r="BO408" s="14" t="s">
        <v>3652</v>
      </c>
      <c r="BP408" s="14" t="s">
        <v>99</v>
      </c>
      <c r="BQ408" s="14" t="s">
        <v>99</v>
      </c>
      <c r="BR408" s="14" t="s">
        <v>124</v>
      </c>
      <c r="BS408" s="14" t="s">
        <v>8075</v>
      </c>
      <c r="BT408" s="14" t="str">
        <f>HYPERLINK("https%3A%2F%2Fwww.webofscience.com%2Fwos%2Fwoscc%2Ffull-record%2FWOS:000245901500025","View Full Record in Web of Science")</f>
        <v>View Full Record in Web of Science</v>
      </c>
    </row>
    <row r="409" ht="12.75" customHeight="1">
      <c r="A409" s="14" t="s">
        <v>97</v>
      </c>
      <c r="B409" s="14" t="s">
        <v>8076</v>
      </c>
      <c r="C409" s="14" t="s">
        <v>99</v>
      </c>
      <c r="D409" s="14" t="s">
        <v>99</v>
      </c>
      <c r="E409" s="14" t="s">
        <v>99</v>
      </c>
      <c r="F409" s="14" t="s">
        <v>8077</v>
      </c>
      <c r="G409" s="14" t="s">
        <v>99</v>
      </c>
      <c r="H409" s="14" t="s">
        <v>99</v>
      </c>
      <c r="I409" s="14" t="s">
        <v>8078</v>
      </c>
      <c r="J409" s="14" t="s">
        <v>1580</v>
      </c>
      <c r="K409" s="14" t="s">
        <v>99</v>
      </c>
      <c r="L409" s="14" t="s">
        <v>99</v>
      </c>
      <c r="M409" s="14" t="s">
        <v>103</v>
      </c>
      <c r="N409" s="14" t="s">
        <v>104</v>
      </c>
      <c r="O409" s="14" t="s">
        <v>99</v>
      </c>
      <c r="P409" s="14" t="s">
        <v>99</v>
      </c>
      <c r="Q409" s="14" t="s">
        <v>99</v>
      </c>
      <c r="R409" s="14" t="s">
        <v>99</v>
      </c>
      <c r="S409" s="14" t="s">
        <v>99</v>
      </c>
      <c r="T409" s="14" t="s">
        <v>8079</v>
      </c>
      <c r="U409" s="14" t="s">
        <v>8080</v>
      </c>
      <c r="V409" s="14" t="s">
        <v>8081</v>
      </c>
      <c r="W409" s="14" t="s">
        <v>8082</v>
      </c>
      <c r="X409" s="14" t="s">
        <v>8083</v>
      </c>
      <c r="Y409" s="14" t="s">
        <v>8084</v>
      </c>
      <c r="Z409" s="14" t="s">
        <v>8085</v>
      </c>
      <c r="AA409" s="14" t="s">
        <v>8086</v>
      </c>
      <c r="AB409" s="14" t="s">
        <v>99</v>
      </c>
      <c r="AC409" s="14" t="s">
        <v>99</v>
      </c>
      <c r="AD409" s="14" t="s">
        <v>99</v>
      </c>
      <c r="AE409" s="14" t="s">
        <v>99</v>
      </c>
      <c r="AF409" s="14" t="s">
        <v>99</v>
      </c>
      <c r="AG409" s="14">
        <v>23.0</v>
      </c>
      <c r="AH409" s="14">
        <v>28.0</v>
      </c>
      <c r="AI409" s="14">
        <v>33.0</v>
      </c>
      <c r="AJ409" s="14">
        <v>0.0</v>
      </c>
      <c r="AK409" s="14">
        <v>31.0</v>
      </c>
      <c r="AL409" s="14" t="s">
        <v>1593</v>
      </c>
      <c r="AM409" s="14" t="s">
        <v>1594</v>
      </c>
      <c r="AN409" s="14" t="s">
        <v>1595</v>
      </c>
      <c r="AO409" s="14" t="s">
        <v>1596</v>
      </c>
      <c r="AP409" s="14" t="s">
        <v>1597</v>
      </c>
      <c r="AQ409" s="14" t="s">
        <v>99</v>
      </c>
      <c r="AR409" s="14" t="s">
        <v>1580</v>
      </c>
      <c r="AS409" s="14" t="s">
        <v>1598</v>
      </c>
      <c r="AT409" s="14" t="s">
        <v>718</v>
      </c>
      <c r="AU409" s="14">
        <v>2007.0</v>
      </c>
      <c r="AV409" s="14">
        <v>41.0</v>
      </c>
      <c r="AW409" s="14">
        <v>2.0</v>
      </c>
      <c r="AX409" s="14" t="s">
        <v>99</v>
      </c>
      <c r="AY409" s="14" t="s">
        <v>99</v>
      </c>
      <c r="AZ409" s="14" t="s">
        <v>99</v>
      </c>
      <c r="BA409" s="14" t="s">
        <v>99</v>
      </c>
      <c r="BB409" s="14">
        <v>263.0</v>
      </c>
      <c r="BC409" s="14">
        <v>271.0</v>
      </c>
      <c r="BD409" s="14" t="s">
        <v>99</v>
      </c>
      <c r="BE409" s="14" t="s">
        <v>8087</v>
      </c>
      <c r="BF409" s="15" t="str">
        <f>HYPERLINK("http://dx.doi.org/10.1017/S0030605307001883","http://dx.doi.org/10.1017/S0030605307001883")</f>
        <v>http://dx.doi.org/10.1017/S0030605307001883</v>
      </c>
      <c r="BG409" s="14" t="s">
        <v>99</v>
      </c>
      <c r="BH409" s="14" t="s">
        <v>99</v>
      </c>
      <c r="BI409" s="14">
        <v>9.0</v>
      </c>
      <c r="BJ409" s="14" t="s">
        <v>550</v>
      </c>
      <c r="BK409" s="14" t="s">
        <v>122</v>
      </c>
      <c r="BL409" s="14" t="s">
        <v>352</v>
      </c>
      <c r="BM409" s="14" t="s">
        <v>8088</v>
      </c>
      <c r="BN409" s="14" t="s">
        <v>99</v>
      </c>
      <c r="BO409" s="14" t="s">
        <v>238</v>
      </c>
      <c r="BP409" s="14" t="s">
        <v>99</v>
      </c>
      <c r="BQ409" s="14" t="s">
        <v>99</v>
      </c>
      <c r="BR409" s="14" t="s">
        <v>124</v>
      </c>
      <c r="BS409" s="14" t="s">
        <v>8089</v>
      </c>
      <c r="BT409" s="14" t="str">
        <f>HYPERLINK("https%3A%2F%2Fwww.webofscience.com%2Fwos%2Fwoscc%2Ffull-record%2FWOS:000247440700024","View Full Record in Web of Science")</f>
        <v>View Full Record in Web of Science</v>
      </c>
    </row>
    <row r="410" ht="12.75" customHeight="1">
      <c r="A410" s="14" t="s">
        <v>97</v>
      </c>
      <c r="B410" s="14" t="s">
        <v>8090</v>
      </c>
      <c r="C410" s="14" t="s">
        <v>99</v>
      </c>
      <c r="D410" s="14" t="s">
        <v>99</v>
      </c>
      <c r="E410" s="14" t="s">
        <v>99</v>
      </c>
      <c r="F410" s="14" t="s">
        <v>8091</v>
      </c>
      <c r="G410" s="14" t="s">
        <v>99</v>
      </c>
      <c r="H410" s="14" t="s">
        <v>99</v>
      </c>
      <c r="I410" s="14" t="s">
        <v>8092</v>
      </c>
      <c r="J410" s="14" t="s">
        <v>8093</v>
      </c>
      <c r="K410" s="14" t="s">
        <v>99</v>
      </c>
      <c r="L410" s="14" t="s">
        <v>99</v>
      </c>
      <c r="M410" s="14" t="s">
        <v>103</v>
      </c>
      <c r="N410" s="14" t="s">
        <v>104</v>
      </c>
      <c r="O410" s="14" t="s">
        <v>99</v>
      </c>
      <c r="P410" s="14" t="s">
        <v>99</v>
      </c>
      <c r="Q410" s="14" t="s">
        <v>99</v>
      </c>
      <c r="R410" s="14" t="s">
        <v>99</v>
      </c>
      <c r="S410" s="14" t="s">
        <v>99</v>
      </c>
      <c r="T410" s="14" t="s">
        <v>8094</v>
      </c>
      <c r="U410" s="14" t="s">
        <v>8095</v>
      </c>
      <c r="V410" s="14" t="s">
        <v>8096</v>
      </c>
      <c r="W410" s="14" t="s">
        <v>8097</v>
      </c>
      <c r="X410" s="14" t="s">
        <v>8098</v>
      </c>
      <c r="Y410" s="14" t="s">
        <v>8099</v>
      </c>
      <c r="Z410" s="14" t="s">
        <v>8100</v>
      </c>
      <c r="AA410" s="14" t="s">
        <v>8101</v>
      </c>
      <c r="AB410" s="14" t="s">
        <v>8102</v>
      </c>
      <c r="AC410" s="14" t="s">
        <v>99</v>
      </c>
      <c r="AD410" s="14" t="s">
        <v>99</v>
      </c>
      <c r="AE410" s="14" t="s">
        <v>99</v>
      </c>
      <c r="AF410" s="14" t="s">
        <v>99</v>
      </c>
      <c r="AG410" s="14">
        <v>45.0</v>
      </c>
      <c r="AH410" s="14">
        <v>19.0</v>
      </c>
      <c r="AI410" s="14">
        <v>24.0</v>
      </c>
      <c r="AJ410" s="14">
        <v>0.0</v>
      </c>
      <c r="AK410" s="14">
        <v>49.0</v>
      </c>
      <c r="AL410" s="14" t="s">
        <v>161</v>
      </c>
      <c r="AM410" s="14" t="s">
        <v>162</v>
      </c>
      <c r="AN410" s="14" t="s">
        <v>8103</v>
      </c>
      <c r="AO410" s="14" t="s">
        <v>8104</v>
      </c>
      <c r="AP410" s="14" t="s">
        <v>99</v>
      </c>
      <c r="AQ410" s="14" t="s">
        <v>99</v>
      </c>
      <c r="AR410" s="14" t="s">
        <v>8105</v>
      </c>
      <c r="AS410" s="14" t="s">
        <v>8106</v>
      </c>
      <c r="AT410" s="14" t="s">
        <v>4313</v>
      </c>
      <c r="AU410" s="14">
        <v>2007.0</v>
      </c>
      <c r="AV410" s="14">
        <v>10.0</v>
      </c>
      <c r="AW410" s="14">
        <v>2.0</v>
      </c>
      <c r="AX410" s="14" t="s">
        <v>99</v>
      </c>
      <c r="AY410" s="14" t="s">
        <v>99</v>
      </c>
      <c r="AZ410" s="14" t="s">
        <v>99</v>
      </c>
      <c r="BA410" s="14" t="s">
        <v>99</v>
      </c>
      <c r="BB410" s="14">
        <v>140.0</v>
      </c>
      <c r="BC410" s="14">
        <v>152.0</v>
      </c>
      <c r="BD410" s="14" t="s">
        <v>99</v>
      </c>
      <c r="BE410" s="14" t="s">
        <v>8107</v>
      </c>
      <c r="BF410" s="15" t="str">
        <f>HYPERLINK("http://dx.doi.org/10.1080/14634980701350686","http://dx.doi.org/10.1080/14634980701350686")</f>
        <v>http://dx.doi.org/10.1080/14634980701350686</v>
      </c>
      <c r="BG410" s="14" t="s">
        <v>99</v>
      </c>
      <c r="BH410" s="14" t="s">
        <v>99</v>
      </c>
      <c r="BI410" s="14">
        <v>13.0</v>
      </c>
      <c r="BJ410" s="14" t="s">
        <v>8108</v>
      </c>
      <c r="BK410" s="14" t="s">
        <v>122</v>
      </c>
      <c r="BL410" s="14" t="s">
        <v>845</v>
      </c>
      <c r="BM410" s="14" t="s">
        <v>8109</v>
      </c>
      <c r="BN410" s="14" t="s">
        <v>99</v>
      </c>
      <c r="BO410" s="14" t="s">
        <v>99</v>
      </c>
      <c r="BP410" s="14" t="s">
        <v>99</v>
      </c>
      <c r="BQ410" s="14" t="s">
        <v>99</v>
      </c>
      <c r="BR410" s="14" t="s">
        <v>124</v>
      </c>
      <c r="BS410" s="14" t="s">
        <v>8110</v>
      </c>
      <c r="BT410" s="14" t="str">
        <f>HYPERLINK("https%3A%2F%2Fwww.webofscience.com%2Fwos%2Fwoscc%2Ffull-record%2FWOS:000247870000003","View Full Record in Web of Science")</f>
        <v>View Full Record in Web of Science</v>
      </c>
    </row>
    <row r="411" ht="12.75" customHeight="1">
      <c r="A411" s="14" t="s">
        <v>97</v>
      </c>
      <c r="B411" s="14" t="s">
        <v>8111</v>
      </c>
      <c r="C411" s="14" t="s">
        <v>99</v>
      </c>
      <c r="D411" s="14" t="s">
        <v>99</v>
      </c>
      <c r="E411" s="14" t="s">
        <v>99</v>
      </c>
      <c r="F411" s="14" t="s">
        <v>8112</v>
      </c>
      <c r="G411" s="14" t="s">
        <v>99</v>
      </c>
      <c r="H411" s="14" t="s">
        <v>99</v>
      </c>
      <c r="I411" s="14" t="s">
        <v>8113</v>
      </c>
      <c r="J411" s="14" t="s">
        <v>430</v>
      </c>
      <c r="K411" s="14" t="s">
        <v>99</v>
      </c>
      <c r="L411" s="14" t="s">
        <v>99</v>
      </c>
      <c r="M411" s="14" t="s">
        <v>103</v>
      </c>
      <c r="N411" s="14" t="s">
        <v>104</v>
      </c>
      <c r="O411" s="14" t="s">
        <v>99</v>
      </c>
      <c r="P411" s="14" t="s">
        <v>99</v>
      </c>
      <c r="Q411" s="14" t="s">
        <v>99</v>
      </c>
      <c r="R411" s="14" t="s">
        <v>99</v>
      </c>
      <c r="S411" s="14" t="s">
        <v>99</v>
      </c>
      <c r="T411" s="14" t="s">
        <v>8114</v>
      </c>
      <c r="U411" s="14" t="s">
        <v>8115</v>
      </c>
      <c r="V411" s="14" t="s">
        <v>8116</v>
      </c>
      <c r="W411" s="14" t="s">
        <v>8117</v>
      </c>
      <c r="X411" s="14" t="s">
        <v>8118</v>
      </c>
      <c r="Y411" s="14" t="s">
        <v>8119</v>
      </c>
      <c r="Z411" s="14" t="s">
        <v>8120</v>
      </c>
      <c r="AA411" s="14" t="s">
        <v>8121</v>
      </c>
      <c r="AB411" s="14" t="s">
        <v>99</v>
      </c>
      <c r="AC411" s="14" t="s">
        <v>99</v>
      </c>
      <c r="AD411" s="14" t="s">
        <v>99</v>
      </c>
      <c r="AE411" s="14" t="s">
        <v>99</v>
      </c>
      <c r="AF411" s="14" t="s">
        <v>99</v>
      </c>
      <c r="AG411" s="14">
        <v>78.0</v>
      </c>
      <c r="AH411" s="14">
        <v>40.0</v>
      </c>
      <c r="AI411" s="14">
        <v>62.0</v>
      </c>
      <c r="AJ411" s="14">
        <v>2.0</v>
      </c>
      <c r="AK411" s="14">
        <v>77.0</v>
      </c>
      <c r="AL411" s="14" t="s">
        <v>441</v>
      </c>
      <c r="AM411" s="14" t="s">
        <v>442</v>
      </c>
      <c r="AN411" s="14" t="s">
        <v>443</v>
      </c>
      <c r="AO411" s="14" t="s">
        <v>444</v>
      </c>
      <c r="AP411" s="14" t="s">
        <v>445</v>
      </c>
      <c r="AQ411" s="14" t="s">
        <v>99</v>
      </c>
      <c r="AR411" s="14" t="s">
        <v>446</v>
      </c>
      <c r="AS411" s="14" t="s">
        <v>447</v>
      </c>
      <c r="AT411" s="14" t="s">
        <v>8122</v>
      </c>
      <c r="AU411" s="14">
        <v>2007.0</v>
      </c>
      <c r="AV411" s="14">
        <v>240.0</v>
      </c>
      <c r="AW411" s="14" t="s">
        <v>8123</v>
      </c>
      <c r="AX411" s="14" t="s">
        <v>99</v>
      </c>
      <c r="AY411" s="14" t="s">
        <v>99</v>
      </c>
      <c r="AZ411" s="14" t="s">
        <v>99</v>
      </c>
      <c r="BA411" s="14" t="s">
        <v>99</v>
      </c>
      <c r="BB411" s="14">
        <v>165.0</v>
      </c>
      <c r="BC411" s="14">
        <v>177.0</v>
      </c>
      <c r="BD411" s="14" t="s">
        <v>99</v>
      </c>
      <c r="BE411" s="14" t="s">
        <v>8124</v>
      </c>
      <c r="BF411" s="15" t="str">
        <f>HYPERLINK("http://dx.doi.org/10.1016/j.foreco.2006.12.019","http://dx.doi.org/10.1016/j.foreco.2006.12.019")</f>
        <v>http://dx.doi.org/10.1016/j.foreco.2006.12.019</v>
      </c>
      <c r="BG411" s="14" t="s">
        <v>99</v>
      </c>
      <c r="BH411" s="14" t="s">
        <v>99</v>
      </c>
      <c r="BI411" s="14">
        <v>13.0</v>
      </c>
      <c r="BJ411" s="14" t="s">
        <v>281</v>
      </c>
      <c r="BK411" s="14" t="s">
        <v>122</v>
      </c>
      <c r="BL411" s="14" t="s">
        <v>281</v>
      </c>
      <c r="BM411" s="14" t="s">
        <v>8125</v>
      </c>
      <c r="BN411" s="14" t="s">
        <v>99</v>
      </c>
      <c r="BO411" s="14" t="s">
        <v>99</v>
      </c>
      <c r="BP411" s="14" t="s">
        <v>99</v>
      </c>
      <c r="BQ411" s="14" t="s">
        <v>99</v>
      </c>
      <c r="BR411" s="14" t="s">
        <v>124</v>
      </c>
      <c r="BS411" s="14" t="s">
        <v>8126</v>
      </c>
      <c r="BT411" s="14" t="str">
        <f>HYPERLINK("https%3A%2F%2Fwww.webofscience.com%2Fwos%2Fwoscc%2Ffull-record%2FWOS:000244795600017","View Full Record in Web of Science")</f>
        <v>View Full Record in Web of Science</v>
      </c>
    </row>
    <row r="412" ht="12.75" customHeight="1">
      <c r="A412" s="14" t="s">
        <v>97</v>
      </c>
      <c r="B412" s="14" t="s">
        <v>8127</v>
      </c>
      <c r="C412" s="14" t="s">
        <v>99</v>
      </c>
      <c r="D412" s="14" t="s">
        <v>99</v>
      </c>
      <c r="E412" s="14" t="s">
        <v>99</v>
      </c>
      <c r="F412" s="14" t="s">
        <v>8128</v>
      </c>
      <c r="G412" s="14" t="s">
        <v>99</v>
      </c>
      <c r="H412" s="14" t="s">
        <v>99</v>
      </c>
      <c r="I412" s="14" t="s">
        <v>8129</v>
      </c>
      <c r="J412" s="14" t="s">
        <v>3575</v>
      </c>
      <c r="K412" s="14" t="s">
        <v>99</v>
      </c>
      <c r="L412" s="14" t="s">
        <v>99</v>
      </c>
      <c r="M412" s="14" t="s">
        <v>103</v>
      </c>
      <c r="N412" s="14" t="s">
        <v>104</v>
      </c>
      <c r="O412" s="14" t="s">
        <v>99</v>
      </c>
      <c r="P412" s="14" t="s">
        <v>99</v>
      </c>
      <c r="Q412" s="14" t="s">
        <v>99</v>
      </c>
      <c r="R412" s="14" t="s">
        <v>99</v>
      </c>
      <c r="S412" s="14" t="s">
        <v>99</v>
      </c>
      <c r="T412" s="14" t="s">
        <v>8130</v>
      </c>
      <c r="U412" s="14" t="s">
        <v>8131</v>
      </c>
      <c r="V412" s="14" t="s">
        <v>8132</v>
      </c>
      <c r="W412" s="14" t="s">
        <v>8133</v>
      </c>
      <c r="X412" s="14" t="s">
        <v>8134</v>
      </c>
      <c r="Y412" s="14" t="s">
        <v>8135</v>
      </c>
      <c r="Z412" s="14" t="s">
        <v>8136</v>
      </c>
      <c r="AA412" s="14" t="s">
        <v>8137</v>
      </c>
      <c r="AB412" s="14" t="s">
        <v>8138</v>
      </c>
      <c r="AC412" s="14" t="s">
        <v>99</v>
      </c>
      <c r="AD412" s="14" t="s">
        <v>99</v>
      </c>
      <c r="AE412" s="14" t="s">
        <v>99</v>
      </c>
      <c r="AF412" s="14" t="s">
        <v>99</v>
      </c>
      <c r="AG412" s="14">
        <v>77.0</v>
      </c>
      <c r="AH412" s="14">
        <v>105.0</v>
      </c>
      <c r="AI412" s="14">
        <v>114.0</v>
      </c>
      <c r="AJ412" s="14">
        <v>0.0</v>
      </c>
      <c r="AK412" s="14">
        <v>69.0</v>
      </c>
      <c r="AL412" s="14" t="s">
        <v>1731</v>
      </c>
      <c r="AM412" s="14" t="s">
        <v>1594</v>
      </c>
      <c r="AN412" s="14" t="s">
        <v>3585</v>
      </c>
      <c r="AO412" s="14" t="s">
        <v>3586</v>
      </c>
      <c r="AP412" s="14" t="s">
        <v>3587</v>
      </c>
      <c r="AQ412" s="14" t="s">
        <v>99</v>
      </c>
      <c r="AR412" s="14" t="s">
        <v>3575</v>
      </c>
      <c r="AS412" s="14" t="s">
        <v>3588</v>
      </c>
      <c r="AT412" s="14" t="s">
        <v>1485</v>
      </c>
      <c r="AU412" s="14">
        <v>2007.0</v>
      </c>
      <c r="AV412" s="14">
        <v>151.0</v>
      </c>
      <c r="AW412" s="14">
        <v>3.0</v>
      </c>
      <c r="AX412" s="14" t="s">
        <v>99</v>
      </c>
      <c r="AY412" s="14" t="s">
        <v>99</v>
      </c>
      <c r="AZ412" s="14" t="s">
        <v>99</v>
      </c>
      <c r="BA412" s="14" t="s">
        <v>99</v>
      </c>
      <c r="BB412" s="14">
        <v>544.0</v>
      </c>
      <c r="BC412" s="14">
        <v>559.0</v>
      </c>
      <c r="BD412" s="14" t="s">
        <v>99</v>
      </c>
      <c r="BE412" s="14" t="s">
        <v>8139</v>
      </c>
      <c r="BF412" s="15" t="str">
        <f>HYPERLINK("http://dx.doi.org/10.1007/s00442-006-0655-1","http://dx.doi.org/10.1007/s00442-006-0655-1")</f>
        <v>http://dx.doi.org/10.1007/s00442-006-0655-1</v>
      </c>
      <c r="BG412" s="14" t="s">
        <v>99</v>
      </c>
      <c r="BH412" s="14" t="s">
        <v>99</v>
      </c>
      <c r="BI412" s="14">
        <v>16.0</v>
      </c>
      <c r="BJ412" s="14" t="s">
        <v>259</v>
      </c>
      <c r="BK412" s="14" t="s">
        <v>122</v>
      </c>
      <c r="BL412" s="14" t="s">
        <v>260</v>
      </c>
      <c r="BM412" s="14" t="s">
        <v>8140</v>
      </c>
      <c r="BN412" s="14">
        <v>1.7242905E7</v>
      </c>
      <c r="BO412" s="14" t="s">
        <v>99</v>
      </c>
      <c r="BP412" s="14" t="s">
        <v>99</v>
      </c>
      <c r="BQ412" s="14" t="s">
        <v>99</v>
      </c>
      <c r="BR412" s="14" t="s">
        <v>124</v>
      </c>
      <c r="BS412" s="14" t="s">
        <v>8141</v>
      </c>
      <c r="BT412" s="14" t="str">
        <f>HYPERLINK("https%3A%2F%2Fwww.webofscience.com%2Fwos%2Fwoscc%2Ffull-record%2FWOS:000244692700016","View Full Record in Web of Science")</f>
        <v>View Full Record in Web of Science</v>
      </c>
    </row>
    <row r="413" ht="12.75" customHeight="1">
      <c r="A413" s="14" t="s">
        <v>97</v>
      </c>
      <c r="B413" s="14" t="s">
        <v>8142</v>
      </c>
      <c r="C413" s="14" t="s">
        <v>99</v>
      </c>
      <c r="D413" s="14" t="s">
        <v>99</v>
      </c>
      <c r="E413" s="14" t="s">
        <v>99</v>
      </c>
      <c r="F413" s="14" t="s">
        <v>8143</v>
      </c>
      <c r="G413" s="14" t="s">
        <v>99</v>
      </c>
      <c r="H413" s="14" t="s">
        <v>99</v>
      </c>
      <c r="I413" s="14" t="s">
        <v>8144</v>
      </c>
      <c r="J413" s="14" t="s">
        <v>1721</v>
      </c>
      <c r="K413" s="14" t="s">
        <v>99</v>
      </c>
      <c r="L413" s="14" t="s">
        <v>99</v>
      </c>
      <c r="M413" s="14" t="s">
        <v>103</v>
      </c>
      <c r="N413" s="14" t="s">
        <v>104</v>
      </c>
      <c r="O413" s="14" t="s">
        <v>99</v>
      </c>
      <c r="P413" s="14" t="s">
        <v>99</v>
      </c>
      <c r="Q413" s="14" t="s">
        <v>99</v>
      </c>
      <c r="R413" s="14" t="s">
        <v>99</v>
      </c>
      <c r="S413" s="14" t="s">
        <v>99</v>
      </c>
      <c r="T413" s="14" t="s">
        <v>8145</v>
      </c>
      <c r="U413" s="14" t="s">
        <v>8146</v>
      </c>
      <c r="V413" s="14" t="s">
        <v>8147</v>
      </c>
      <c r="W413" s="14" t="s">
        <v>8148</v>
      </c>
      <c r="X413" s="14" t="s">
        <v>8149</v>
      </c>
      <c r="Y413" s="14" t="s">
        <v>8150</v>
      </c>
      <c r="Z413" s="14" t="s">
        <v>8151</v>
      </c>
      <c r="AA413" s="14" t="s">
        <v>8152</v>
      </c>
      <c r="AB413" s="14" t="s">
        <v>8153</v>
      </c>
      <c r="AC413" s="14" t="s">
        <v>99</v>
      </c>
      <c r="AD413" s="14" t="s">
        <v>99</v>
      </c>
      <c r="AE413" s="14" t="s">
        <v>99</v>
      </c>
      <c r="AF413" s="14" t="s">
        <v>99</v>
      </c>
      <c r="AG413" s="14">
        <v>45.0</v>
      </c>
      <c r="AH413" s="14">
        <v>69.0</v>
      </c>
      <c r="AI413" s="14">
        <v>114.0</v>
      </c>
      <c r="AJ413" s="14">
        <v>0.0</v>
      </c>
      <c r="AK413" s="14">
        <v>35.0</v>
      </c>
      <c r="AL413" s="14" t="s">
        <v>1731</v>
      </c>
      <c r="AM413" s="14" t="s">
        <v>1732</v>
      </c>
      <c r="AN413" s="14" t="s">
        <v>1733</v>
      </c>
      <c r="AO413" s="14" t="s">
        <v>1734</v>
      </c>
      <c r="AP413" s="14" t="s">
        <v>1735</v>
      </c>
      <c r="AQ413" s="14" t="s">
        <v>99</v>
      </c>
      <c r="AR413" s="14" t="s">
        <v>1736</v>
      </c>
      <c r="AS413" s="14" t="s">
        <v>1737</v>
      </c>
      <c r="AT413" s="14" t="s">
        <v>1485</v>
      </c>
      <c r="AU413" s="14">
        <v>2007.0</v>
      </c>
      <c r="AV413" s="14">
        <v>16.0</v>
      </c>
      <c r="AW413" s="14">
        <v>3.0</v>
      </c>
      <c r="AX413" s="14" t="s">
        <v>99</v>
      </c>
      <c r="AY413" s="14" t="s">
        <v>99</v>
      </c>
      <c r="AZ413" s="14" t="s">
        <v>99</v>
      </c>
      <c r="BA413" s="14" t="s">
        <v>99</v>
      </c>
      <c r="BB413" s="14">
        <v>743.0</v>
      </c>
      <c r="BC413" s="14">
        <v>756.0</v>
      </c>
      <c r="BD413" s="14" t="s">
        <v>99</v>
      </c>
      <c r="BE413" s="14" t="s">
        <v>8154</v>
      </c>
      <c r="BF413" s="15" t="str">
        <f>HYPERLINK("http://dx.doi.org/10.1007/s10531-005-6198-7","http://dx.doi.org/10.1007/s10531-005-6198-7")</f>
        <v>http://dx.doi.org/10.1007/s10531-005-6198-7</v>
      </c>
      <c r="BG413" s="14" t="s">
        <v>99</v>
      </c>
      <c r="BH413" s="14" t="s">
        <v>99</v>
      </c>
      <c r="BI413" s="14">
        <v>14.0</v>
      </c>
      <c r="BJ413" s="14" t="s">
        <v>351</v>
      </c>
      <c r="BK413" s="14" t="s">
        <v>122</v>
      </c>
      <c r="BL413" s="14" t="s">
        <v>352</v>
      </c>
      <c r="BM413" s="14" t="s">
        <v>8155</v>
      </c>
      <c r="BN413" s="14" t="s">
        <v>99</v>
      </c>
      <c r="BO413" s="14" t="s">
        <v>99</v>
      </c>
      <c r="BP413" s="14" t="s">
        <v>99</v>
      </c>
      <c r="BQ413" s="14" t="s">
        <v>99</v>
      </c>
      <c r="BR413" s="14" t="s">
        <v>124</v>
      </c>
      <c r="BS413" s="14" t="s">
        <v>8156</v>
      </c>
      <c r="BT413" s="14" t="str">
        <f>HYPERLINK("https%3A%2F%2Fwww.webofscience.com%2Fwos%2Fwoscc%2Ffull-record%2FWOS:000244684700011","View Full Record in Web of Science")</f>
        <v>View Full Record in Web of Science</v>
      </c>
    </row>
    <row r="414" ht="12.75" customHeight="1">
      <c r="A414" s="14" t="s">
        <v>97</v>
      </c>
      <c r="B414" s="14" t="s">
        <v>8157</v>
      </c>
      <c r="C414" s="14" t="s">
        <v>99</v>
      </c>
      <c r="D414" s="14" t="s">
        <v>99</v>
      </c>
      <c r="E414" s="14" t="s">
        <v>99</v>
      </c>
      <c r="F414" s="14" t="s">
        <v>8158</v>
      </c>
      <c r="G414" s="14" t="s">
        <v>99</v>
      </c>
      <c r="H414" s="14" t="s">
        <v>99</v>
      </c>
      <c r="I414" s="14" t="s">
        <v>8159</v>
      </c>
      <c r="J414" s="14" t="s">
        <v>2060</v>
      </c>
      <c r="K414" s="14" t="s">
        <v>99</v>
      </c>
      <c r="L414" s="14" t="s">
        <v>99</v>
      </c>
      <c r="M414" s="14" t="s">
        <v>103</v>
      </c>
      <c r="N414" s="14" t="s">
        <v>104</v>
      </c>
      <c r="O414" s="14" t="s">
        <v>99</v>
      </c>
      <c r="P414" s="14" t="s">
        <v>99</v>
      </c>
      <c r="Q414" s="14" t="s">
        <v>99</v>
      </c>
      <c r="R414" s="14" t="s">
        <v>99</v>
      </c>
      <c r="S414" s="14" t="s">
        <v>99</v>
      </c>
      <c r="T414" s="14" t="s">
        <v>8160</v>
      </c>
      <c r="U414" s="14" t="s">
        <v>8161</v>
      </c>
      <c r="V414" s="14" t="s">
        <v>8162</v>
      </c>
      <c r="W414" s="14" t="s">
        <v>8163</v>
      </c>
      <c r="X414" s="14" t="s">
        <v>8164</v>
      </c>
      <c r="Y414" s="14" t="s">
        <v>8165</v>
      </c>
      <c r="Z414" s="14" t="s">
        <v>8166</v>
      </c>
      <c r="AA414" s="14" t="s">
        <v>8167</v>
      </c>
      <c r="AB414" s="14" t="s">
        <v>8168</v>
      </c>
      <c r="AC414" s="14" t="s">
        <v>99</v>
      </c>
      <c r="AD414" s="14" t="s">
        <v>99</v>
      </c>
      <c r="AE414" s="14" t="s">
        <v>99</v>
      </c>
      <c r="AF414" s="14" t="s">
        <v>99</v>
      </c>
      <c r="AG414" s="14">
        <v>55.0</v>
      </c>
      <c r="AH414" s="14">
        <v>58.0</v>
      </c>
      <c r="AI414" s="14">
        <v>62.0</v>
      </c>
      <c r="AJ414" s="14">
        <v>0.0</v>
      </c>
      <c r="AK414" s="14">
        <v>20.0</v>
      </c>
      <c r="AL414" s="14" t="s">
        <v>2073</v>
      </c>
      <c r="AM414" s="14" t="s">
        <v>274</v>
      </c>
      <c r="AN414" s="14" t="s">
        <v>2074</v>
      </c>
      <c r="AO414" s="14" t="s">
        <v>2075</v>
      </c>
      <c r="AP414" s="14" t="s">
        <v>2076</v>
      </c>
      <c r="AQ414" s="14" t="s">
        <v>99</v>
      </c>
      <c r="AR414" s="14" t="s">
        <v>2077</v>
      </c>
      <c r="AS414" s="14" t="s">
        <v>2078</v>
      </c>
      <c r="AT414" s="14" t="s">
        <v>280</v>
      </c>
      <c r="AU414" s="14">
        <v>2007.0</v>
      </c>
      <c r="AV414" s="14">
        <v>71.0</v>
      </c>
      <c r="AW414" s="14" t="s">
        <v>5620</v>
      </c>
      <c r="AX414" s="14" t="s">
        <v>99</v>
      </c>
      <c r="AY414" s="14" t="s">
        <v>99</v>
      </c>
      <c r="AZ414" s="14" t="s">
        <v>99</v>
      </c>
      <c r="BA414" s="14" t="s">
        <v>99</v>
      </c>
      <c r="BB414" s="14">
        <v>429.0</v>
      </c>
      <c r="BC414" s="14">
        <v>442.0</v>
      </c>
      <c r="BD414" s="14" t="s">
        <v>99</v>
      </c>
      <c r="BE414" s="14" t="s">
        <v>8169</v>
      </c>
      <c r="BF414" s="15" t="str">
        <f>HYPERLINK("http://dx.doi.org/10.1016/j.ecss.2006.08.018","http://dx.doi.org/10.1016/j.ecss.2006.08.018")</f>
        <v>http://dx.doi.org/10.1016/j.ecss.2006.08.018</v>
      </c>
      <c r="BG414" s="14" t="s">
        <v>99</v>
      </c>
      <c r="BH414" s="14" t="s">
        <v>99</v>
      </c>
      <c r="BI414" s="14">
        <v>14.0</v>
      </c>
      <c r="BJ414" s="14" t="s">
        <v>720</v>
      </c>
      <c r="BK414" s="14" t="s">
        <v>122</v>
      </c>
      <c r="BL414" s="14" t="s">
        <v>720</v>
      </c>
      <c r="BM414" s="14" t="s">
        <v>8170</v>
      </c>
      <c r="BN414" s="14" t="s">
        <v>99</v>
      </c>
      <c r="BO414" s="14" t="s">
        <v>99</v>
      </c>
      <c r="BP414" s="14" t="s">
        <v>99</v>
      </c>
      <c r="BQ414" s="14" t="s">
        <v>99</v>
      </c>
      <c r="BR414" s="14" t="s">
        <v>124</v>
      </c>
      <c r="BS414" s="14" t="s">
        <v>8171</v>
      </c>
      <c r="BT414" s="14" t="str">
        <f>HYPERLINK("https%3A%2F%2Fwww.webofscience.com%2Fwos%2Fwoscc%2Ffull-record%2FWOS:000244177300008","View Full Record in Web of Science")</f>
        <v>View Full Record in Web of Science</v>
      </c>
    </row>
    <row r="415" ht="12.75" customHeight="1">
      <c r="A415" s="14" t="s">
        <v>97</v>
      </c>
      <c r="B415" s="14" t="s">
        <v>8172</v>
      </c>
      <c r="C415" s="14" t="s">
        <v>99</v>
      </c>
      <c r="D415" s="14" t="s">
        <v>99</v>
      </c>
      <c r="E415" s="14" t="s">
        <v>99</v>
      </c>
      <c r="F415" s="14" t="s">
        <v>8173</v>
      </c>
      <c r="G415" s="14" t="s">
        <v>99</v>
      </c>
      <c r="H415" s="14" t="s">
        <v>99</v>
      </c>
      <c r="I415" s="14" t="s">
        <v>8174</v>
      </c>
      <c r="J415" s="14" t="s">
        <v>749</v>
      </c>
      <c r="K415" s="14" t="s">
        <v>99</v>
      </c>
      <c r="L415" s="14" t="s">
        <v>99</v>
      </c>
      <c r="M415" s="14" t="s">
        <v>103</v>
      </c>
      <c r="N415" s="14" t="s">
        <v>104</v>
      </c>
      <c r="O415" s="14" t="s">
        <v>99</v>
      </c>
      <c r="P415" s="14" t="s">
        <v>99</v>
      </c>
      <c r="Q415" s="14" t="s">
        <v>99</v>
      </c>
      <c r="R415" s="14" t="s">
        <v>99</v>
      </c>
      <c r="S415" s="14" t="s">
        <v>99</v>
      </c>
      <c r="T415" s="14" t="s">
        <v>8175</v>
      </c>
      <c r="U415" s="14" t="s">
        <v>8176</v>
      </c>
      <c r="V415" s="14" t="s">
        <v>8177</v>
      </c>
      <c r="W415" s="14" t="s">
        <v>8178</v>
      </c>
      <c r="X415" s="14" t="s">
        <v>8179</v>
      </c>
      <c r="Y415" s="14" t="s">
        <v>8180</v>
      </c>
      <c r="Z415" s="14" t="s">
        <v>8181</v>
      </c>
      <c r="AA415" s="14" t="s">
        <v>8182</v>
      </c>
      <c r="AB415" s="14" t="s">
        <v>99</v>
      </c>
      <c r="AC415" s="14" t="s">
        <v>99</v>
      </c>
      <c r="AD415" s="14" t="s">
        <v>99</v>
      </c>
      <c r="AE415" s="14" t="s">
        <v>99</v>
      </c>
      <c r="AF415" s="14" t="s">
        <v>99</v>
      </c>
      <c r="AG415" s="14">
        <v>43.0</v>
      </c>
      <c r="AH415" s="14">
        <v>46.0</v>
      </c>
      <c r="AI415" s="14">
        <v>51.0</v>
      </c>
      <c r="AJ415" s="14">
        <v>0.0</v>
      </c>
      <c r="AK415" s="14">
        <v>47.0</v>
      </c>
      <c r="AL415" s="14" t="s">
        <v>762</v>
      </c>
      <c r="AM415" s="14" t="s">
        <v>763</v>
      </c>
      <c r="AN415" s="14" t="s">
        <v>764</v>
      </c>
      <c r="AO415" s="14" t="s">
        <v>765</v>
      </c>
      <c r="AP415" s="14" t="s">
        <v>766</v>
      </c>
      <c r="AQ415" s="14" t="s">
        <v>99</v>
      </c>
      <c r="AR415" s="14" t="s">
        <v>767</v>
      </c>
      <c r="AS415" s="14" t="s">
        <v>768</v>
      </c>
      <c r="AT415" s="14" t="s">
        <v>99</v>
      </c>
      <c r="AU415" s="14">
        <v>2007.0</v>
      </c>
      <c r="AV415" s="14">
        <v>336.0</v>
      </c>
      <c r="AW415" s="14" t="s">
        <v>99</v>
      </c>
      <c r="AX415" s="14" t="s">
        <v>99</v>
      </c>
      <c r="AY415" s="14" t="s">
        <v>99</v>
      </c>
      <c r="AZ415" s="14" t="s">
        <v>99</v>
      </c>
      <c r="BA415" s="14" t="s">
        <v>99</v>
      </c>
      <c r="BB415" s="14">
        <v>63.0</v>
      </c>
      <c r="BC415" s="14">
        <v>75.0</v>
      </c>
      <c r="BD415" s="14" t="s">
        <v>99</v>
      </c>
      <c r="BE415" s="14" t="s">
        <v>8183</v>
      </c>
      <c r="BF415" s="15" t="str">
        <f>HYPERLINK("http://dx.doi.org/10.3354/meps336063","http://dx.doi.org/10.3354/meps336063")</f>
        <v>http://dx.doi.org/10.3354/meps336063</v>
      </c>
      <c r="BG415" s="14" t="s">
        <v>99</v>
      </c>
      <c r="BH415" s="14" t="s">
        <v>99</v>
      </c>
      <c r="BI415" s="14">
        <v>13.0</v>
      </c>
      <c r="BJ415" s="14" t="s">
        <v>301</v>
      </c>
      <c r="BK415" s="14" t="s">
        <v>122</v>
      </c>
      <c r="BL415" s="14" t="s">
        <v>303</v>
      </c>
      <c r="BM415" s="14" t="s">
        <v>8184</v>
      </c>
      <c r="BN415" s="14" t="s">
        <v>99</v>
      </c>
      <c r="BO415" s="14" t="s">
        <v>238</v>
      </c>
      <c r="BP415" s="14" t="s">
        <v>99</v>
      </c>
      <c r="BQ415" s="14" t="s">
        <v>99</v>
      </c>
      <c r="BR415" s="14" t="s">
        <v>124</v>
      </c>
      <c r="BS415" s="14" t="s">
        <v>8185</v>
      </c>
      <c r="BT415" s="14" t="str">
        <f>HYPERLINK("https%3A%2F%2Fwww.webofscience.com%2Fwos%2Fwoscc%2Ffull-record%2FWOS:000246980400005","View Full Record in Web of Science")</f>
        <v>View Full Record in Web of Science</v>
      </c>
    </row>
    <row r="416" ht="12.75" customHeight="1">
      <c r="A416" s="14" t="s">
        <v>97</v>
      </c>
      <c r="B416" s="14" t="s">
        <v>8186</v>
      </c>
      <c r="C416" s="14" t="s">
        <v>99</v>
      </c>
      <c r="D416" s="14" t="s">
        <v>99</v>
      </c>
      <c r="E416" s="14" t="s">
        <v>99</v>
      </c>
      <c r="F416" s="14" t="s">
        <v>8187</v>
      </c>
      <c r="G416" s="14" t="s">
        <v>99</v>
      </c>
      <c r="H416" s="14" t="s">
        <v>99</v>
      </c>
      <c r="I416" s="14" t="s">
        <v>8188</v>
      </c>
      <c r="J416" s="14" t="s">
        <v>3595</v>
      </c>
      <c r="K416" s="14" t="s">
        <v>99</v>
      </c>
      <c r="L416" s="14" t="s">
        <v>99</v>
      </c>
      <c r="M416" s="14" t="s">
        <v>103</v>
      </c>
      <c r="N416" s="14" t="s">
        <v>104</v>
      </c>
      <c r="O416" s="14" t="s">
        <v>99</v>
      </c>
      <c r="P416" s="14" t="s">
        <v>99</v>
      </c>
      <c r="Q416" s="14" t="s">
        <v>99</v>
      </c>
      <c r="R416" s="14" t="s">
        <v>99</v>
      </c>
      <c r="S416" s="14" t="s">
        <v>99</v>
      </c>
      <c r="T416" s="14" t="s">
        <v>8189</v>
      </c>
      <c r="U416" s="14" t="s">
        <v>8190</v>
      </c>
      <c r="V416" s="14" t="s">
        <v>8191</v>
      </c>
      <c r="W416" s="14" t="s">
        <v>8192</v>
      </c>
      <c r="X416" s="14" t="s">
        <v>6652</v>
      </c>
      <c r="Y416" s="14" t="s">
        <v>8193</v>
      </c>
      <c r="Z416" s="14" t="s">
        <v>8194</v>
      </c>
      <c r="AA416" s="14" t="s">
        <v>99</v>
      </c>
      <c r="AB416" s="14" t="s">
        <v>99</v>
      </c>
      <c r="AC416" s="14" t="s">
        <v>99</v>
      </c>
      <c r="AD416" s="14" t="s">
        <v>99</v>
      </c>
      <c r="AE416" s="14" t="s">
        <v>99</v>
      </c>
      <c r="AF416" s="14" t="s">
        <v>99</v>
      </c>
      <c r="AG416" s="14">
        <v>52.0</v>
      </c>
      <c r="AH416" s="14">
        <v>57.0</v>
      </c>
      <c r="AI416" s="14">
        <v>71.0</v>
      </c>
      <c r="AJ416" s="14">
        <v>0.0</v>
      </c>
      <c r="AK416" s="14">
        <v>19.0</v>
      </c>
      <c r="AL416" s="14" t="s">
        <v>3607</v>
      </c>
      <c r="AM416" s="14" t="s">
        <v>3608</v>
      </c>
      <c r="AN416" s="14" t="s">
        <v>3609</v>
      </c>
      <c r="AO416" s="14" t="s">
        <v>3610</v>
      </c>
      <c r="AP416" s="14" t="s">
        <v>3611</v>
      </c>
      <c r="AQ416" s="14" t="s">
        <v>99</v>
      </c>
      <c r="AR416" s="14" t="s">
        <v>3612</v>
      </c>
      <c r="AS416" s="14" t="s">
        <v>3613</v>
      </c>
      <c r="AT416" s="14" t="s">
        <v>8195</v>
      </c>
      <c r="AU416" s="14">
        <v>2007.0</v>
      </c>
      <c r="AV416" s="14">
        <v>64.0</v>
      </c>
      <c r="AW416" s="14">
        <v>1.0</v>
      </c>
      <c r="AX416" s="14" t="s">
        <v>99</v>
      </c>
      <c r="AY416" s="14" t="s">
        <v>99</v>
      </c>
      <c r="AZ416" s="14" t="s">
        <v>99</v>
      </c>
      <c r="BA416" s="14" t="s">
        <v>99</v>
      </c>
      <c r="BB416" s="14">
        <v>47.0</v>
      </c>
      <c r="BC416" s="14">
        <v>57.0</v>
      </c>
      <c r="BD416" s="14" t="s">
        <v>99</v>
      </c>
      <c r="BE416" s="14" t="s">
        <v>8196</v>
      </c>
      <c r="BF416" s="15" t="str">
        <f>HYPERLINK("http://dx.doi.org/10.1051/forest:2006087","http://dx.doi.org/10.1051/forest:2006087")</f>
        <v>http://dx.doi.org/10.1051/forest:2006087</v>
      </c>
      <c r="BG416" s="14" t="s">
        <v>99</v>
      </c>
      <c r="BH416" s="14" t="s">
        <v>99</v>
      </c>
      <c r="BI416" s="14">
        <v>11.0</v>
      </c>
      <c r="BJ416" s="14" t="s">
        <v>281</v>
      </c>
      <c r="BK416" s="14" t="s">
        <v>122</v>
      </c>
      <c r="BL416" s="14" t="s">
        <v>281</v>
      </c>
      <c r="BM416" s="14" t="s">
        <v>8197</v>
      </c>
      <c r="BN416" s="14" t="s">
        <v>99</v>
      </c>
      <c r="BO416" s="14" t="s">
        <v>238</v>
      </c>
      <c r="BP416" s="14" t="s">
        <v>99</v>
      </c>
      <c r="BQ416" s="14" t="s">
        <v>99</v>
      </c>
      <c r="BR416" s="14" t="s">
        <v>124</v>
      </c>
      <c r="BS416" s="14" t="s">
        <v>8198</v>
      </c>
      <c r="BT416" s="14" t="str">
        <f>HYPERLINK("https%3A%2F%2Fwww.webofscience.com%2Fwos%2Fwoscc%2Ffull-record%2FWOS:000243521300006","View Full Record in Web of Science")</f>
        <v>View Full Record in Web of Science</v>
      </c>
    </row>
    <row r="417" ht="12.75" customHeight="1">
      <c r="A417" s="14" t="s">
        <v>97</v>
      </c>
      <c r="B417" s="14" t="s">
        <v>8199</v>
      </c>
      <c r="C417" s="14" t="s">
        <v>99</v>
      </c>
      <c r="D417" s="14" t="s">
        <v>99</v>
      </c>
      <c r="E417" s="14" t="s">
        <v>99</v>
      </c>
      <c r="F417" s="14" t="s">
        <v>8200</v>
      </c>
      <c r="G417" s="14" t="s">
        <v>99</v>
      </c>
      <c r="H417" s="14" t="s">
        <v>99</v>
      </c>
      <c r="I417" s="14" t="s">
        <v>8201</v>
      </c>
      <c r="J417" s="14" t="s">
        <v>5603</v>
      </c>
      <c r="K417" s="14" t="s">
        <v>99</v>
      </c>
      <c r="L417" s="14" t="s">
        <v>99</v>
      </c>
      <c r="M417" s="14" t="s">
        <v>103</v>
      </c>
      <c r="N417" s="14" t="s">
        <v>104</v>
      </c>
      <c r="O417" s="14" t="s">
        <v>99</v>
      </c>
      <c r="P417" s="14" t="s">
        <v>99</v>
      </c>
      <c r="Q417" s="14" t="s">
        <v>99</v>
      </c>
      <c r="R417" s="14" t="s">
        <v>99</v>
      </c>
      <c r="S417" s="14" t="s">
        <v>99</v>
      </c>
      <c r="T417" s="14" t="s">
        <v>8202</v>
      </c>
      <c r="U417" s="14" t="s">
        <v>8203</v>
      </c>
      <c r="V417" s="14" t="s">
        <v>8204</v>
      </c>
      <c r="W417" s="14" t="s">
        <v>8205</v>
      </c>
      <c r="X417" s="14" t="s">
        <v>7418</v>
      </c>
      <c r="Y417" s="14" t="s">
        <v>8206</v>
      </c>
      <c r="Z417" s="14" t="s">
        <v>8207</v>
      </c>
      <c r="AA417" s="14" t="s">
        <v>8208</v>
      </c>
      <c r="AB417" s="14" t="s">
        <v>8209</v>
      </c>
      <c r="AC417" s="14" t="s">
        <v>99</v>
      </c>
      <c r="AD417" s="14" t="s">
        <v>99</v>
      </c>
      <c r="AE417" s="14" t="s">
        <v>99</v>
      </c>
      <c r="AF417" s="14" t="s">
        <v>99</v>
      </c>
      <c r="AG417" s="14">
        <v>39.0</v>
      </c>
      <c r="AH417" s="14">
        <v>71.0</v>
      </c>
      <c r="AI417" s="14">
        <v>90.0</v>
      </c>
      <c r="AJ417" s="14">
        <v>0.0</v>
      </c>
      <c r="AK417" s="14">
        <v>46.0</v>
      </c>
      <c r="AL417" s="14" t="s">
        <v>441</v>
      </c>
      <c r="AM417" s="14" t="s">
        <v>442</v>
      </c>
      <c r="AN417" s="14" t="s">
        <v>443</v>
      </c>
      <c r="AO417" s="14" t="s">
        <v>5616</v>
      </c>
      <c r="AP417" s="14" t="s">
        <v>5617</v>
      </c>
      <c r="AQ417" s="14" t="s">
        <v>99</v>
      </c>
      <c r="AR417" s="14" t="s">
        <v>5618</v>
      </c>
      <c r="AS417" s="14" t="s">
        <v>5619</v>
      </c>
      <c r="AT417" s="14" t="s">
        <v>935</v>
      </c>
      <c r="AU417" s="14">
        <v>2007.0</v>
      </c>
      <c r="AV417" s="14">
        <v>118.0</v>
      </c>
      <c r="AW417" s="14" t="s">
        <v>7581</v>
      </c>
      <c r="AX417" s="14" t="s">
        <v>99</v>
      </c>
      <c r="AY417" s="14" t="s">
        <v>99</v>
      </c>
      <c r="AZ417" s="14" t="s">
        <v>99</v>
      </c>
      <c r="BA417" s="14" t="s">
        <v>99</v>
      </c>
      <c r="BB417" s="14">
        <v>285.0</v>
      </c>
      <c r="BC417" s="14">
        <v>290.0</v>
      </c>
      <c r="BD417" s="14" t="s">
        <v>99</v>
      </c>
      <c r="BE417" s="14" t="s">
        <v>8210</v>
      </c>
      <c r="BF417" s="15" t="str">
        <f>HYPERLINK("http://dx.doi.org/10.1016/j.agee.2006.05.028","http://dx.doi.org/10.1016/j.agee.2006.05.028")</f>
        <v>http://dx.doi.org/10.1016/j.agee.2006.05.028</v>
      </c>
      <c r="BG417" s="14" t="s">
        <v>99</v>
      </c>
      <c r="BH417" s="14" t="s">
        <v>99</v>
      </c>
      <c r="BI417" s="14">
        <v>6.0</v>
      </c>
      <c r="BJ417" s="14" t="s">
        <v>5622</v>
      </c>
      <c r="BK417" s="14" t="s">
        <v>122</v>
      </c>
      <c r="BL417" s="14" t="s">
        <v>5623</v>
      </c>
      <c r="BM417" s="14" t="s">
        <v>8211</v>
      </c>
      <c r="BN417" s="14" t="s">
        <v>99</v>
      </c>
      <c r="BO417" s="14" t="s">
        <v>576</v>
      </c>
      <c r="BP417" s="14" t="s">
        <v>99</v>
      </c>
      <c r="BQ417" s="14" t="s">
        <v>99</v>
      </c>
      <c r="BR417" s="14" t="s">
        <v>124</v>
      </c>
      <c r="BS417" s="14" t="s">
        <v>8212</v>
      </c>
      <c r="BT417" s="14" t="str">
        <f>HYPERLINK("https%3A%2F%2Fwww.webofscience.com%2Fwos%2Fwoscc%2Ffull-record%2FWOS:000243609800029","View Full Record in Web of Science")</f>
        <v>View Full Record in Web of Science</v>
      </c>
    </row>
    <row r="418" ht="12.75" customHeight="1">
      <c r="A418" s="14" t="s">
        <v>97</v>
      </c>
      <c r="B418" s="14" t="s">
        <v>8213</v>
      </c>
      <c r="C418" s="14" t="s">
        <v>99</v>
      </c>
      <c r="D418" s="14" t="s">
        <v>99</v>
      </c>
      <c r="E418" s="14" t="s">
        <v>99</v>
      </c>
      <c r="F418" s="14" t="s">
        <v>8214</v>
      </c>
      <c r="G418" s="14" t="s">
        <v>99</v>
      </c>
      <c r="H418" s="14" t="s">
        <v>99</v>
      </c>
      <c r="I418" s="14" t="s">
        <v>8215</v>
      </c>
      <c r="J418" s="14" t="s">
        <v>749</v>
      </c>
      <c r="K418" s="14" t="s">
        <v>99</v>
      </c>
      <c r="L418" s="14" t="s">
        <v>99</v>
      </c>
      <c r="M418" s="14" t="s">
        <v>103</v>
      </c>
      <c r="N418" s="14" t="s">
        <v>104</v>
      </c>
      <c r="O418" s="14" t="s">
        <v>99</v>
      </c>
      <c r="P418" s="14" t="s">
        <v>99</v>
      </c>
      <c r="Q418" s="14" t="s">
        <v>99</v>
      </c>
      <c r="R418" s="14" t="s">
        <v>99</v>
      </c>
      <c r="S418" s="14" t="s">
        <v>99</v>
      </c>
      <c r="T418" s="14" t="s">
        <v>8216</v>
      </c>
      <c r="U418" s="14" t="s">
        <v>8217</v>
      </c>
      <c r="V418" s="14" t="s">
        <v>8218</v>
      </c>
      <c r="W418" s="14" t="s">
        <v>8219</v>
      </c>
      <c r="X418" s="14" t="s">
        <v>8220</v>
      </c>
      <c r="Y418" s="14" t="s">
        <v>8221</v>
      </c>
      <c r="Z418" s="14" t="s">
        <v>8222</v>
      </c>
      <c r="AA418" s="14" t="s">
        <v>8223</v>
      </c>
      <c r="AB418" s="14" t="s">
        <v>8224</v>
      </c>
      <c r="AC418" s="14" t="s">
        <v>99</v>
      </c>
      <c r="AD418" s="14" t="s">
        <v>99</v>
      </c>
      <c r="AE418" s="14" t="s">
        <v>99</v>
      </c>
      <c r="AF418" s="14" t="s">
        <v>99</v>
      </c>
      <c r="AG418" s="14">
        <v>47.0</v>
      </c>
      <c r="AH418" s="14">
        <v>87.0</v>
      </c>
      <c r="AI418" s="14">
        <v>95.0</v>
      </c>
      <c r="AJ418" s="14">
        <v>0.0</v>
      </c>
      <c r="AK418" s="14">
        <v>22.0</v>
      </c>
      <c r="AL418" s="14" t="s">
        <v>762</v>
      </c>
      <c r="AM418" s="14" t="s">
        <v>763</v>
      </c>
      <c r="AN418" s="14" t="s">
        <v>764</v>
      </c>
      <c r="AO418" s="14" t="s">
        <v>765</v>
      </c>
      <c r="AP418" s="14" t="s">
        <v>766</v>
      </c>
      <c r="AQ418" s="14" t="s">
        <v>99</v>
      </c>
      <c r="AR418" s="14" t="s">
        <v>767</v>
      </c>
      <c r="AS418" s="14" t="s">
        <v>768</v>
      </c>
      <c r="AT418" s="14" t="s">
        <v>99</v>
      </c>
      <c r="AU418" s="14">
        <v>2007.0</v>
      </c>
      <c r="AV418" s="14">
        <v>351.0</v>
      </c>
      <c r="AW418" s="14" t="s">
        <v>99</v>
      </c>
      <c r="AX418" s="14" t="s">
        <v>99</v>
      </c>
      <c r="AY418" s="14" t="s">
        <v>99</v>
      </c>
      <c r="AZ418" s="14" t="s">
        <v>99</v>
      </c>
      <c r="BA418" s="14" t="s">
        <v>99</v>
      </c>
      <c r="BB418" s="14">
        <v>189.0</v>
      </c>
      <c r="BC418" s="14">
        <v>199.0</v>
      </c>
      <c r="BD418" s="14" t="s">
        <v>99</v>
      </c>
      <c r="BE418" s="14" t="s">
        <v>8225</v>
      </c>
      <c r="BF418" s="15" t="str">
        <f>HYPERLINK("http://dx.doi.org/10.3354/meps07138","http://dx.doi.org/10.3354/meps07138")</f>
        <v>http://dx.doi.org/10.3354/meps07138</v>
      </c>
      <c r="BG418" s="14" t="s">
        <v>99</v>
      </c>
      <c r="BH418" s="14" t="s">
        <v>99</v>
      </c>
      <c r="BI418" s="14">
        <v>11.0</v>
      </c>
      <c r="BJ418" s="14" t="s">
        <v>301</v>
      </c>
      <c r="BK418" s="14" t="s">
        <v>122</v>
      </c>
      <c r="BL418" s="14" t="s">
        <v>303</v>
      </c>
      <c r="BM418" s="14" t="s">
        <v>8226</v>
      </c>
      <c r="BN418" s="14" t="s">
        <v>99</v>
      </c>
      <c r="BO418" s="14" t="s">
        <v>99</v>
      </c>
      <c r="BP418" s="14" t="s">
        <v>99</v>
      </c>
      <c r="BQ418" s="14" t="s">
        <v>99</v>
      </c>
      <c r="BR418" s="14" t="s">
        <v>124</v>
      </c>
      <c r="BS418" s="14" t="s">
        <v>8227</v>
      </c>
      <c r="BT418" s="14" t="str">
        <f>HYPERLINK("https%3A%2F%2Fwww.webofscience.com%2Fwos%2Fwoscc%2Ffull-record%2FWOS:000252064100016","View Full Record in Web of Science")</f>
        <v>View Full Record in Web of Science</v>
      </c>
    </row>
    <row r="419" ht="12.75" customHeight="1">
      <c r="A419" s="14" t="s">
        <v>97</v>
      </c>
      <c r="B419" s="14" t="s">
        <v>8228</v>
      </c>
      <c r="C419" s="14" t="s">
        <v>99</v>
      </c>
      <c r="D419" s="14" t="s">
        <v>99</v>
      </c>
      <c r="E419" s="14" t="s">
        <v>99</v>
      </c>
      <c r="F419" s="14" t="s">
        <v>8229</v>
      </c>
      <c r="G419" s="14" t="s">
        <v>99</v>
      </c>
      <c r="H419" s="14" t="s">
        <v>99</v>
      </c>
      <c r="I419" s="14" t="s">
        <v>8230</v>
      </c>
      <c r="J419" s="14" t="s">
        <v>8231</v>
      </c>
      <c r="K419" s="14" t="s">
        <v>99</v>
      </c>
      <c r="L419" s="14" t="s">
        <v>99</v>
      </c>
      <c r="M419" s="14" t="s">
        <v>103</v>
      </c>
      <c r="N419" s="14" t="s">
        <v>2284</v>
      </c>
      <c r="O419" s="14" t="s">
        <v>8232</v>
      </c>
      <c r="P419" s="14" t="s">
        <v>8233</v>
      </c>
      <c r="Q419" s="14" t="s">
        <v>8234</v>
      </c>
      <c r="R419" s="14" t="s">
        <v>99</v>
      </c>
      <c r="S419" s="14" t="s">
        <v>99</v>
      </c>
      <c r="T419" s="14" t="s">
        <v>8235</v>
      </c>
      <c r="U419" s="14" t="s">
        <v>99</v>
      </c>
      <c r="V419" s="14" t="s">
        <v>8236</v>
      </c>
      <c r="W419" s="14" t="s">
        <v>8237</v>
      </c>
      <c r="X419" s="14" t="s">
        <v>99</v>
      </c>
      <c r="Y419" s="14" t="s">
        <v>8238</v>
      </c>
      <c r="Z419" s="14" t="s">
        <v>8239</v>
      </c>
      <c r="AA419" s="14" t="s">
        <v>99</v>
      </c>
      <c r="AB419" s="14" t="s">
        <v>99</v>
      </c>
      <c r="AC419" s="14" t="s">
        <v>99</v>
      </c>
      <c r="AD419" s="14" t="s">
        <v>99</v>
      </c>
      <c r="AE419" s="14" t="s">
        <v>99</v>
      </c>
      <c r="AF419" s="14" t="s">
        <v>99</v>
      </c>
      <c r="AG419" s="14">
        <v>19.0</v>
      </c>
      <c r="AH419" s="14">
        <v>55.0</v>
      </c>
      <c r="AI419" s="14">
        <v>72.0</v>
      </c>
      <c r="AJ419" s="14">
        <v>2.0</v>
      </c>
      <c r="AK419" s="14">
        <v>36.0</v>
      </c>
      <c r="AL419" s="14" t="s">
        <v>467</v>
      </c>
      <c r="AM419" s="14" t="s">
        <v>468</v>
      </c>
      <c r="AN419" s="14" t="s">
        <v>469</v>
      </c>
      <c r="AO419" s="14" t="s">
        <v>8240</v>
      </c>
      <c r="AP419" s="14" t="s">
        <v>8241</v>
      </c>
      <c r="AQ419" s="14" t="s">
        <v>99</v>
      </c>
      <c r="AR419" s="14" t="s">
        <v>8242</v>
      </c>
      <c r="AS419" s="14" t="s">
        <v>8243</v>
      </c>
      <c r="AT419" s="14" t="s">
        <v>99</v>
      </c>
      <c r="AU419" s="14">
        <v>2007.0</v>
      </c>
      <c r="AV419" s="14">
        <v>32.0</v>
      </c>
      <c r="AW419" s="14" t="s">
        <v>8244</v>
      </c>
      <c r="AX419" s="14" t="s">
        <v>99</v>
      </c>
      <c r="AY419" s="14" t="s">
        <v>99</v>
      </c>
      <c r="AZ419" s="14" t="s">
        <v>99</v>
      </c>
      <c r="BA419" s="14" t="s">
        <v>99</v>
      </c>
      <c r="BB419" s="14">
        <v>1135.0</v>
      </c>
      <c r="BC419" s="14">
        <v>1140.0</v>
      </c>
      <c r="BD419" s="14" t="s">
        <v>99</v>
      </c>
      <c r="BE419" s="14" t="s">
        <v>8245</v>
      </c>
      <c r="BF419" s="15" t="str">
        <f>HYPERLINK("http://dx.doi.org/10.1016/j.pce.2007.07.033","http://dx.doi.org/10.1016/j.pce.2007.07.033")</f>
        <v>http://dx.doi.org/10.1016/j.pce.2007.07.033</v>
      </c>
      <c r="BG419" s="14" t="s">
        <v>99</v>
      </c>
      <c r="BH419" s="14" t="s">
        <v>99</v>
      </c>
      <c r="BI419" s="14">
        <v>6.0</v>
      </c>
      <c r="BJ419" s="14" t="s">
        <v>8246</v>
      </c>
      <c r="BK419" s="14" t="s">
        <v>2311</v>
      </c>
      <c r="BL419" s="14" t="s">
        <v>8247</v>
      </c>
      <c r="BM419" s="14" t="s">
        <v>8248</v>
      </c>
      <c r="BN419" s="14" t="s">
        <v>99</v>
      </c>
      <c r="BO419" s="14" t="s">
        <v>99</v>
      </c>
      <c r="BP419" s="14" t="s">
        <v>99</v>
      </c>
      <c r="BQ419" s="14" t="s">
        <v>99</v>
      </c>
      <c r="BR419" s="14" t="s">
        <v>124</v>
      </c>
      <c r="BS419" s="14" t="s">
        <v>8249</v>
      </c>
      <c r="BT419" s="14" t="str">
        <f>HYPERLINK("https%3A%2F%2Fwww.webofscience.com%2Fwos%2Fwoscc%2Ffull-record%2FWOS:000250159500021","View Full Record in Web of Science")</f>
        <v>View Full Record in Web of Science</v>
      </c>
    </row>
    <row r="420" ht="12.75" customHeight="1">
      <c r="A420" s="14" t="s">
        <v>97</v>
      </c>
      <c r="B420" s="14" t="s">
        <v>8250</v>
      </c>
      <c r="C420" s="14" t="s">
        <v>99</v>
      </c>
      <c r="D420" s="14" t="s">
        <v>99</v>
      </c>
      <c r="E420" s="14" t="s">
        <v>99</v>
      </c>
      <c r="F420" s="14" t="s">
        <v>8251</v>
      </c>
      <c r="G420" s="14" t="s">
        <v>99</v>
      </c>
      <c r="H420" s="14" t="s">
        <v>99</v>
      </c>
      <c r="I420" s="14" t="s">
        <v>8252</v>
      </c>
      <c r="J420" s="14" t="s">
        <v>8253</v>
      </c>
      <c r="K420" s="14" t="s">
        <v>99</v>
      </c>
      <c r="L420" s="14" t="s">
        <v>99</v>
      </c>
      <c r="M420" s="14" t="s">
        <v>103</v>
      </c>
      <c r="N420" s="14" t="s">
        <v>104</v>
      </c>
      <c r="O420" s="14" t="s">
        <v>99</v>
      </c>
      <c r="P420" s="14" t="s">
        <v>99</v>
      </c>
      <c r="Q420" s="14" t="s">
        <v>99</v>
      </c>
      <c r="R420" s="14" t="s">
        <v>99</v>
      </c>
      <c r="S420" s="14" t="s">
        <v>99</v>
      </c>
      <c r="T420" s="14" t="s">
        <v>8254</v>
      </c>
      <c r="U420" s="14" t="s">
        <v>8255</v>
      </c>
      <c r="V420" s="14" t="s">
        <v>8256</v>
      </c>
      <c r="W420" s="14" t="s">
        <v>8257</v>
      </c>
      <c r="X420" s="14" t="s">
        <v>8258</v>
      </c>
      <c r="Y420" s="14" t="s">
        <v>8259</v>
      </c>
      <c r="Z420" s="14" t="s">
        <v>8260</v>
      </c>
      <c r="AA420" s="14" t="s">
        <v>8261</v>
      </c>
      <c r="AB420" s="14" t="s">
        <v>8262</v>
      </c>
      <c r="AC420" s="14" t="s">
        <v>99</v>
      </c>
      <c r="AD420" s="14" t="s">
        <v>99</v>
      </c>
      <c r="AE420" s="14" t="s">
        <v>99</v>
      </c>
      <c r="AF420" s="14" t="s">
        <v>99</v>
      </c>
      <c r="AG420" s="14">
        <v>52.0</v>
      </c>
      <c r="AH420" s="14">
        <v>35.0</v>
      </c>
      <c r="AI420" s="14">
        <v>37.0</v>
      </c>
      <c r="AJ420" s="14">
        <v>0.0</v>
      </c>
      <c r="AK420" s="14">
        <v>41.0</v>
      </c>
      <c r="AL420" s="14" t="s">
        <v>2917</v>
      </c>
      <c r="AM420" s="14" t="s">
        <v>2918</v>
      </c>
      <c r="AN420" s="14" t="s">
        <v>2919</v>
      </c>
      <c r="AO420" s="14" t="s">
        <v>8263</v>
      </c>
      <c r="AP420" s="14" t="s">
        <v>8264</v>
      </c>
      <c r="AQ420" s="14" t="s">
        <v>99</v>
      </c>
      <c r="AR420" s="14" t="s">
        <v>8265</v>
      </c>
      <c r="AS420" s="14" t="s">
        <v>8266</v>
      </c>
      <c r="AT420" s="14" t="s">
        <v>99</v>
      </c>
      <c r="AU420" s="14">
        <v>2007.0</v>
      </c>
      <c r="AV420" s="14">
        <v>15.0</v>
      </c>
      <c r="AW420" s="14">
        <v>1.0</v>
      </c>
      <c r="AX420" s="14" t="s">
        <v>99</v>
      </c>
      <c r="AY420" s="14" t="s">
        <v>99</v>
      </c>
      <c r="AZ420" s="14" t="s">
        <v>99</v>
      </c>
      <c r="BA420" s="14" t="s">
        <v>99</v>
      </c>
      <c r="BB420" s="14">
        <v>41.0</v>
      </c>
      <c r="BC420" s="14">
        <v>53.0</v>
      </c>
      <c r="BD420" s="14" t="s">
        <v>99</v>
      </c>
      <c r="BE420" s="14" t="s">
        <v>8267</v>
      </c>
      <c r="BF420" s="15" t="str">
        <f>HYPERLINK("http://dx.doi.org/10.1016/j.jnc.2006.09.001","http://dx.doi.org/10.1016/j.jnc.2006.09.001")</f>
        <v>http://dx.doi.org/10.1016/j.jnc.2006.09.001</v>
      </c>
      <c r="BG420" s="14" t="s">
        <v>99</v>
      </c>
      <c r="BH420" s="14" t="s">
        <v>99</v>
      </c>
      <c r="BI420" s="14">
        <v>13.0</v>
      </c>
      <c r="BJ420" s="14" t="s">
        <v>550</v>
      </c>
      <c r="BK420" s="14" t="s">
        <v>122</v>
      </c>
      <c r="BL420" s="14" t="s">
        <v>352</v>
      </c>
      <c r="BM420" s="14" t="s">
        <v>8268</v>
      </c>
      <c r="BN420" s="14" t="s">
        <v>99</v>
      </c>
      <c r="BO420" s="14" t="s">
        <v>99</v>
      </c>
      <c r="BP420" s="14" t="s">
        <v>99</v>
      </c>
      <c r="BQ420" s="14" t="s">
        <v>99</v>
      </c>
      <c r="BR420" s="14" t="s">
        <v>124</v>
      </c>
      <c r="BS420" s="14" t="s">
        <v>8269</v>
      </c>
      <c r="BT420" s="14" t="str">
        <f>HYPERLINK("https%3A%2F%2Fwww.webofscience.com%2Fwos%2Fwoscc%2Ffull-record%2FWOS:000245122300004","View Full Record in Web of Science")</f>
        <v>View Full Record in Web of Science</v>
      </c>
    </row>
    <row r="421" ht="12.75" customHeight="1">
      <c r="A421" s="14" t="s">
        <v>97</v>
      </c>
      <c r="B421" s="14" t="s">
        <v>8270</v>
      </c>
      <c r="C421" s="14" t="s">
        <v>99</v>
      </c>
      <c r="D421" s="14" t="s">
        <v>99</v>
      </c>
      <c r="E421" s="14" t="s">
        <v>99</v>
      </c>
      <c r="F421" s="14" t="s">
        <v>8271</v>
      </c>
      <c r="G421" s="14" t="s">
        <v>99</v>
      </c>
      <c r="H421" s="14" t="s">
        <v>99</v>
      </c>
      <c r="I421" s="14" t="s">
        <v>8272</v>
      </c>
      <c r="J421" s="14" t="s">
        <v>3018</v>
      </c>
      <c r="K421" s="14" t="s">
        <v>99</v>
      </c>
      <c r="L421" s="14" t="s">
        <v>99</v>
      </c>
      <c r="M421" s="14" t="s">
        <v>103</v>
      </c>
      <c r="N421" s="14" t="s">
        <v>104</v>
      </c>
      <c r="O421" s="14" t="s">
        <v>99</v>
      </c>
      <c r="P421" s="14" t="s">
        <v>99</v>
      </c>
      <c r="Q421" s="14" t="s">
        <v>99</v>
      </c>
      <c r="R421" s="14" t="s">
        <v>99</v>
      </c>
      <c r="S421" s="14" t="s">
        <v>99</v>
      </c>
      <c r="T421" s="14" t="s">
        <v>8273</v>
      </c>
      <c r="U421" s="14" t="s">
        <v>8274</v>
      </c>
      <c r="V421" s="14" t="s">
        <v>8275</v>
      </c>
      <c r="W421" s="14" t="s">
        <v>8276</v>
      </c>
      <c r="X421" s="14" t="s">
        <v>8277</v>
      </c>
      <c r="Y421" s="14" t="s">
        <v>8278</v>
      </c>
      <c r="Z421" s="14" t="s">
        <v>7640</v>
      </c>
      <c r="AA421" s="14" t="s">
        <v>8279</v>
      </c>
      <c r="AB421" s="14" t="s">
        <v>8280</v>
      </c>
      <c r="AC421" s="14" t="s">
        <v>99</v>
      </c>
      <c r="AD421" s="14" t="s">
        <v>99</v>
      </c>
      <c r="AE421" s="14" t="s">
        <v>99</v>
      </c>
      <c r="AF421" s="14" t="s">
        <v>99</v>
      </c>
      <c r="AG421" s="14">
        <v>45.0</v>
      </c>
      <c r="AH421" s="14">
        <v>205.0</v>
      </c>
      <c r="AI421" s="14">
        <v>239.0</v>
      </c>
      <c r="AJ421" s="14">
        <v>2.0</v>
      </c>
      <c r="AK421" s="14">
        <v>143.0</v>
      </c>
      <c r="AL421" s="14" t="s">
        <v>1033</v>
      </c>
      <c r="AM421" s="14" t="s">
        <v>442</v>
      </c>
      <c r="AN421" s="14" t="s">
        <v>1034</v>
      </c>
      <c r="AO421" s="14" t="s">
        <v>3030</v>
      </c>
      <c r="AP421" s="14" t="s">
        <v>3031</v>
      </c>
      <c r="AQ421" s="14" t="s">
        <v>99</v>
      </c>
      <c r="AR421" s="14" t="s">
        <v>3032</v>
      </c>
      <c r="AS421" s="14" t="s">
        <v>3033</v>
      </c>
      <c r="AT421" s="14" t="s">
        <v>421</v>
      </c>
      <c r="AU421" s="14">
        <v>2006.0</v>
      </c>
      <c r="AV421" s="14">
        <v>53.0</v>
      </c>
      <c r="AW421" s="14">
        <v>3.0</v>
      </c>
      <c r="AX421" s="14" t="s">
        <v>99</v>
      </c>
      <c r="AY421" s="14" t="s">
        <v>99</v>
      </c>
      <c r="AZ421" s="14" t="s">
        <v>99</v>
      </c>
      <c r="BA421" s="14" t="s">
        <v>99</v>
      </c>
      <c r="BB421" s="14">
        <v>155.0</v>
      </c>
      <c r="BC421" s="14">
        <v>168.0</v>
      </c>
      <c r="BD421" s="14" t="s">
        <v>99</v>
      </c>
      <c r="BE421" s="14" t="s">
        <v>8281</v>
      </c>
      <c r="BF421" s="15" t="str">
        <f>HYPERLINK("http://dx.doi.org/10.1016/j.gloplacha.2006.04.001","http://dx.doi.org/10.1016/j.gloplacha.2006.04.001")</f>
        <v>http://dx.doi.org/10.1016/j.gloplacha.2006.04.001</v>
      </c>
      <c r="BG421" s="14" t="s">
        <v>99</v>
      </c>
      <c r="BH421" s="14" t="s">
        <v>99</v>
      </c>
      <c r="BI421" s="14">
        <v>14.0</v>
      </c>
      <c r="BJ421" s="14" t="s">
        <v>3035</v>
      </c>
      <c r="BK421" s="14" t="s">
        <v>122</v>
      </c>
      <c r="BL421" s="14" t="s">
        <v>3036</v>
      </c>
      <c r="BM421" s="14" t="s">
        <v>8282</v>
      </c>
      <c r="BN421" s="14" t="s">
        <v>99</v>
      </c>
      <c r="BO421" s="14" t="s">
        <v>99</v>
      </c>
      <c r="BP421" s="14" t="s">
        <v>99</v>
      </c>
      <c r="BQ421" s="14" t="s">
        <v>99</v>
      </c>
      <c r="BR421" s="14" t="s">
        <v>124</v>
      </c>
      <c r="BS421" s="14" t="s">
        <v>8283</v>
      </c>
      <c r="BT421" s="14" t="str">
        <f>HYPERLINK("https%3A%2F%2Fwww.webofscience.com%2Fwos%2Fwoscc%2Ffull-record%2FWOS:000240743000001","View Full Record in Web of Science")</f>
        <v>View Full Record in Web of Science</v>
      </c>
    </row>
    <row r="422" ht="12.75" customHeight="1">
      <c r="A422" s="14" t="s">
        <v>97</v>
      </c>
      <c r="B422" s="14" t="s">
        <v>8284</v>
      </c>
      <c r="C422" s="14" t="s">
        <v>99</v>
      </c>
      <c r="D422" s="14" t="s">
        <v>99</v>
      </c>
      <c r="E422" s="14" t="s">
        <v>99</v>
      </c>
      <c r="F422" s="14" t="s">
        <v>8285</v>
      </c>
      <c r="G422" s="14" t="s">
        <v>99</v>
      </c>
      <c r="H422" s="14" t="s">
        <v>99</v>
      </c>
      <c r="I422" s="14" t="s">
        <v>8286</v>
      </c>
      <c r="J422" s="14" t="s">
        <v>7428</v>
      </c>
      <c r="K422" s="14" t="s">
        <v>99</v>
      </c>
      <c r="L422" s="14" t="s">
        <v>99</v>
      </c>
      <c r="M422" s="14" t="s">
        <v>103</v>
      </c>
      <c r="N422" s="14" t="s">
        <v>104</v>
      </c>
      <c r="O422" s="14" t="s">
        <v>99</v>
      </c>
      <c r="P422" s="14" t="s">
        <v>99</v>
      </c>
      <c r="Q422" s="14" t="s">
        <v>99</v>
      </c>
      <c r="R422" s="14" t="s">
        <v>99</v>
      </c>
      <c r="S422" s="14" t="s">
        <v>99</v>
      </c>
      <c r="T422" s="14" t="s">
        <v>8287</v>
      </c>
      <c r="U422" s="14" t="s">
        <v>8288</v>
      </c>
      <c r="V422" s="14" t="s">
        <v>8289</v>
      </c>
      <c r="W422" s="14" t="s">
        <v>8290</v>
      </c>
      <c r="X422" s="14" t="s">
        <v>8291</v>
      </c>
      <c r="Y422" s="14" t="s">
        <v>8292</v>
      </c>
      <c r="Z422" s="14" t="s">
        <v>8293</v>
      </c>
      <c r="AA422" s="14" t="s">
        <v>8294</v>
      </c>
      <c r="AB422" s="14" t="s">
        <v>8295</v>
      </c>
      <c r="AC422" s="14" t="s">
        <v>99</v>
      </c>
      <c r="AD422" s="14" t="s">
        <v>99</v>
      </c>
      <c r="AE422" s="14" t="s">
        <v>99</v>
      </c>
      <c r="AF422" s="14" t="s">
        <v>99</v>
      </c>
      <c r="AG422" s="14">
        <v>71.0</v>
      </c>
      <c r="AH422" s="14">
        <v>23.0</v>
      </c>
      <c r="AI422" s="14">
        <v>26.0</v>
      </c>
      <c r="AJ422" s="14">
        <v>1.0</v>
      </c>
      <c r="AK422" s="14">
        <v>41.0</v>
      </c>
      <c r="AL422" s="14" t="s">
        <v>341</v>
      </c>
      <c r="AM422" s="14" t="s">
        <v>342</v>
      </c>
      <c r="AN422" s="14" t="s">
        <v>343</v>
      </c>
      <c r="AO422" s="14" t="s">
        <v>7437</v>
      </c>
      <c r="AP422" s="14" t="s">
        <v>7438</v>
      </c>
      <c r="AQ422" s="14" t="s">
        <v>99</v>
      </c>
      <c r="AR422" s="14" t="s">
        <v>7439</v>
      </c>
      <c r="AS422" s="14" t="s">
        <v>7440</v>
      </c>
      <c r="AT422" s="14" t="s">
        <v>421</v>
      </c>
      <c r="AU422" s="14">
        <v>2006.0</v>
      </c>
      <c r="AV422" s="14">
        <v>94.0</v>
      </c>
      <c r="AW422" s="14">
        <v>5.0</v>
      </c>
      <c r="AX422" s="14" t="s">
        <v>99</v>
      </c>
      <c r="AY422" s="14" t="s">
        <v>99</v>
      </c>
      <c r="AZ422" s="14" t="s">
        <v>99</v>
      </c>
      <c r="BA422" s="14" t="s">
        <v>99</v>
      </c>
      <c r="BB422" s="14">
        <v>987.0</v>
      </c>
      <c r="BC422" s="14">
        <v>1002.0</v>
      </c>
      <c r="BD422" s="14" t="s">
        <v>99</v>
      </c>
      <c r="BE422" s="14" t="s">
        <v>8296</v>
      </c>
      <c r="BF422" s="15" t="str">
        <f>HYPERLINK("http://dx.doi.org/10.1111/j.1365-2745.2006.01140.x","http://dx.doi.org/10.1111/j.1365-2745.2006.01140.x")</f>
        <v>http://dx.doi.org/10.1111/j.1365-2745.2006.01140.x</v>
      </c>
      <c r="BG422" s="14" t="s">
        <v>99</v>
      </c>
      <c r="BH422" s="14" t="s">
        <v>99</v>
      </c>
      <c r="BI422" s="14">
        <v>16.0</v>
      </c>
      <c r="BJ422" s="14" t="s">
        <v>2924</v>
      </c>
      <c r="BK422" s="14" t="s">
        <v>122</v>
      </c>
      <c r="BL422" s="14" t="s">
        <v>2925</v>
      </c>
      <c r="BM422" s="14" t="s">
        <v>8297</v>
      </c>
      <c r="BN422" s="14" t="s">
        <v>99</v>
      </c>
      <c r="BO422" s="14" t="s">
        <v>99</v>
      </c>
      <c r="BP422" s="14" t="s">
        <v>99</v>
      </c>
      <c r="BQ422" s="14" t="s">
        <v>99</v>
      </c>
      <c r="BR422" s="14" t="s">
        <v>124</v>
      </c>
      <c r="BS422" s="14" t="s">
        <v>8298</v>
      </c>
      <c r="BT422" s="14" t="str">
        <f>HYPERLINK("https%3A%2F%2Fwww.webofscience.com%2Fwos%2Fwoscc%2Ffull-record%2FWOS:000239510400011","View Full Record in Web of Science")</f>
        <v>View Full Record in Web of Science</v>
      </c>
    </row>
    <row r="423" ht="12.75" customHeight="1">
      <c r="A423" s="14" t="s">
        <v>97</v>
      </c>
      <c r="B423" s="14" t="s">
        <v>8299</v>
      </c>
      <c r="C423" s="14" t="s">
        <v>99</v>
      </c>
      <c r="D423" s="14" t="s">
        <v>99</v>
      </c>
      <c r="E423" s="14" t="s">
        <v>99</v>
      </c>
      <c r="F423" s="14" t="s">
        <v>8300</v>
      </c>
      <c r="G423" s="14" t="s">
        <v>99</v>
      </c>
      <c r="H423" s="14" t="s">
        <v>99</v>
      </c>
      <c r="I423" s="14" t="s">
        <v>8301</v>
      </c>
      <c r="J423" s="14" t="s">
        <v>726</v>
      </c>
      <c r="K423" s="14" t="s">
        <v>99</v>
      </c>
      <c r="L423" s="14" t="s">
        <v>99</v>
      </c>
      <c r="M423" s="14" t="s">
        <v>103</v>
      </c>
      <c r="N423" s="14" t="s">
        <v>104</v>
      </c>
      <c r="O423" s="14" t="s">
        <v>99</v>
      </c>
      <c r="P423" s="14" t="s">
        <v>99</v>
      </c>
      <c r="Q423" s="14" t="s">
        <v>99</v>
      </c>
      <c r="R423" s="14" t="s">
        <v>99</v>
      </c>
      <c r="S423" s="14" t="s">
        <v>99</v>
      </c>
      <c r="T423" s="14" t="s">
        <v>8302</v>
      </c>
      <c r="U423" s="14" t="s">
        <v>8303</v>
      </c>
      <c r="V423" s="14" t="s">
        <v>8304</v>
      </c>
      <c r="W423" s="14" t="s">
        <v>8305</v>
      </c>
      <c r="X423" s="14" t="s">
        <v>8306</v>
      </c>
      <c r="Y423" s="14" t="s">
        <v>8307</v>
      </c>
      <c r="Z423" s="14" t="s">
        <v>8308</v>
      </c>
      <c r="AA423" s="14" t="s">
        <v>8309</v>
      </c>
      <c r="AB423" s="14" t="s">
        <v>8310</v>
      </c>
      <c r="AC423" s="14" t="s">
        <v>99</v>
      </c>
      <c r="AD423" s="14" t="s">
        <v>99</v>
      </c>
      <c r="AE423" s="14" t="s">
        <v>99</v>
      </c>
      <c r="AF423" s="14" t="s">
        <v>99</v>
      </c>
      <c r="AG423" s="14">
        <v>51.0</v>
      </c>
      <c r="AH423" s="14">
        <v>145.0</v>
      </c>
      <c r="AI423" s="14">
        <v>170.0</v>
      </c>
      <c r="AJ423" s="14">
        <v>2.0</v>
      </c>
      <c r="AK423" s="14">
        <v>60.0</v>
      </c>
      <c r="AL423" s="14" t="s">
        <v>341</v>
      </c>
      <c r="AM423" s="14" t="s">
        <v>342</v>
      </c>
      <c r="AN423" s="14" t="s">
        <v>343</v>
      </c>
      <c r="AO423" s="14" t="s">
        <v>739</v>
      </c>
      <c r="AP423" s="14" t="s">
        <v>740</v>
      </c>
      <c r="AQ423" s="14" t="s">
        <v>99</v>
      </c>
      <c r="AR423" s="14" t="s">
        <v>741</v>
      </c>
      <c r="AS423" s="14" t="s">
        <v>742</v>
      </c>
      <c r="AT423" s="14" t="s">
        <v>421</v>
      </c>
      <c r="AU423" s="14">
        <v>2006.0</v>
      </c>
      <c r="AV423" s="14">
        <v>12.0</v>
      </c>
      <c r="AW423" s="14">
        <v>5.0</v>
      </c>
      <c r="AX423" s="14" t="s">
        <v>99</v>
      </c>
      <c r="AY423" s="14" t="s">
        <v>99</v>
      </c>
      <c r="AZ423" s="14" t="s">
        <v>99</v>
      </c>
      <c r="BA423" s="14" t="s">
        <v>99</v>
      </c>
      <c r="BB423" s="14">
        <v>555.0</v>
      </c>
      <c r="BC423" s="14">
        <v>562.0</v>
      </c>
      <c r="BD423" s="14" t="s">
        <v>99</v>
      </c>
      <c r="BE423" s="14" t="s">
        <v>8311</v>
      </c>
      <c r="BF423" s="15" t="str">
        <f>HYPERLINK("http://dx.doi.org/10.1111/j.1366-9516.2006.00273.x","http://dx.doi.org/10.1111/j.1366-9516.2006.00273.x")</f>
        <v>http://dx.doi.org/10.1111/j.1366-9516.2006.00273.x</v>
      </c>
      <c r="BG423" s="14" t="s">
        <v>99</v>
      </c>
      <c r="BH423" s="14" t="s">
        <v>99</v>
      </c>
      <c r="BI423" s="14">
        <v>8.0</v>
      </c>
      <c r="BJ423" s="14" t="s">
        <v>550</v>
      </c>
      <c r="BK423" s="14" t="s">
        <v>122</v>
      </c>
      <c r="BL423" s="14" t="s">
        <v>352</v>
      </c>
      <c r="BM423" s="14" t="s">
        <v>8312</v>
      </c>
      <c r="BN423" s="14" t="s">
        <v>99</v>
      </c>
      <c r="BO423" s="14" t="s">
        <v>99</v>
      </c>
      <c r="BP423" s="14" t="s">
        <v>99</v>
      </c>
      <c r="BQ423" s="14" t="s">
        <v>99</v>
      </c>
      <c r="BR423" s="14" t="s">
        <v>124</v>
      </c>
      <c r="BS423" s="14" t="s">
        <v>8313</v>
      </c>
      <c r="BT423" s="14" t="str">
        <f>HYPERLINK("https%3A%2F%2Fwww.webofscience.com%2Fwos%2Fwoscc%2Ffull-record%2FWOS:000239798200010","View Full Record in Web of Science")</f>
        <v>View Full Record in Web of Science</v>
      </c>
    </row>
    <row r="424" ht="12.75" customHeight="1">
      <c r="A424" s="14" t="s">
        <v>97</v>
      </c>
      <c r="B424" s="14" t="s">
        <v>8314</v>
      </c>
      <c r="C424" s="14" t="s">
        <v>99</v>
      </c>
      <c r="D424" s="14" t="s">
        <v>99</v>
      </c>
      <c r="E424" s="14" t="s">
        <v>99</v>
      </c>
      <c r="F424" s="14" t="s">
        <v>8315</v>
      </c>
      <c r="G424" s="14" t="s">
        <v>99</v>
      </c>
      <c r="H424" s="14" t="s">
        <v>99</v>
      </c>
      <c r="I424" s="14" t="s">
        <v>8316</v>
      </c>
      <c r="J424" s="14" t="s">
        <v>328</v>
      </c>
      <c r="K424" s="14" t="s">
        <v>99</v>
      </c>
      <c r="L424" s="14" t="s">
        <v>99</v>
      </c>
      <c r="M424" s="14" t="s">
        <v>103</v>
      </c>
      <c r="N424" s="14" t="s">
        <v>104</v>
      </c>
      <c r="O424" s="14" t="s">
        <v>99</v>
      </c>
      <c r="P424" s="14" t="s">
        <v>99</v>
      </c>
      <c r="Q424" s="14" t="s">
        <v>99</v>
      </c>
      <c r="R424" s="14" t="s">
        <v>99</v>
      </c>
      <c r="S424" s="14" t="s">
        <v>99</v>
      </c>
      <c r="T424" s="14" t="s">
        <v>8317</v>
      </c>
      <c r="U424" s="14" t="s">
        <v>8318</v>
      </c>
      <c r="V424" s="14" t="s">
        <v>8319</v>
      </c>
      <c r="W424" s="14" t="s">
        <v>8320</v>
      </c>
      <c r="X424" s="14" t="s">
        <v>8321</v>
      </c>
      <c r="Y424" s="14" t="s">
        <v>8322</v>
      </c>
      <c r="Z424" s="14" t="s">
        <v>8323</v>
      </c>
      <c r="AA424" s="14" t="s">
        <v>8324</v>
      </c>
      <c r="AB424" s="14" t="s">
        <v>8325</v>
      </c>
      <c r="AC424" s="14" t="s">
        <v>99</v>
      </c>
      <c r="AD424" s="14" t="s">
        <v>99</v>
      </c>
      <c r="AE424" s="14" t="s">
        <v>99</v>
      </c>
      <c r="AF424" s="14" t="s">
        <v>99</v>
      </c>
      <c r="AG424" s="14">
        <v>41.0</v>
      </c>
      <c r="AH424" s="14">
        <v>87.0</v>
      </c>
      <c r="AI424" s="14">
        <v>92.0</v>
      </c>
      <c r="AJ424" s="14">
        <v>1.0</v>
      </c>
      <c r="AK424" s="14">
        <v>48.0</v>
      </c>
      <c r="AL424" s="14" t="s">
        <v>341</v>
      </c>
      <c r="AM424" s="14" t="s">
        <v>342</v>
      </c>
      <c r="AN424" s="14" t="s">
        <v>343</v>
      </c>
      <c r="AO424" s="14" t="s">
        <v>344</v>
      </c>
      <c r="AP424" s="14" t="s">
        <v>345</v>
      </c>
      <c r="AQ424" s="14" t="s">
        <v>99</v>
      </c>
      <c r="AR424" s="14" t="s">
        <v>346</v>
      </c>
      <c r="AS424" s="14" t="s">
        <v>347</v>
      </c>
      <c r="AT424" s="14" t="s">
        <v>421</v>
      </c>
      <c r="AU424" s="14">
        <v>2006.0</v>
      </c>
      <c r="AV424" s="14">
        <v>12.0</v>
      </c>
      <c r="AW424" s="14">
        <v>9.0</v>
      </c>
      <c r="AX424" s="14" t="s">
        <v>99</v>
      </c>
      <c r="AY424" s="14" t="s">
        <v>99</v>
      </c>
      <c r="AZ424" s="14" t="s">
        <v>99</v>
      </c>
      <c r="BA424" s="14" t="s">
        <v>99</v>
      </c>
      <c r="BB424" s="14">
        <v>1788.0</v>
      </c>
      <c r="BC424" s="14">
        <v>1799.0</v>
      </c>
      <c r="BD424" s="14" t="s">
        <v>99</v>
      </c>
      <c r="BE424" s="14" t="s">
        <v>8326</v>
      </c>
      <c r="BF424" s="15" t="str">
        <f>HYPERLINK("http://dx.doi.org/10.1111/j.1365-2486.2006.01231.x","http://dx.doi.org/10.1111/j.1365-2486.2006.01231.x")</f>
        <v>http://dx.doi.org/10.1111/j.1365-2486.2006.01231.x</v>
      </c>
      <c r="BG424" s="14" t="s">
        <v>99</v>
      </c>
      <c r="BH424" s="14" t="s">
        <v>99</v>
      </c>
      <c r="BI424" s="14">
        <v>12.0</v>
      </c>
      <c r="BJ424" s="14" t="s">
        <v>351</v>
      </c>
      <c r="BK424" s="14" t="s">
        <v>122</v>
      </c>
      <c r="BL424" s="14" t="s">
        <v>352</v>
      </c>
      <c r="BM424" s="14" t="s">
        <v>8327</v>
      </c>
      <c r="BN424" s="14" t="s">
        <v>99</v>
      </c>
      <c r="BO424" s="14" t="s">
        <v>576</v>
      </c>
      <c r="BP424" s="14" t="s">
        <v>99</v>
      </c>
      <c r="BQ424" s="14" t="s">
        <v>99</v>
      </c>
      <c r="BR424" s="14" t="s">
        <v>124</v>
      </c>
      <c r="BS424" s="14" t="s">
        <v>8328</v>
      </c>
      <c r="BT424" s="14" t="str">
        <f>HYPERLINK("https%3A%2F%2Fwww.webofscience.com%2Fwos%2Fwoscc%2Ffull-record%2FWOS:000240005300018","View Full Record in Web of Science")</f>
        <v>View Full Record in Web of Science</v>
      </c>
    </row>
    <row r="425" ht="12.75" customHeight="1">
      <c r="A425" s="14" t="s">
        <v>97</v>
      </c>
      <c r="B425" s="14" t="s">
        <v>8329</v>
      </c>
      <c r="C425" s="14" t="s">
        <v>99</v>
      </c>
      <c r="D425" s="14" t="s">
        <v>99</v>
      </c>
      <c r="E425" s="14" t="s">
        <v>99</v>
      </c>
      <c r="F425" s="14" t="s">
        <v>8330</v>
      </c>
      <c r="G425" s="14" t="s">
        <v>99</v>
      </c>
      <c r="H425" s="14" t="s">
        <v>99</v>
      </c>
      <c r="I425" s="14" t="s">
        <v>8331</v>
      </c>
      <c r="J425" s="14" t="s">
        <v>8332</v>
      </c>
      <c r="K425" s="14" t="s">
        <v>99</v>
      </c>
      <c r="L425" s="14" t="s">
        <v>99</v>
      </c>
      <c r="M425" s="14" t="s">
        <v>103</v>
      </c>
      <c r="N425" s="14" t="s">
        <v>104</v>
      </c>
      <c r="O425" s="14" t="s">
        <v>99</v>
      </c>
      <c r="P425" s="14" t="s">
        <v>99</v>
      </c>
      <c r="Q425" s="14" t="s">
        <v>99</v>
      </c>
      <c r="R425" s="14" t="s">
        <v>99</v>
      </c>
      <c r="S425" s="14" t="s">
        <v>99</v>
      </c>
      <c r="T425" s="14" t="s">
        <v>8333</v>
      </c>
      <c r="U425" s="14" t="s">
        <v>99</v>
      </c>
      <c r="V425" s="14" t="s">
        <v>8334</v>
      </c>
      <c r="W425" s="14" t="s">
        <v>8335</v>
      </c>
      <c r="X425" s="14" t="s">
        <v>8336</v>
      </c>
      <c r="Y425" s="14" t="s">
        <v>8337</v>
      </c>
      <c r="Z425" s="14" t="s">
        <v>1836</v>
      </c>
      <c r="AA425" s="14" t="s">
        <v>8338</v>
      </c>
      <c r="AB425" s="14" t="s">
        <v>8339</v>
      </c>
      <c r="AC425" s="14" t="s">
        <v>99</v>
      </c>
      <c r="AD425" s="14" t="s">
        <v>99</v>
      </c>
      <c r="AE425" s="14" t="s">
        <v>99</v>
      </c>
      <c r="AF425" s="14" t="s">
        <v>99</v>
      </c>
      <c r="AG425" s="14">
        <v>23.0</v>
      </c>
      <c r="AH425" s="14">
        <v>43.0</v>
      </c>
      <c r="AI425" s="14">
        <v>45.0</v>
      </c>
      <c r="AJ425" s="14">
        <v>0.0</v>
      </c>
      <c r="AK425" s="14">
        <v>15.0</v>
      </c>
      <c r="AL425" s="14" t="s">
        <v>341</v>
      </c>
      <c r="AM425" s="14" t="s">
        <v>342</v>
      </c>
      <c r="AN425" s="14" t="s">
        <v>343</v>
      </c>
      <c r="AO425" s="14" t="s">
        <v>8340</v>
      </c>
      <c r="AP425" s="14" t="s">
        <v>8341</v>
      </c>
      <c r="AQ425" s="14" t="s">
        <v>99</v>
      </c>
      <c r="AR425" s="14" t="s">
        <v>8342</v>
      </c>
      <c r="AS425" s="14" t="s">
        <v>8343</v>
      </c>
      <c r="AT425" s="14" t="s">
        <v>168</v>
      </c>
      <c r="AU425" s="14">
        <v>2006.0</v>
      </c>
      <c r="AV425" s="14">
        <v>10.0</v>
      </c>
      <c r="AW425" s="14">
        <v>4.0</v>
      </c>
      <c r="AX425" s="14" t="s">
        <v>99</v>
      </c>
      <c r="AY425" s="14" t="s">
        <v>99</v>
      </c>
      <c r="AZ425" s="14" t="s">
        <v>99</v>
      </c>
      <c r="BA425" s="14" t="s">
        <v>99</v>
      </c>
      <c r="BB425" s="14">
        <v>133.0</v>
      </c>
      <c r="BC425" s="14">
        <v>147.0</v>
      </c>
      <c r="BD425" s="14" t="s">
        <v>99</v>
      </c>
      <c r="BE425" s="14" t="s">
        <v>8344</v>
      </c>
      <c r="BF425" s="15" t="str">
        <f>HYPERLINK("http://dx.doi.org/10.1162/jiec.2006.10.4.133","http://dx.doi.org/10.1162/jiec.2006.10.4.133")</f>
        <v>http://dx.doi.org/10.1162/jiec.2006.10.4.133</v>
      </c>
      <c r="BG425" s="14" t="s">
        <v>99</v>
      </c>
      <c r="BH425" s="14" t="s">
        <v>99</v>
      </c>
      <c r="BI425" s="14">
        <v>15.0</v>
      </c>
      <c r="BJ425" s="14" t="s">
        <v>1848</v>
      </c>
      <c r="BK425" s="14" t="s">
        <v>122</v>
      </c>
      <c r="BL425" s="14" t="s">
        <v>1849</v>
      </c>
      <c r="BM425" s="14" t="s">
        <v>8345</v>
      </c>
      <c r="BN425" s="14" t="s">
        <v>99</v>
      </c>
      <c r="BO425" s="14" t="s">
        <v>99</v>
      </c>
      <c r="BP425" s="14" t="s">
        <v>99</v>
      </c>
      <c r="BQ425" s="14" t="s">
        <v>99</v>
      </c>
      <c r="BR425" s="14" t="s">
        <v>124</v>
      </c>
      <c r="BS425" s="14" t="s">
        <v>8346</v>
      </c>
      <c r="BT425" s="14" t="str">
        <f>HYPERLINK("https%3A%2F%2Fwww.webofscience.com%2Fwos%2Fwoscc%2Ffull-record%2FWOS:000242416200011","View Full Record in Web of Science")</f>
        <v>View Full Record in Web of Science</v>
      </c>
    </row>
    <row r="426" ht="12.75" customHeight="1">
      <c r="A426" s="14" t="s">
        <v>97</v>
      </c>
      <c r="B426" s="14" t="s">
        <v>8347</v>
      </c>
      <c r="C426" s="14" t="s">
        <v>99</v>
      </c>
      <c r="D426" s="14" t="s">
        <v>99</v>
      </c>
      <c r="E426" s="14" t="s">
        <v>99</v>
      </c>
      <c r="F426" s="14" t="s">
        <v>8348</v>
      </c>
      <c r="G426" s="14" t="s">
        <v>99</v>
      </c>
      <c r="H426" s="14" t="s">
        <v>99</v>
      </c>
      <c r="I426" s="14" t="s">
        <v>8349</v>
      </c>
      <c r="J426" s="14" t="s">
        <v>1721</v>
      </c>
      <c r="K426" s="14" t="s">
        <v>99</v>
      </c>
      <c r="L426" s="14" t="s">
        <v>99</v>
      </c>
      <c r="M426" s="14" t="s">
        <v>103</v>
      </c>
      <c r="N426" s="14" t="s">
        <v>104</v>
      </c>
      <c r="O426" s="14" t="s">
        <v>99</v>
      </c>
      <c r="P426" s="14" t="s">
        <v>99</v>
      </c>
      <c r="Q426" s="14" t="s">
        <v>99</v>
      </c>
      <c r="R426" s="14" t="s">
        <v>99</v>
      </c>
      <c r="S426" s="14" t="s">
        <v>99</v>
      </c>
      <c r="T426" s="14" t="s">
        <v>8350</v>
      </c>
      <c r="U426" s="14" t="s">
        <v>8351</v>
      </c>
      <c r="V426" s="14" t="s">
        <v>8352</v>
      </c>
      <c r="W426" s="14" t="s">
        <v>8257</v>
      </c>
      <c r="X426" s="14" t="s">
        <v>8258</v>
      </c>
      <c r="Y426" s="14" t="s">
        <v>8353</v>
      </c>
      <c r="Z426" s="14" t="s">
        <v>8354</v>
      </c>
      <c r="AA426" s="14" t="s">
        <v>8355</v>
      </c>
      <c r="AB426" s="14" t="s">
        <v>8356</v>
      </c>
      <c r="AC426" s="14" t="s">
        <v>99</v>
      </c>
      <c r="AD426" s="14" t="s">
        <v>99</v>
      </c>
      <c r="AE426" s="14" t="s">
        <v>99</v>
      </c>
      <c r="AF426" s="14" t="s">
        <v>99</v>
      </c>
      <c r="AG426" s="14">
        <v>62.0</v>
      </c>
      <c r="AH426" s="14">
        <v>43.0</v>
      </c>
      <c r="AI426" s="14">
        <v>49.0</v>
      </c>
      <c r="AJ426" s="14">
        <v>0.0</v>
      </c>
      <c r="AK426" s="14">
        <v>32.0</v>
      </c>
      <c r="AL426" s="14" t="s">
        <v>1731</v>
      </c>
      <c r="AM426" s="14" t="s">
        <v>1732</v>
      </c>
      <c r="AN426" s="14" t="s">
        <v>1733</v>
      </c>
      <c r="AO426" s="14" t="s">
        <v>1734</v>
      </c>
      <c r="AP426" s="14" t="s">
        <v>1735</v>
      </c>
      <c r="AQ426" s="14" t="s">
        <v>99</v>
      </c>
      <c r="AR426" s="14" t="s">
        <v>1736</v>
      </c>
      <c r="AS426" s="14" t="s">
        <v>1737</v>
      </c>
      <c r="AT426" s="14" t="s">
        <v>421</v>
      </c>
      <c r="AU426" s="14">
        <v>2006.0</v>
      </c>
      <c r="AV426" s="14">
        <v>15.0</v>
      </c>
      <c r="AW426" s="14">
        <v>10.0</v>
      </c>
      <c r="AX426" s="14" t="s">
        <v>99</v>
      </c>
      <c r="AY426" s="14" t="s">
        <v>99</v>
      </c>
      <c r="AZ426" s="14" t="s">
        <v>99</v>
      </c>
      <c r="BA426" s="14" t="s">
        <v>99</v>
      </c>
      <c r="BB426" s="14">
        <v>3341.0</v>
      </c>
      <c r="BC426" s="14">
        <v>3356.0</v>
      </c>
      <c r="BD426" s="14" t="s">
        <v>99</v>
      </c>
      <c r="BE426" s="14" t="s">
        <v>8357</v>
      </c>
      <c r="BF426" s="15" t="str">
        <f>HYPERLINK("http://dx.doi.org/10.1007/s10531-005-1345-8","http://dx.doi.org/10.1007/s10531-005-1345-8")</f>
        <v>http://dx.doi.org/10.1007/s10531-005-1345-8</v>
      </c>
      <c r="BG426" s="14" t="s">
        <v>99</v>
      </c>
      <c r="BH426" s="14" t="s">
        <v>99</v>
      </c>
      <c r="BI426" s="14">
        <v>16.0</v>
      </c>
      <c r="BJ426" s="14" t="s">
        <v>351</v>
      </c>
      <c r="BK426" s="14" t="s">
        <v>122</v>
      </c>
      <c r="BL426" s="14" t="s">
        <v>352</v>
      </c>
      <c r="BM426" s="14" t="s">
        <v>8358</v>
      </c>
      <c r="BN426" s="14" t="s">
        <v>99</v>
      </c>
      <c r="BO426" s="14" t="s">
        <v>99</v>
      </c>
      <c r="BP426" s="14" t="s">
        <v>99</v>
      </c>
      <c r="BQ426" s="14" t="s">
        <v>99</v>
      </c>
      <c r="BR426" s="14" t="s">
        <v>124</v>
      </c>
      <c r="BS426" s="14" t="s">
        <v>8359</v>
      </c>
      <c r="BT426" s="14" t="str">
        <f>HYPERLINK("https%3A%2F%2Fwww.webofscience.com%2Fwos%2Fwoscc%2Ffull-record%2FWOS:000241791200014","View Full Record in Web of Science")</f>
        <v>View Full Record in Web of Science</v>
      </c>
    </row>
    <row r="427" ht="12.75" customHeight="1">
      <c r="A427" s="14" t="s">
        <v>97</v>
      </c>
      <c r="B427" s="14" t="s">
        <v>8360</v>
      </c>
      <c r="C427" s="14" t="s">
        <v>99</v>
      </c>
      <c r="D427" s="14" t="s">
        <v>99</v>
      </c>
      <c r="E427" s="14" t="s">
        <v>99</v>
      </c>
      <c r="F427" s="14" t="s">
        <v>8361</v>
      </c>
      <c r="G427" s="14" t="s">
        <v>99</v>
      </c>
      <c r="H427" s="14" t="s">
        <v>99</v>
      </c>
      <c r="I427" s="14" t="s">
        <v>8362</v>
      </c>
      <c r="J427" s="14" t="s">
        <v>8363</v>
      </c>
      <c r="K427" s="14" t="s">
        <v>99</v>
      </c>
      <c r="L427" s="14" t="s">
        <v>99</v>
      </c>
      <c r="M427" s="14" t="s">
        <v>103</v>
      </c>
      <c r="N427" s="14" t="s">
        <v>2284</v>
      </c>
      <c r="O427" s="14" t="s">
        <v>8364</v>
      </c>
      <c r="P427" s="14" t="s">
        <v>8365</v>
      </c>
      <c r="Q427" s="14" t="s">
        <v>8366</v>
      </c>
      <c r="R427" s="14" t="s">
        <v>99</v>
      </c>
      <c r="S427" s="14" t="s">
        <v>8367</v>
      </c>
      <c r="T427" s="14" t="s">
        <v>8368</v>
      </c>
      <c r="U427" s="14" t="s">
        <v>8369</v>
      </c>
      <c r="V427" s="14" t="s">
        <v>8370</v>
      </c>
      <c r="W427" s="14" t="s">
        <v>8371</v>
      </c>
      <c r="X427" s="14" t="s">
        <v>8372</v>
      </c>
      <c r="Y427" s="14" t="s">
        <v>8373</v>
      </c>
      <c r="Z427" s="14" t="s">
        <v>8374</v>
      </c>
      <c r="AA427" s="14" t="s">
        <v>8375</v>
      </c>
      <c r="AB427" s="14" t="s">
        <v>8376</v>
      </c>
      <c r="AC427" s="14" t="s">
        <v>99</v>
      </c>
      <c r="AD427" s="14" t="s">
        <v>99</v>
      </c>
      <c r="AE427" s="14" t="s">
        <v>99</v>
      </c>
      <c r="AF427" s="14" t="s">
        <v>99</v>
      </c>
      <c r="AG427" s="14">
        <v>60.0</v>
      </c>
      <c r="AH427" s="14">
        <v>122.0</v>
      </c>
      <c r="AI427" s="14">
        <v>139.0</v>
      </c>
      <c r="AJ427" s="14">
        <v>2.0</v>
      </c>
      <c r="AK427" s="14">
        <v>71.0</v>
      </c>
      <c r="AL427" s="14" t="s">
        <v>1544</v>
      </c>
      <c r="AM427" s="14" t="s">
        <v>274</v>
      </c>
      <c r="AN427" s="14" t="s">
        <v>1545</v>
      </c>
      <c r="AO427" s="14" t="s">
        <v>8377</v>
      </c>
      <c r="AP427" s="14" t="s">
        <v>8378</v>
      </c>
      <c r="AQ427" s="14" t="s">
        <v>99</v>
      </c>
      <c r="AR427" s="14" t="s">
        <v>8379</v>
      </c>
      <c r="AS427" s="14" t="s">
        <v>8380</v>
      </c>
      <c r="AT427" s="14" t="s">
        <v>448</v>
      </c>
      <c r="AU427" s="14">
        <v>2006.0</v>
      </c>
      <c r="AV427" s="14">
        <v>364.0</v>
      </c>
      <c r="AW427" s="14">
        <v>1845.0</v>
      </c>
      <c r="AX427" s="14" t="s">
        <v>99</v>
      </c>
      <c r="AY427" s="14" t="s">
        <v>99</v>
      </c>
      <c r="AZ427" s="14" t="s">
        <v>99</v>
      </c>
      <c r="BA427" s="14" t="s">
        <v>99</v>
      </c>
      <c r="BB427" s="14">
        <v>2117.0</v>
      </c>
      <c r="BC427" s="14">
        <v>2133.0</v>
      </c>
      <c r="BD427" s="14" t="s">
        <v>99</v>
      </c>
      <c r="BE427" s="14" t="s">
        <v>8381</v>
      </c>
      <c r="BF427" s="15" t="str">
        <f>HYPERLINK("http://dx.doi.org/10.1098/rsta.2006.1816","http://dx.doi.org/10.1098/rsta.2006.1816")</f>
        <v>http://dx.doi.org/10.1098/rsta.2006.1816</v>
      </c>
      <c r="BG427" s="14" t="s">
        <v>99</v>
      </c>
      <c r="BH427" s="14" t="s">
        <v>99</v>
      </c>
      <c r="BI427" s="14">
        <v>17.0</v>
      </c>
      <c r="BJ427" s="14" t="s">
        <v>799</v>
      </c>
      <c r="BK427" s="14" t="s">
        <v>2311</v>
      </c>
      <c r="BL427" s="14" t="s">
        <v>801</v>
      </c>
      <c r="BM427" s="14" t="s">
        <v>8382</v>
      </c>
      <c r="BN427" s="14">
        <v>1.6844651E7</v>
      </c>
      <c r="BO427" s="14" t="s">
        <v>99</v>
      </c>
      <c r="BP427" s="14" t="s">
        <v>99</v>
      </c>
      <c r="BQ427" s="14" t="s">
        <v>99</v>
      </c>
      <c r="BR427" s="14" t="s">
        <v>124</v>
      </c>
      <c r="BS427" s="14" t="s">
        <v>8383</v>
      </c>
      <c r="BT427" s="14" t="str">
        <f>HYPERLINK("https%3A%2F%2Fwww.webofscience.com%2Fwos%2Fwoscc%2Ffull-record%2FWOS:000239923700016","View Full Record in Web of Science")</f>
        <v>View Full Record in Web of Science</v>
      </c>
    </row>
    <row r="428" ht="12.75" customHeight="1">
      <c r="A428" s="14" t="s">
        <v>97</v>
      </c>
      <c r="B428" s="14" t="s">
        <v>8384</v>
      </c>
      <c r="C428" s="14" t="s">
        <v>99</v>
      </c>
      <c r="D428" s="14" t="s">
        <v>99</v>
      </c>
      <c r="E428" s="14" t="s">
        <v>99</v>
      </c>
      <c r="F428" s="14" t="s">
        <v>8385</v>
      </c>
      <c r="G428" s="14" t="s">
        <v>99</v>
      </c>
      <c r="H428" s="14" t="s">
        <v>99</v>
      </c>
      <c r="I428" s="14" t="s">
        <v>8386</v>
      </c>
      <c r="J428" s="14" t="s">
        <v>8387</v>
      </c>
      <c r="K428" s="14" t="s">
        <v>99</v>
      </c>
      <c r="L428" s="14" t="s">
        <v>99</v>
      </c>
      <c r="M428" s="14" t="s">
        <v>103</v>
      </c>
      <c r="N428" s="14" t="s">
        <v>2284</v>
      </c>
      <c r="O428" s="14" t="s">
        <v>8388</v>
      </c>
      <c r="P428" s="14" t="s">
        <v>8389</v>
      </c>
      <c r="Q428" s="14" t="s">
        <v>8390</v>
      </c>
      <c r="R428" s="14" t="s">
        <v>99</v>
      </c>
      <c r="S428" s="14" t="s">
        <v>99</v>
      </c>
      <c r="T428" s="14" t="s">
        <v>8391</v>
      </c>
      <c r="U428" s="14" t="s">
        <v>8392</v>
      </c>
      <c r="V428" s="14" t="s">
        <v>8393</v>
      </c>
      <c r="W428" s="14" t="s">
        <v>8394</v>
      </c>
      <c r="X428" s="14" t="s">
        <v>8395</v>
      </c>
      <c r="Y428" s="14" t="s">
        <v>8396</v>
      </c>
      <c r="Z428" s="14" t="s">
        <v>8397</v>
      </c>
      <c r="AA428" s="14" t="s">
        <v>8398</v>
      </c>
      <c r="AB428" s="14" t="s">
        <v>8399</v>
      </c>
      <c r="AC428" s="14" t="s">
        <v>99</v>
      </c>
      <c r="AD428" s="14" t="s">
        <v>99</v>
      </c>
      <c r="AE428" s="14" t="s">
        <v>99</v>
      </c>
      <c r="AF428" s="14" t="s">
        <v>99</v>
      </c>
      <c r="AG428" s="14">
        <v>255.0</v>
      </c>
      <c r="AH428" s="14">
        <v>1607.0</v>
      </c>
      <c r="AI428" s="14">
        <v>1959.0</v>
      </c>
      <c r="AJ428" s="14">
        <v>44.0</v>
      </c>
      <c r="AK428" s="14">
        <v>2162.0</v>
      </c>
      <c r="AL428" s="14" t="s">
        <v>467</v>
      </c>
      <c r="AM428" s="14" t="s">
        <v>468</v>
      </c>
      <c r="AN428" s="14" t="s">
        <v>469</v>
      </c>
      <c r="AO428" s="14" t="s">
        <v>8400</v>
      </c>
      <c r="AP428" s="14" t="s">
        <v>8401</v>
      </c>
      <c r="AQ428" s="14" t="s">
        <v>99</v>
      </c>
      <c r="AR428" s="14" t="s">
        <v>8402</v>
      </c>
      <c r="AS428" s="14" t="s">
        <v>8403</v>
      </c>
      <c r="AT428" s="14" t="s">
        <v>474</v>
      </c>
      <c r="AU428" s="14">
        <v>2006.0</v>
      </c>
      <c r="AV428" s="14">
        <v>32.0</v>
      </c>
      <c r="AW428" s="14">
        <v>6.0</v>
      </c>
      <c r="AX428" s="14" t="s">
        <v>99</v>
      </c>
      <c r="AY428" s="14" t="s">
        <v>99</v>
      </c>
      <c r="AZ428" s="14" t="s">
        <v>99</v>
      </c>
      <c r="BA428" s="14" t="s">
        <v>99</v>
      </c>
      <c r="BB428" s="14">
        <v>831.0</v>
      </c>
      <c r="BC428" s="14">
        <v>849.0</v>
      </c>
      <c r="BD428" s="14" t="s">
        <v>99</v>
      </c>
      <c r="BE428" s="14" t="s">
        <v>8404</v>
      </c>
      <c r="BF428" s="15" t="str">
        <f>HYPERLINK("http://dx.doi.org/10.1016/j.envint.2006.05.002","http://dx.doi.org/10.1016/j.envint.2006.05.002")</f>
        <v>http://dx.doi.org/10.1016/j.envint.2006.05.002</v>
      </c>
      <c r="BG428" s="14" t="s">
        <v>99</v>
      </c>
      <c r="BH428" s="14" t="s">
        <v>99</v>
      </c>
      <c r="BI428" s="14">
        <v>19.0</v>
      </c>
      <c r="BJ428" s="14" t="s">
        <v>1041</v>
      </c>
      <c r="BK428" s="14" t="s">
        <v>2311</v>
      </c>
      <c r="BL428" s="14" t="s">
        <v>260</v>
      </c>
      <c r="BM428" s="14" t="s">
        <v>8405</v>
      </c>
      <c r="BN428" s="14">
        <v>1.6781774E7</v>
      </c>
      <c r="BO428" s="14" t="s">
        <v>99</v>
      </c>
      <c r="BP428" s="14" t="s">
        <v>99</v>
      </c>
      <c r="BQ428" s="14" t="s">
        <v>99</v>
      </c>
      <c r="BR428" s="14" t="s">
        <v>124</v>
      </c>
      <c r="BS428" s="14" t="s">
        <v>8406</v>
      </c>
      <c r="BT428" s="14" t="str">
        <f>HYPERLINK("https%3A%2F%2Fwww.webofscience.com%2Fwos%2Fwoscc%2Ffull-record%2FWOS:000239095700015","View Full Record in Web of Science")</f>
        <v>View Full Record in Web of Science</v>
      </c>
    </row>
    <row r="429" ht="12.75" customHeight="1">
      <c r="A429" s="14" t="s">
        <v>97</v>
      </c>
      <c r="B429" s="14" t="s">
        <v>8407</v>
      </c>
      <c r="C429" s="14" t="s">
        <v>99</v>
      </c>
      <c r="D429" s="14" t="s">
        <v>99</v>
      </c>
      <c r="E429" s="14" t="s">
        <v>99</v>
      </c>
      <c r="F429" s="14" t="s">
        <v>8408</v>
      </c>
      <c r="G429" s="14" t="s">
        <v>99</v>
      </c>
      <c r="H429" s="14" t="s">
        <v>99</v>
      </c>
      <c r="I429" s="14" t="s">
        <v>8409</v>
      </c>
      <c r="J429" s="14" t="s">
        <v>2142</v>
      </c>
      <c r="K429" s="14" t="s">
        <v>99</v>
      </c>
      <c r="L429" s="14" t="s">
        <v>99</v>
      </c>
      <c r="M429" s="14" t="s">
        <v>103</v>
      </c>
      <c r="N429" s="14" t="s">
        <v>104</v>
      </c>
      <c r="O429" s="14" t="s">
        <v>99</v>
      </c>
      <c r="P429" s="14" t="s">
        <v>99</v>
      </c>
      <c r="Q429" s="14" t="s">
        <v>99</v>
      </c>
      <c r="R429" s="14" t="s">
        <v>99</v>
      </c>
      <c r="S429" s="14" t="s">
        <v>99</v>
      </c>
      <c r="T429" s="14" t="s">
        <v>8410</v>
      </c>
      <c r="U429" s="14" t="s">
        <v>8411</v>
      </c>
      <c r="V429" s="14" t="s">
        <v>8412</v>
      </c>
      <c r="W429" s="14" t="s">
        <v>8413</v>
      </c>
      <c r="X429" s="14" t="s">
        <v>8414</v>
      </c>
      <c r="Y429" s="14" t="s">
        <v>8415</v>
      </c>
      <c r="Z429" s="14" t="s">
        <v>8416</v>
      </c>
      <c r="AA429" s="14" t="s">
        <v>8417</v>
      </c>
      <c r="AB429" s="14" t="s">
        <v>8418</v>
      </c>
      <c r="AC429" s="14" t="s">
        <v>99</v>
      </c>
      <c r="AD429" s="14" t="s">
        <v>99</v>
      </c>
      <c r="AE429" s="14" t="s">
        <v>99</v>
      </c>
      <c r="AF429" s="14" t="s">
        <v>99</v>
      </c>
      <c r="AG429" s="14">
        <v>59.0</v>
      </c>
      <c r="AH429" s="14">
        <v>286.0</v>
      </c>
      <c r="AI429" s="14">
        <v>343.0</v>
      </c>
      <c r="AJ429" s="14">
        <v>1.0</v>
      </c>
      <c r="AK429" s="14">
        <v>251.0</v>
      </c>
      <c r="AL429" s="14" t="s">
        <v>341</v>
      </c>
      <c r="AM429" s="14" t="s">
        <v>342</v>
      </c>
      <c r="AN429" s="14" t="s">
        <v>343</v>
      </c>
      <c r="AO429" s="14" t="s">
        <v>2155</v>
      </c>
      <c r="AP429" s="14" t="s">
        <v>2156</v>
      </c>
      <c r="AQ429" s="14" t="s">
        <v>99</v>
      </c>
      <c r="AR429" s="14" t="s">
        <v>2157</v>
      </c>
      <c r="AS429" s="14" t="s">
        <v>2158</v>
      </c>
      <c r="AT429" s="14" t="s">
        <v>474</v>
      </c>
      <c r="AU429" s="14">
        <v>2006.0</v>
      </c>
      <c r="AV429" s="14">
        <v>20.0</v>
      </c>
      <c r="AW429" s="14">
        <v>4.0</v>
      </c>
      <c r="AX429" s="14" t="s">
        <v>99</v>
      </c>
      <c r="AY429" s="14" t="s">
        <v>99</v>
      </c>
      <c r="AZ429" s="14" t="s">
        <v>99</v>
      </c>
      <c r="BA429" s="14" t="s">
        <v>99</v>
      </c>
      <c r="BB429" s="14">
        <v>1251.0</v>
      </c>
      <c r="BC429" s="14">
        <v>1261.0</v>
      </c>
      <c r="BD429" s="14" t="s">
        <v>99</v>
      </c>
      <c r="BE429" s="14" t="s">
        <v>8419</v>
      </c>
      <c r="BF429" s="15" t="str">
        <f>HYPERLINK("http://dx.doi.org/10.1111/j.1523-1739.2006.00420.x","http://dx.doi.org/10.1111/j.1523-1739.2006.00420.x")</f>
        <v>http://dx.doi.org/10.1111/j.1523-1739.2006.00420.x</v>
      </c>
      <c r="BG429" s="14" t="s">
        <v>99</v>
      </c>
      <c r="BH429" s="14" t="s">
        <v>99</v>
      </c>
      <c r="BI429" s="14">
        <v>11.0</v>
      </c>
      <c r="BJ429" s="14" t="s">
        <v>351</v>
      </c>
      <c r="BK429" s="14" t="s">
        <v>122</v>
      </c>
      <c r="BL429" s="14" t="s">
        <v>352</v>
      </c>
      <c r="BM429" s="14" t="s">
        <v>8420</v>
      </c>
      <c r="BN429" s="14">
        <v>1.6922241E7</v>
      </c>
      <c r="BO429" s="14" t="s">
        <v>99</v>
      </c>
      <c r="BP429" s="14" t="s">
        <v>99</v>
      </c>
      <c r="BQ429" s="14" t="s">
        <v>99</v>
      </c>
      <c r="BR429" s="14" t="s">
        <v>124</v>
      </c>
      <c r="BS429" s="14" t="s">
        <v>8421</v>
      </c>
      <c r="BT429" s="14" t="str">
        <f>HYPERLINK("https%3A%2F%2Fwww.webofscience.com%2Fwos%2Fwoscc%2Ffull-record%2FWOS:000239545500036","View Full Record in Web of Science")</f>
        <v>View Full Record in Web of Science</v>
      </c>
    </row>
    <row r="430" ht="12.75" customHeight="1">
      <c r="A430" s="14" t="s">
        <v>97</v>
      </c>
      <c r="B430" s="14" t="s">
        <v>8422</v>
      </c>
      <c r="C430" s="14" t="s">
        <v>99</v>
      </c>
      <c r="D430" s="14" t="s">
        <v>99</v>
      </c>
      <c r="E430" s="14" t="s">
        <v>99</v>
      </c>
      <c r="F430" s="14" t="s">
        <v>8423</v>
      </c>
      <c r="G430" s="14" t="s">
        <v>99</v>
      </c>
      <c r="H430" s="14" t="s">
        <v>99</v>
      </c>
      <c r="I430" s="14" t="s">
        <v>8424</v>
      </c>
      <c r="J430" s="14" t="s">
        <v>328</v>
      </c>
      <c r="K430" s="14" t="s">
        <v>99</v>
      </c>
      <c r="L430" s="14" t="s">
        <v>99</v>
      </c>
      <c r="M430" s="14" t="s">
        <v>103</v>
      </c>
      <c r="N430" s="14" t="s">
        <v>104</v>
      </c>
      <c r="O430" s="14" t="s">
        <v>99</v>
      </c>
      <c r="P430" s="14" t="s">
        <v>99</v>
      </c>
      <c r="Q430" s="14" t="s">
        <v>99</v>
      </c>
      <c r="R430" s="14" t="s">
        <v>99</v>
      </c>
      <c r="S430" s="14" t="s">
        <v>99</v>
      </c>
      <c r="T430" s="14" t="s">
        <v>8425</v>
      </c>
      <c r="U430" s="14" t="s">
        <v>8426</v>
      </c>
      <c r="V430" s="14" t="s">
        <v>8427</v>
      </c>
      <c r="W430" s="14" t="s">
        <v>8428</v>
      </c>
      <c r="X430" s="14" t="s">
        <v>8429</v>
      </c>
      <c r="Y430" s="14" t="s">
        <v>8430</v>
      </c>
      <c r="Z430" s="14" t="s">
        <v>8431</v>
      </c>
      <c r="AA430" s="14" t="s">
        <v>8432</v>
      </c>
      <c r="AB430" s="14" t="s">
        <v>99</v>
      </c>
      <c r="AC430" s="14" t="s">
        <v>99</v>
      </c>
      <c r="AD430" s="14" t="s">
        <v>99</v>
      </c>
      <c r="AE430" s="14" t="s">
        <v>99</v>
      </c>
      <c r="AF430" s="14" t="s">
        <v>99</v>
      </c>
      <c r="AG430" s="14">
        <v>65.0</v>
      </c>
      <c r="AH430" s="14">
        <v>296.0</v>
      </c>
      <c r="AI430" s="14">
        <v>354.0</v>
      </c>
      <c r="AJ430" s="14">
        <v>1.0</v>
      </c>
      <c r="AK430" s="14">
        <v>106.0</v>
      </c>
      <c r="AL430" s="14" t="s">
        <v>341</v>
      </c>
      <c r="AM430" s="14" t="s">
        <v>342</v>
      </c>
      <c r="AN430" s="14" t="s">
        <v>343</v>
      </c>
      <c r="AO430" s="14" t="s">
        <v>344</v>
      </c>
      <c r="AP430" s="14" t="s">
        <v>345</v>
      </c>
      <c r="AQ430" s="14" t="s">
        <v>99</v>
      </c>
      <c r="AR430" s="14" t="s">
        <v>346</v>
      </c>
      <c r="AS430" s="14" t="s">
        <v>347</v>
      </c>
      <c r="AT430" s="14" t="s">
        <v>474</v>
      </c>
      <c r="AU430" s="14">
        <v>2006.0</v>
      </c>
      <c r="AV430" s="14">
        <v>12.0</v>
      </c>
      <c r="AW430" s="14">
        <v>8.0</v>
      </c>
      <c r="AX430" s="14" t="s">
        <v>99</v>
      </c>
      <c r="AY430" s="14" t="s">
        <v>99</v>
      </c>
      <c r="AZ430" s="14" t="s">
        <v>99</v>
      </c>
      <c r="BA430" s="14" t="s">
        <v>99</v>
      </c>
      <c r="BB430" s="14">
        <v>1568.0</v>
      </c>
      <c r="BC430" s="14">
        <v>1584.0</v>
      </c>
      <c r="BD430" s="14" t="s">
        <v>99</v>
      </c>
      <c r="BE430" s="14" t="s">
        <v>8433</v>
      </c>
      <c r="BF430" s="15" t="str">
        <f>HYPERLINK("http://dx.doi.org/10.1111/j.1365-2486.2006.01191.x","http://dx.doi.org/10.1111/j.1365-2486.2006.01191.x")</f>
        <v>http://dx.doi.org/10.1111/j.1365-2486.2006.01191.x</v>
      </c>
      <c r="BG430" s="14" t="s">
        <v>99</v>
      </c>
      <c r="BH430" s="14" t="s">
        <v>99</v>
      </c>
      <c r="BI430" s="14">
        <v>17.0</v>
      </c>
      <c r="BJ430" s="14" t="s">
        <v>351</v>
      </c>
      <c r="BK430" s="14" t="s">
        <v>122</v>
      </c>
      <c r="BL430" s="14" t="s">
        <v>352</v>
      </c>
      <c r="BM430" s="14" t="s">
        <v>8434</v>
      </c>
      <c r="BN430" s="14" t="s">
        <v>99</v>
      </c>
      <c r="BO430" s="14" t="s">
        <v>99</v>
      </c>
      <c r="BP430" s="14" t="s">
        <v>99</v>
      </c>
      <c r="BQ430" s="14" t="s">
        <v>99</v>
      </c>
      <c r="BR430" s="14" t="s">
        <v>124</v>
      </c>
      <c r="BS430" s="14" t="s">
        <v>8435</v>
      </c>
      <c r="BT430" s="14" t="str">
        <f>HYPERLINK("https%3A%2F%2Fwww.webofscience.com%2Fwos%2Fwoscc%2Ffull-record%2FWOS:000239004700018","View Full Record in Web of Science")</f>
        <v>View Full Record in Web of Science</v>
      </c>
    </row>
    <row r="431" ht="12.75" customHeight="1">
      <c r="A431" s="14" t="s">
        <v>97</v>
      </c>
      <c r="B431" s="14" t="s">
        <v>8436</v>
      </c>
      <c r="C431" s="14" t="s">
        <v>99</v>
      </c>
      <c r="D431" s="14" t="s">
        <v>99</v>
      </c>
      <c r="E431" s="14" t="s">
        <v>99</v>
      </c>
      <c r="F431" s="14" t="s">
        <v>8437</v>
      </c>
      <c r="G431" s="14" t="s">
        <v>99</v>
      </c>
      <c r="H431" s="14" t="s">
        <v>99</v>
      </c>
      <c r="I431" s="14" t="s">
        <v>8438</v>
      </c>
      <c r="J431" s="14" t="s">
        <v>430</v>
      </c>
      <c r="K431" s="14" t="s">
        <v>99</v>
      </c>
      <c r="L431" s="14" t="s">
        <v>99</v>
      </c>
      <c r="M431" s="14" t="s">
        <v>103</v>
      </c>
      <c r="N431" s="14" t="s">
        <v>104</v>
      </c>
      <c r="O431" s="14" t="s">
        <v>99</v>
      </c>
      <c r="P431" s="14" t="s">
        <v>99</v>
      </c>
      <c r="Q431" s="14" t="s">
        <v>99</v>
      </c>
      <c r="R431" s="14" t="s">
        <v>99</v>
      </c>
      <c r="S431" s="14" t="s">
        <v>99</v>
      </c>
      <c r="T431" s="14" t="s">
        <v>8439</v>
      </c>
      <c r="U431" s="14" t="s">
        <v>8440</v>
      </c>
      <c r="V431" s="14" t="s">
        <v>8441</v>
      </c>
      <c r="W431" s="14" t="s">
        <v>8442</v>
      </c>
      <c r="X431" s="14" t="s">
        <v>6702</v>
      </c>
      <c r="Y431" s="14" t="s">
        <v>8443</v>
      </c>
      <c r="Z431" s="14" t="s">
        <v>8444</v>
      </c>
      <c r="AA431" s="14" t="s">
        <v>8445</v>
      </c>
      <c r="AB431" s="14" t="s">
        <v>8446</v>
      </c>
      <c r="AC431" s="14" t="s">
        <v>99</v>
      </c>
      <c r="AD431" s="14" t="s">
        <v>99</v>
      </c>
      <c r="AE431" s="14" t="s">
        <v>99</v>
      </c>
      <c r="AF431" s="14" t="s">
        <v>99</v>
      </c>
      <c r="AG431" s="14">
        <v>38.0</v>
      </c>
      <c r="AH431" s="14">
        <v>40.0</v>
      </c>
      <c r="AI431" s="14">
        <v>63.0</v>
      </c>
      <c r="AJ431" s="14">
        <v>0.0</v>
      </c>
      <c r="AK431" s="14">
        <v>32.0</v>
      </c>
      <c r="AL431" s="14" t="s">
        <v>1033</v>
      </c>
      <c r="AM431" s="14" t="s">
        <v>442</v>
      </c>
      <c r="AN431" s="14" t="s">
        <v>1034</v>
      </c>
      <c r="AO431" s="14" t="s">
        <v>444</v>
      </c>
      <c r="AP431" s="14" t="s">
        <v>99</v>
      </c>
      <c r="AQ431" s="14" t="s">
        <v>99</v>
      </c>
      <c r="AR431" s="14" t="s">
        <v>446</v>
      </c>
      <c r="AS431" s="14" t="s">
        <v>447</v>
      </c>
      <c r="AT431" s="14" t="s">
        <v>8447</v>
      </c>
      <c r="AU431" s="14">
        <v>2006.0</v>
      </c>
      <c r="AV431" s="14">
        <v>230.0</v>
      </c>
      <c r="AW431" s="14" t="s">
        <v>8123</v>
      </c>
      <c r="AX431" s="14" t="s">
        <v>99</v>
      </c>
      <c r="AY431" s="14" t="s">
        <v>99</v>
      </c>
      <c r="AZ431" s="14" t="s">
        <v>99</v>
      </c>
      <c r="BA431" s="14" t="s">
        <v>99</v>
      </c>
      <c r="BB431" s="14">
        <v>162.0</v>
      </c>
      <c r="BC431" s="14">
        <v>170.0</v>
      </c>
      <c r="BD431" s="14" t="s">
        <v>99</v>
      </c>
      <c r="BE431" s="14" t="s">
        <v>8448</v>
      </c>
      <c r="BF431" s="15" t="str">
        <f>HYPERLINK("http://dx.doi.org/10.1016/j.foreco.2006.03.034","http://dx.doi.org/10.1016/j.foreco.2006.03.034")</f>
        <v>http://dx.doi.org/10.1016/j.foreco.2006.03.034</v>
      </c>
      <c r="BG431" s="14" t="s">
        <v>99</v>
      </c>
      <c r="BH431" s="14" t="s">
        <v>99</v>
      </c>
      <c r="BI431" s="14">
        <v>9.0</v>
      </c>
      <c r="BJ431" s="14" t="s">
        <v>281</v>
      </c>
      <c r="BK431" s="14" t="s">
        <v>122</v>
      </c>
      <c r="BL431" s="14" t="s">
        <v>281</v>
      </c>
      <c r="BM431" s="14" t="s">
        <v>8449</v>
      </c>
      <c r="BN431" s="14" t="s">
        <v>99</v>
      </c>
      <c r="BO431" s="14" t="s">
        <v>99</v>
      </c>
      <c r="BP431" s="14" t="s">
        <v>99</v>
      </c>
      <c r="BQ431" s="14" t="s">
        <v>99</v>
      </c>
      <c r="BR431" s="14" t="s">
        <v>124</v>
      </c>
      <c r="BS431" s="14" t="s">
        <v>8450</v>
      </c>
      <c r="BT431" s="14" t="str">
        <f>HYPERLINK("https%3A%2F%2Fwww.webofscience.com%2Fwos%2Fwoscc%2Ffull-record%2FWOS:000238863300014","View Full Record in Web of Science")</f>
        <v>View Full Record in Web of Science</v>
      </c>
    </row>
    <row r="432" ht="12.75" customHeight="1">
      <c r="A432" s="14" t="s">
        <v>97</v>
      </c>
      <c r="B432" s="14" t="s">
        <v>8451</v>
      </c>
      <c r="C432" s="14" t="s">
        <v>99</v>
      </c>
      <c r="D432" s="14" t="s">
        <v>99</v>
      </c>
      <c r="E432" s="14" t="s">
        <v>99</v>
      </c>
      <c r="F432" s="14" t="s">
        <v>8452</v>
      </c>
      <c r="G432" s="14" t="s">
        <v>99</v>
      </c>
      <c r="H432" s="14" t="s">
        <v>99</v>
      </c>
      <c r="I432" s="14" t="s">
        <v>8453</v>
      </c>
      <c r="J432" s="14" t="s">
        <v>1721</v>
      </c>
      <c r="K432" s="14" t="s">
        <v>99</v>
      </c>
      <c r="L432" s="14" t="s">
        <v>99</v>
      </c>
      <c r="M432" s="14" t="s">
        <v>103</v>
      </c>
      <c r="N432" s="14" t="s">
        <v>104</v>
      </c>
      <c r="O432" s="14" t="s">
        <v>99</v>
      </c>
      <c r="P432" s="14" t="s">
        <v>99</v>
      </c>
      <c r="Q432" s="14" t="s">
        <v>99</v>
      </c>
      <c r="R432" s="14" t="s">
        <v>99</v>
      </c>
      <c r="S432" s="14" t="s">
        <v>99</v>
      </c>
      <c r="T432" s="14" t="s">
        <v>8454</v>
      </c>
      <c r="U432" s="14" t="s">
        <v>8455</v>
      </c>
      <c r="V432" s="14" t="s">
        <v>8456</v>
      </c>
      <c r="W432" s="14" t="s">
        <v>8457</v>
      </c>
      <c r="X432" s="14" t="s">
        <v>5733</v>
      </c>
      <c r="Y432" s="14" t="s">
        <v>8458</v>
      </c>
      <c r="Z432" s="14" t="s">
        <v>8459</v>
      </c>
      <c r="AA432" s="14" t="s">
        <v>8460</v>
      </c>
      <c r="AB432" s="14" t="s">
        <v>8461</v>
      </c>
      <c r="AC432" s="14" t="s">
        <v>99</v>
      </c>
      <c r="AD432" s="14" t="s">
        <v>99</v>
      </c>
      <c r="AE432" s="14" t="s">
        <v>99</v>
      </c>
      <c r="AF432" s="14" t="s">
        <v>99</v>
      </c>
      <c r="AG432" s="14">
        <v>51.0</v>
      </c>
      <c r="AH432" s="14">
        <v>109.0</v>
      </c>
      <c r="AI432" s="14">
        <v>134.0</v>
      </c>
      <c r="AJ432" s="14">
        <v>1.0</v>
      </c>
      <c r="AK432" s="14">
        <v>71.0</v>
      </c>
      <c r="AL432" s="14" t="s">
        <v>1731</v>
      </c>
      <c r="AM432" s="14" t="s">
        <v>1732</v>
      </c>
      <c r="AN432" s="14" t="s">
        <v>1733</v>
      </c>
      <c r="AO432" s="14" t="s">
        <v>1734</v>
      </c>
      <c r="AP432" s="14" t="s">
        <v>1735</v>
      </c>
      <c r="AQ432" s="14" t="s">
        <v>99</v>
      </c>
      <c r="AR432" s="14" t="s">
        <v>1736</v>
      </c>
      <c r="AS432" s="14" t="s">
        <v>1737</v>
      </c>
      <c r="AT432" s="14" t="s">
        <v>525</v>
      </c>
      <c r="AU432" s="14">
        <v>2006.0</v>
      </c>
      <c r="AV432" s="14">
        <v>15.0</v>
      </c>
      <c r="AW432" s="14">
        <v>8.0</v>
      </c>
      <c r="AX432" s="14" t="s">
        <v>99</v>
      </c>
      <c r="AY432" s="14" t="s">
        <v>99</v>
      </c>
      <c r="AZ432" s="14" t="s">
        <v>99</v>
      </c>
      <c r="BA432" s="14" t="s">
        <v>99</v>
      </c>
      <c r="BB432" s="14">
        <v>2627.0</v>
      </c>
      <c r="BC432" s="14">
        <v>2653.0</v>
      </c>
      <c r="BD432" s="14" t="s">
        <v>99</v>
      </c>
      <c r="BE432" s="14" t="s">
        <v>8462</v>
      </c>
      <c r="BF432" s="15" t="str">
        <f>HYPERLINK("http://dx.doi.org/10.1007/s10531-005-5406-9","http://dx.doi.org/10.1007/s10531-005-5406-9")</f>
        <v>http://dx.doi.org/10.1007/s10531-005-5406-9</v>
      </c>
      <c r="BG432" s="14" t="s">
        <v>99</v>
      </c>
      <c r="BH432" s="14" t="s">
        <v>99</v>
      </c>
      <c r="BI432" s="14">
        <v>27.0</v>
      </c>
      <c r="BJ432" s="14" t="s">
        <v>351</v>
      </c>
      <c r="BK432" s="14" t="s">
        <v>122</v>
      </c>
      <c r="BL432" s="14" t="s">
        <v>352</v>
      </c>
      <c r="BM432" s="14" t="s">
        <v>8463</v>
      </c>
      <c r="BN432" s="14" t="s">
        <v>99</v>
      </c>
      <c r="BO432" s="14" t="s">
        <v>99</v>
      </c>
      <c r="BP432" s="14" t="s">
        <v>99</v>
      </c>
      <c r="BQ432" s="14" t="s">
        <v>99</v>
      </c>
      <c r="BR432" s="14" t="s">
        <v>124</v>
      </c>
      <c r="BS432" s="14" t="s">
        <v>8464</v>
      </c>
      <c r="BT432" s="14" t="str">
        <f>HYPERLINK("https%3A%2F%2Fwww.webofscience.com%2Fwos%2Fwoscc%2Ffull-record%2FWOS:000241168900016","View Full Record in Web of Science")</f>
        <v>View Full Record in Web of Science</v>
      </c>
    </row>
    <row r="433" ht="12.75" customHeight="1">
      <c r="A433" s="14" t="s">
        <v>97</v>
      </c>
      <c r="B433" s="14" t="s">
        <v>8465</v>
      </c>
      <c r="C433" s="14" t="s">
        <v>99</v>
      </c>
      <c r="D433" s="14" t="s">
        <v>99</v>
      </c>
      <c r="E433" s="14" t="s">
        <v>99</v>
      </c>
      <c r="F433" s="14" t="s">
        <v>8466</v>
      </c>
      <c r="G433" s="14" t="s">
        <v>99</v>
      </c>
      <c r="H433" s="14" t="s">
        <v>99</v>
      </c>
      <c r="I433" s="14" t="s">
        <v>8467</v>
      </c>
      <c r="J433" s="14" t="s">
        <v>8468</v>
      </c>
      <c r="K433" s="14" t="s">
        <v>99</v>
      </c>
      <c r="L433" s="14" t="s">
        <v>99</v>
      </c>
      <c r="M433" s="14" t="s">
        <v>103</v>
      </c>
      <c r="N433" s="14" t="s">
        <v>104</v>
      </c>
      <c r="O433" s="14" t="s">
        <v>99</v>
      </c>
      <c r="P433" s="14" t="s">
        <v>99</v>
      </c>
      <c r="Q433" s="14" t="s">
        <v>99</v>
      </c>
      <c r="R433" s="14" t="s">
        <v>99</v>
      </c>
      <c r="S433" s="14" t="s">
        <v>99</v>
      </c>
      <c r="T433" s="14" t="s">
        <v>8469</v>
      </c>
      <c r="U433" s="14" t="s">
        <v>8470</v>
      </c>
      <c r="V433" s="14" t="s">
        <v>8471</v>
      </c>
      <c r="W433" s="14" t="s">
        <v>8472</v>
      </c>
      <c r="X433" s="14" t="s">
        <v>8149</v>
      </c>
      <c r="Y433" s="14" t="s">
        <v>8473</v>
      </c>
      <c r="Z433" s="14" t="s">
        <v>8474</v>
      </c>
      <c r="AA433" s="14" t="s">
        <v>8475</v>
      </c>
      <c r="AB433" s="14" t="s">
        <v>8476</v>
      </c>
      <c r="AC433" s="14" t="s">
        <v>99</v>
      </c>
      <c r="AD433" s="14" t="s">
        <v>99</v>
      </c>
      <c r="AE433" s="14" t="s">
        <v>99</v>
      </c>
      <c r="AF433" s="14" t="s">
        <v>99</v>
      </c>
      <c r="AG433" s="14">
        <v>54.0</v>
      </c>
      <c r="AH433" s="14">
        <v>75.0</v>
      </c>
      <c r="AI433" s="14">
        <v>114.0</v>
      </c>
      <c r="AJ433" s="14">
        <v>5.0</v>
      </c>
      <c r="AK433" s="14">
        <v>113.0</v>
      </c>
      <c r="AL433" s="14" t="s">
        <v>467</v>
      </c>
      <c r="AM433" s="14" t="s">
        <v>468</v>
      </c>
      <c r="AN433" s="14" t="s">
        <v>469</v>
      </c>
      <c r="AO433" s="14" t="s">
        <v>8477</v>
      </c>
      <c r="AP433" s="14" t="s">
        <v>99</v>
      </c>
      <c r="AQ433" s="14" t="s">
        <v>99</v>
      </c>
      <c r="AR433" s="14" t="s">
        <v>8478</v>
      </c>
      <c r="AS433" s="14" t="s">
        <v>8479</v>
      </c>
      <c r="AT433" s="14" t="s">
        <v>525</v>
      </c>
      <c r="AU433" s="14">
        <v>2006.0</v>
      </c>
      <c r="AV433" s="14">
        <v>38.0</v>
      </c>
      <c r="AW433" s="14">
        <v>7.0</v>
      </c>
      <c r="AX433" s="14" t="s">
        <v>99</v>
      </c>
      <c r="AY433" s="14" t="s">
        <v>99</v>
      </c>
      <c r="AZ433" s="14" t="s">
        <v>99</v>
      </c>
      <c r="BA433" s="14" t="s">
        <v>99</v>
      </c>
      <c r="BB433" s="14">
        <v>1956.0</v>
      </c>
      <c r="BC433" s="14">
        <v>1965.0</v>
      </c>
      <c r="BD433" s="14" t="s">
        <v>99</v>
      </c>
      <c r="BE433" s="14" t="s">
        <v>8480</v>
      </c>
      <c r="BF433" s="15" t="str">
        <f>HYPERLINK("http://dx.doi.org/10.1016/j.soilbio.2005.12.019","http://dx.doi.org/10.1016/j.soilbio.2005.12.019")</f>
        <v>http://dx.doi.org/10.1016/j.soilbio.2005.12.019</v>
      </c>
      <c r="BG433" s="14" t="s">
        <v>99</v>
      </c>
      <c r="BH433" s="14" t="s">
        <v>99</v>
      </c>
      <c r="BI433" s="14">
        <v>10.0</v>
      </c>
      <c r="BJ433" s="14" t="s">
        <v>6815</v>
      </c>
      <c r="BK433" s="14" t="s">
        <v>122</v>
      </c>
      <c r="BL433" s="14" t="s">
        <v>2969</v>
      </c>
      <c r="BM433" s="14" t="s">
        <v>8481</v>
      </c>
      <c r="BN433" s="14" t="s">
        <v>99</v>
      </c>
      <c r="BO433" s="14" t="s">
        <v>99</v>
      </c>
      <c r="BP433" s="14" t="s">
        <v>99</v>
      </c>
      <c r="BQ433" s="14" t="s">
        <v>99</v>
      </c>
      <c r="BR433" s="14" t="s">
        <v>124</v>
      </c>
      <c r="BS433" s="14" t="s">
        <v>8482</v>
      </c>
      <c r="BT433" s="14" t="str">
        <f>HYPERLINK("https%3A%2F%2Fwww.webofscience.com%2Fwos%2Fwoscc%2Ffull-record%2FWOS:000239946100045","View Full Record in Web of Science")</f>
        <v>View Full Record in Web of Science</v>
      </c>
    </row>
    <row r="434" ht="12.75" customHeight="1">
      <c r="A434" s="14" t="s">
        <v>97</v>
      </c>
      <c r="B434" s="14" t="s">
        <v>8483</v>
      </c>
      <c r="C434" s="14" t="s">
        <v>99</v>
      </c>
      <c r="D434" s="14" t="s">
        <v>99</v>
      </c>
      <c r="E434" s="14" t="s">
        <v>99</v>
      </c>
      <c r="F434" s="14" t="s">
        <v>8484</v>
      </c>
      <c r="G434" s="14" t="s">
        <v>99</v>
      </c>
      <c r="H434" s="14" t="s">
        <v>99</v>
      </c>
      <c r="I434" s="14" t="s">
        <v>8485</v>
      </c>
      <c r="J434" s="14" t="s">
        <v>5708</v>
      </c>
      <c r="K434" s="14" t="s">
        <v>99</v>
      </c>
      <c r="L434" s="14" t="s">
        <v>99</v>
      </c>
      <c r="M434" s="14" t="s">
        <v>103</v>
      </c>
      <c r="N434" s="14" t="s">
        <v>104</v>
      </c>
      <c r="O434" s="14" t="s">
        <v>99</v>
      </c>
      <c r="P434" s="14" t="s">
        <v>99</v>
      </c>
      <c r="Q434" s="14" t="s">
        <v>99</v>
      </c>
      <c r="R434" s="14" t="s">
        <v>99</v>
      </c>
      <c r="S434" s="14" t="s">
        <v>99</v>
      </c>
      <c r="T434" s="14" t="s">
        <v>8486</v>
      </c>
      <c r="U434" s="14" t="s">
        <v>8487</v>
      </c>
      <c r="V434" s="14" t="s">
        <v>8488</v>
      </c>
      <c r="W434" s="14" t="s">
        <v>8489</v>
      </c>
      <c r="X434" s="14" t="s">
        <v>8490</v>
      </c>
      <c r="Y434" s="14" t="s">
        <v>8491</v>
      </c>
      <c r="Z434" s="14" t="s">
        <v>8492</v>
      </c>
      <c r="AA434" s="14" t="s">
        <v>99</v>
      </c>
      <c r="AB434" s="14" t="s">
        <v>99</v>
      </c>
      <c r="AC434" s="14" t="s">
        <v>99</v>
      </c>
      <c r="AD434" s="14" t="s">
        <v>99</v>
      </c>
      <c r="AE434" s="14" t="s">
        <v>99</v>
      </c>
      <c r="AF434" s="14" t="s">
        <v>99</v>
      </c>
      <c r="AG434" s="14">
        <v>37.0</v>
      </c>
      <c r="AH434" s="14">
        <v>26.0</v>
      </c>
      <c r="AI434" s="14">
        <v>34.0</v>
      </c>
      <c r="AJ434" s="14">
        <v>0.0</v>
      </c>
      <c r="AK434" s="14">
        <v>20.0</v>
      </c>
      <c r="AL434" s="14" t="s">
        <v>341</v>
      </c>
      <c r="AM434" s="14" t="s">
        <v>342</v>
      </c>
      <c r="AN434" s="14" t="s">
        <v>343</v>
      </c>
      <c r="AO434" s="14" t="s">
        <v>5719</v>
      </c>
      <c r="AP434" s="14" t="s">
        <v>5720</v>
      </c>
      <c r="AQ434" s="14" t="s">
        <v>99</v>
      </c>
      <c r="AR434" s="14" t="s">
        <v>5721</v>
      </c>
      <c r="AS434" s="14" t="s">
        <v>5722</v>
      </c>
      <c r="AT434" s="14" t="s">
        <v>616</v>
      </c>
      <c r="AU434" s="14">
        <v>2006.0</v>
      </c>
      <c r="AV434" s="14">
        <v>44.0</v>
      </c>
      <c r="AW434" s="14">
        <v>2.0</v>
      </c>
      <c r="AX434" s="14" t="s">
        <v>99</v>
      </c>
      <c r="AY434" s="14" t="s">
        <v>99</v>
      </c>
      <c r="AZ434" s="14" t="s">
        <v>99</v>
      </c>
      <c r="BA434" s="14" t="s">
        <v>99</v>
      </c>
      <c r="BB434" s="14">
        <v>209.0</v>
      </c>
      <c r="BC434" s="14">
        <v>218.0</v>
      </c>
      <c r="BD434" s="14" t="s">
        <v>99</v>
      </c>
      <c r="BE434" s="14" t="s">
        <v>8493</v>
      </c>
      <c r="BF434" s="15" t="str">
        <f>HYPERLINK("http://dx.doi.org/10.1111/j.1365-2028.2006.00629.x","http://dx.doi.org/10.1111/j.1365-2028.2006.00629.x")</f>
        <v>http://dx.doi.org/10.1111/j.1365-2028.2006.00629.x</v>
      </c>
      <c r="BG434" s="14" t="s">
        <v>99</v>
      </c>
      <c r="BH434" s="14" t="s">
        <v>99</v>
      </c>
      <c r="BI434" s="14">
        <v>10.0</v>
      </c>
      <c r="BJ434" s="14" t="s">
        <v>259</v>
      </c>
      <c r="BK434" s="14" t="s">
        <v>122</v>
      </c>
      <c r="BL434" s="14" t="s">
        <v>260</v>
      </c>
      <c r="BM434" s="14" t="s">
        <v>8494</v>
      </c>
      <c r="BN434" s="14" t="s">
        <v>99</v>
      </c>
      <c r="BO434" s="14" t="s">
        <v>99</v>
      </c>
      <c r="BP434" s="14" t="s">
        <v>99</v>
      </c>
      <c r="BQ434" s="14" t="s">
        <v>99</v>
      </c>
      <c r="BR434" s="14" t="s">
        <v>124</v>
      </c>
      <c r="BS434" s="14" t="s">
        <v>8495</v>
      </c>
      <c r="BT434" s="14" t="str">
        <f>HYPERLINK("https%3A%2F%2Fwww.webofscience.com%2Fwos%2Fwoscc%2Ffull-record%2FWOS:000237691500011","View Full Record in Web of Science")</f>
        <v>View Full Record in Web of Science</v>
      </c>
    </row>
    <row r="435" ht="12.75" customHeight="1">
      <c r="A435" s="14" t="s">
        <v>97</v>
      </c>
      <c r="B435" s="14" t="s">
        <v>8496</v>
      </c>
      <c r="C435" s="14" t="s">
        <v>99</v>
      </c>
      <c r="D435" s="14" t="s">
        <v>99</v>
      </c>
      <c r="E435" s="14" t="s">
        <v>99</v>
      </c>
      <c r="F435" s="14" t="s">
        <v>8497</v>
      </c>
      <c r="G435" s="14" t="s">
        <v>99</v>
      </c>
      <c r="H435" s="14" t="s">
        <v>99</v>
      </c>
      <c r="I435" s="14" t="s">
        <v>8498</v>
      </c>
      <c r="J435" s="14" t="s">
        <v>1102</v>
      </c>
      <c r="K435" s="14" t="s">
        <v>99</v>
      </c>
      <c r="L435" s="14" t="s">
        <v>99</v>
      </c>
      <c r="M435" s="14" t="s">
        <v>103</v>
      </c>
      <c r="N435" s="14" t="s">
        <v>104</v>
      </c>
      <c r="O435" s="14" t="s">
        <v>99</v>
      </c>
      <c r="P435" s="14" t="s">
        <v>99</v>
      </c>
      <c r="Q435" s="14" t="s">
        <v>99</v>
      </c>
      <c r="R435" s="14" t="s">
        <v>99</v>
      </c>
      <c r="S435" s="14" t="s">
        <v>99</v>
      </c>
      <c r="T435" s="14" t="s">
        <v>8499</v>
      </c>
      <c r="U435" s="14" t="s">
        <v>8500</v>
      </c>
      <c r="V435" s="14" t="s">
        <v>8501</v>
      </c>
      <c r="W435" s="14" t="s">
        <v>8502</v>
      </c>
      <c r="X435" s="14" t="s">
        <v>8503</v>
      </c>
      <c r="Y435" s="14" t="s">
        <v>8504</v>
      </c>
      <c r="Z435" s="14" t="s">
        <v>8505</v>
      </c>
      <c r="AA435" s="14" t="s">
        <v>8506</v>
      </c>
      <c r="AB435" s="14" t="s">
        <v>8507</v>
      </c>
      <c r="AC435" s="14" t="s">
        <v>99</v>
      </c>
      <c r="AD435" s="14" t="s">
        <v>99</v>
      </c>
      <c r="AE435" s="14" t="s">
        <v>99</v>
      </c>
      <c r="AF435" s="14" t="s">
        <v>99</v>
      </c>
      <c r="AG435" s="14">
        <v>48.0</v>
      </c>
      <c r="AH435" s="14">
        <v>88.0</v>
      </c>
      <c r="AI435" s="14">
        <v>99.0</v>
      </c>
      <c r="AJ435" s="14">
        <v>2.0</v>
      </c>
      <c r="AK435" s="14">
        <v>77.0</v>
      </c>
      <c r="AL435" s="14" t="s">
        <v>493</v>
      </c>
      <c r="AM435" s="14" t="s">
        <v>468</v>
      </c>
      <c r="AN435" s="14" t="s">
        <v>635</v>
      </c>
      <c r="AO435" s="14" t="s">
        <v>1112</v>
      </c>
      <c r="AP435" s="14" t="s">
        <v>1113</v>
      </c>
      <c r="AQ435" s="14" t="s">
        <v>99</v>
      </c>
      <c r="AR435" s="14" t="s">
        <v>1114</v>
      </c>
      <c r="AS435" s="14" t="s">
        <v>1115</v>
      </c>
      <c r="AT435" s="14" t="s">
        <v>640</v>
      </c>
      <c r="AU435" s="14">
        <v>2006.0</v>
      </c>
      <c r="AV435" s="14">
        <v>129.0</v>
      </c>
      <c r="AW435" s="14">
        <v>4.0</v>
      </c>
      <c r="AX435" s="14" t="s">
        <v>99</v>
      </c>
      <c r="AY435" s="14" t="s">
        <v>99</v>
      </c>
      <c r="AZ435" s="14" t="s">
        <v>99</v>
      </c>
      <c r="BA435" s="14" t="s">
        <v>99</v>
      </c>
      <c r="BB435" s="14">
        <v>566.0</v>
      </c>
      <c r="BC435" s="14">
        <v>578.0</v>
      </c>
      <c r="BD435" s="14" t="s">
        <v>99</v>
      </c>
      <c r="BE435" s="14" t="s">
        <v>8508</v>
      </c>
      <c r="BF435" s="15" t="str">
        <f>HYPERLINK("http://dx.doi.org/10.1016/j.biocon.2005.11.025","http://dx.doi.org/10.1016/j.biocon.2005.11.025")</f>
        <v>http://dx.doi.org/10.1016/j.biocon.2005.11.025</v>
      </c>
      <c r="BG435" s="14" t="s">
        <v>99</v>
      </c>
      <c r="BH435" s="14" t="s">
        <v>99</v>
      </c>
      <c r="BI435" s="14">
        <v>13.0</v>
      </c>
      <c r="BJ435" s="14" t="s">
        <v>351</v>
      </c>
      <c r="BK435" s="14" t="s">
        <v>122</v>
      </c>
      <c r="BL435" s="14" t="s">
        <v>352</v>
      </c>
      <c r="BM435" s="14" t="s">
        <v>8509</v>
      </c>
      <c r="BN435" s="14" t="s">
        <v>99</v>
      </c>
      <c r="BO435" s="14" t="s">
        <v>99</v>
      </c>
      <c r="BP435" s="14" t="s">
        <v>99</v>
      </c>
      <c r="BQ435" s="14" t="s">
        <v>99</v>
      </c>
      <c r="BR435" s="14" t="s">
        <v>124</v>
      </c>
      <c r="BS435" s="14" t="s">
        <v>8510</v>
      </c>
      <c r="BT435" s="14" t="str">
        <f>HYPERLINK("https%3A%2F%2Fwww.webofscience.com%2Fwos%2Fwoscc%2Ffull-record%2FWOS:000237878900014","View Full Record in Web of Science")</f>
        <v>View Full Record in Web of Science</v>
      </c>
    </row>
    <row r="436" ht="12.75" customHeight="1">
      <c r="A436" s="14" t="s">
        <v>97</v>
      </c>
      <c r="B436" s="14" t="s">
        <v>8511</v>
      </c>
      <c r="C436" s="14" t="s">
        <v>99</v>
      </c>
      <c r="D436" s="14" t="s">
        <v>99</v>
      </c>
      <c r="E436" s="14" t="s">
        <v>99</v>
      </c>
      <c r="F436" s="14" t="s">
        <v>8512</v>
      </c>
      <c r="G436" s="14" t="s">
        <v>99</v>
      </c>
      <c r="H436" s="14" t="s">
        <v>99</v>
      </c>
      <c r="I436" s="14" t="s">
        <v>8513</v>
      </c>
      <c r="J436" s="14" t="s">
        <v>2357</v>
      </c>
      <c r="K436" s="14" t="s">
        <v>99</v>
      </c>
      <c r="L436" s="14" t="s">
        <v>99</v>
      </c>
      <c r="M436" s="14" t="s">
        <v>103</v>
      </c>
      <c r="N436" s="14" t="s">
        <v>104</v>
      </c>
      <c r="O436" s="14" t="s">
        <v>99</v>
      </c>
      <c r="P436" s="14" t="s">
        <v>99</v>
      </c>
      <c r="Q436" s="14" t="s">
        <v>99</v>
      </c>
      <c r="R436" s="14" t="s">
        <v>99</v>
      </c>
      <c r="S436" s="14" t="s">
        <v>99</v>
      </c>
      <c r="T436" s="14" t="s">
        <v>99</v>
      </c>
      <c r="U436" s="14" t="s">
        <v>8514</v>
      </c>
      <c r="V436" s="14" t="s">
        <v>8515</v>
      </c>
      <c r="W436" s="14" t="s">
        <v>99</v>
      </c>
      <c r="X436" s="14" t="s">
        <v>99</v>
      </c>
      <c r="Y436" s="14" t="s">
        <v>8516</v>
      </c>
      <c r="Z436" s="14" t="s">
        <v>8517</v>
      </c>
      <c r="AA436" s="14" t="s">
        <v>8518</v>
      </c>
      <c r="AB436" s="14" t="s">
        <v>8519</v>
      </c>
      <c r="AC436" s="14" t="s">
        <v>99</v>
      </c>
      <c r="AD436" s="14" t="s">
        <v>99</v>
      </c>
      <c r="AE436" s="14" t="s">
        <v>99</v>
      </c>
      <c r="AF436" s="14" t="s">
        <v>99</v>
      </c>
      <c r="AG436" s="14">
        <v>72.0</v>
      </c>
      <c r="AH436" s="14">
        <v>26.0</v>
      </c>
      <c r="AI436" s="14">
        <v>30.0</v>
      </c>
      <c r="AJ436" s="14">
        <v>0.0</v>
      </c>
      <c r="AK436" s="14">
        <v>10.0</v>
      </c>
      <c r="AL436" s="14" t="s">
        <v>1731</v>
      </c>
      <c r="AM436" s="14" t="s">
        <v>1732</v>
      </c>
      <c r="AN436" s="14" t="s">
        <v>1733</v>
      </c>
      <c r="AO436" s="14" t="s">
        <v>2369</v>
      </c>
      <c r="AP436" s="14" t="s">
        <v>2370</v>
      </c>
      <c r="AQ436" s="14" t="s">
        <v>99</v>
      </c>
      <c r="AR436" s="14" t="s">
        <v>2357</v>
      </c>
      <c r="AS436" s="14" t="s">
        <v>2371</v>
      </c>
      <c r="AT436" s="14" t="s">
        <v>640</v>
      </c>
      <c r="AU436" s="14">
        <v>2006.0</v>
      </c>
      <c r="AV436" s="14">
        <v>76.0</v>
      </c>
      <c r="AW436" s="14" t="s">
        <v>1161</v>
      </c>
      <c r="AX436" s="14" t="s">
        <v>99</v>
      </c>
      <c r="AY436" s="14" t="s">
        <v>99</v>
      </c>
      <c r="AZ436" s="14" t="s">
        <v>99</v>
      </c>
      <c r="BA436" s="14" t="s">
        <v>99</v>
      </c>
      <c r="BB436" s="14">
        <v>91.0</v>
      </c>
      <c r="BC436" s="14">
        <v>119.0</v>
      </c>
      <c r="BD436" s="14" t="s">
        <v>99</v>
      </c>
      <c r="BE436" s="14" t="s">
        <v>8520</v>
      </c>
      <c r="BF436" s="15" t="str">
        <f>HYPERLINK("http://dx.doi.org/10.1007/s10584-005-9014-1","http://dx.doi.org/10.1007/s10584-005-9014-1")</f>
        <v>http://dx.doi.org/10.1007/s10584-005-9014-1</v>
      </c>
      <c r="BG436" s="14" t="s">
        <v>99</v>
      </c>
      <c r="BH436" s="14" t="s">
        <v>99</v>
      </c>
      <c r="BI436" s="14">
        <v>29.0</v>
      </c>
      <c r="BJ436" s="14" t="s">
        <v>573</v>
      </c>
      <c r="BK436" s="14" t="s">
        <v>122</v>
      </c>
      <c r="BL436" s="14" t="s">
        <v>574</v>
      </c>
      <c r="BM436" s="14" t="s">
        <v>8521</v>
      </c>
      <c r="BN436" s="14" t="s">
        <v>99</v>
      </c>
      <c r="BO436" s="14" t="s">
        <v>99</v>
      </c>
      <c r="BP436" s="14" t="s">
        <v>99</v>
      </c>
      <c r="BQ436" s="14" t="s">
        <v>99</v>
      </c>
      <c r="BR436" s="14" t="s">
        <v>124</v>
      </c>
      <c r="BS436" s="14" t="s">
        <v>8522</v>
      </c>
      <c r="BT436" s="14" t="str">
        <f>HYPERLINK("https%3A%2F%2Fwww.webofscience.com%2Fwos%2Fwoscc%2Ffull-record%2FWOS:000239060600006","View Full Record in Web of Science")</f>
        <v>View Full Record in Web of Science</v>
      </c>
    </row>
    <row r="437" ht="12.75" customHeight="1">
      <c r="A437" s="14" t="s">
        <v>97</v>
      </c>
      <c r="B437" s="14" t="s">
        <v>8523</v>
      </c>
      <c r="C437" s="14" t="s">
        <v>99</v>
      </c>
      <c r="D437" s="14" t="s">
        <v>99</v>
      </c>
      <c r="E437" s="14" t="s">
        <v>99</v>
      </c>
      <c r="F437" s="14" t="s">
        <v>8523</v>
      </c>
      <c r="G437" s="14" t="s">
        <v>99</v>
      </c>
      <c r="H437" s="14" t="s">
        <v>99</v>
      </c>
      <c r="I437" s="14" t="s">
        <v>8524</v>
      </c>
      <c r="J437" s="14" t="s">
        <v>5603</v>
      </c>
      <c r="K437" s="14" t="s">
        <v>99</v>
      </c>
      <c r="L437" s="14" t="s">
        <v>99</v>
      </c>
      <c r="M437" s="14" t="s">
        <v>103</v>
      </c>
      <c r="N437" s="14" t="s">
        <v>104</v>
      </c>
      <c r="O437" s="14" t="s">
        <v>99</v>
      </c>
      <c r="P437" s="14" t="s">
        <v>99</v>
      </c>
      <c r="Q437" s="14" t="s">
        <v>99</v>
      </c>
      <c r="R437" s="14" t="s">
        <v>99</v>
      </c>
      <c r="S437" s="14" t="s">
        <v>99</v>
      </c>
      <c r="T437" s="14" t="s">
        <v>8525</v>
      </c>
      <c r="U437" s="14" t="s">
        <v>8526</v>
      </c>
      <c r="V437" s="14" t="s">
        <v>8527</v>
      </c>
      <c r="W437" s="14" t="s">
        <v>8528</v>
      </c>
      <c r="X437" s="14" t="s">
        <v>8529</v>
      </c>
      <c r="Y437" s="14" t="s">
        <v>8530</v>
      </c>
      <c r="Z437" s="14" t="s">
        <v>8531</v>
      </c>
      <c r="AA437" s="14" t="s">
        <v>8532</v>
      </c>
      <c r="AB437" s="14" t="s">
        <v>8533</v>
      </c>
      <c r="AC437" s="14" t="s">
        <v>99</v>
      </c>
      <c r="AD437" s="14" t="s">
        <v>99</v>
      </c>
      <c r="AE437" s="14" t="s">
        <v>99</v>
      </c>
      <c r="AF437" s="14" t="s">
        <v>99</v>
      </c>
      <c r="AG437" s="14">
        <v>24.0</v>
      </c>
      <c r="AH437" s="14">
        <v>172.0</v>
      </c>
      <c r="AI437" s="14">
        <v>202.0</v>
      </c>
      <c r="AJ437" s="14">
        <v>0.0</v>
      </c>
      <c r="AK437" s="14">
        <v>30.0</v>
      </c>
      <c r="AL437" s="14" t="s">
        <v>1033</v>
      </c>
      <c r="AM437" s="14" t="s">
        <v>442</v>
      </c>
      <c r="AN437" s="14" t="s">
        <v>1034</v>
      </c>
      <c r="AO437" s="14" t="s">
        <v>5616</v>
      </c>
      <c r="AP437" s="14" t="s">
        <v>99</v>
      </c>
      <c r="AQ437" s="14" t="s">
        <v>99</v>
      </c>
      <c r="AR437" s="14" t="s">
        <v>5618</v>
      </c>
      <c r="AS437" s="14" t="s">
        <v>5619</v>
      </c>
      <c r="AT437" s="14" t="s">
        <v>718</v>
      </c>
      <c r="AU437" s="14">
        <v>2006.0</v>
      </c>
      <c r="AV437" s="14">
        <v>113.0</v>
      </c>
      <c r="AW437" s="14" t="s">
        <v>7581</v>
      </c>
      <c r="AX437" s="14" t="s">
        <v>99</v>
      </c>
      <c r="AY437" s="14" t="s">
        <v>99</v>
      </c>
      <c r="AZ437" s="14" t="s">
        <v>99</v>
      </c>
      <c r="BA437" s="14" t="s">
        <v>99</v>
      </c>
      <c r="BB437" s="14">
        <v>254.0</v>
      </c>
      <c r="BC437" s="14">
        <v>263.0</v>
      </c>
      <c r="BD437" s="14" t="s">
        <v>99</v>
      </c>
      <c r="BE437" s="14" t="s">
        <v>8534</v>
      </c>
      <c r="BF437" s="15" t="str">
        <f>HYPERLINK("http://dx.doi.org/10.1016/j.agee.2005.10.019","http://dx.doi.org/10.1016/j.agee.2005.10.019")</f>
        <v>http://dx.doi.org/10.1016/j.agee.2005.10.019</v>
      </c>
      <c r="BG437" s="14" t="s">
        <v>99</v>
      </c>
      <c r="BH437" s="14" t="s">
        <v>99</v>
      </c>
      <c r="BI437" s="14">
        <v>10.0</v>
      </c>
      <c r="BJ437" s="14" t="s">
        <v>5622</v>
      </c>
      <c r="BK437" s="14" t="s">
        <v>122</v>
      </c>
      <c r="BL437" s="14" t="s">
        <v>5623</v>
      </c>
      <c r="BM437" s="14" t="s">
        <v>8535</v>
      </c>
      <c r="BN437" s="14" t="s">
        <v>99</v>
      </c>
      <c r="BO437" s="14" t="s">
        <v>99</v>
      </c>
      <c r="BP437" s="14" t="s">
        <v>99</v>
      </c>
      <c r="BQ437" s="14" t="s">
        <v>99</v>
      </c>
      <c r="BR437" s="14" t="s">
        <v>124</v>
      </c>
      <c r="BS437" s="14" t="s">
        <v>8536</v>
      </c>
      <c r="BT437" s="14" t="str">
        <f>HYPERLINK("https%3A%2F%2Fwww.webofscience.com%2Fwos%2Fwoscc%2Ffull-record%2FWOS:000235765100023","View Full Record in Web of Science")</f>
        <v>View Full Record in Web of Science</v>
      </c>
    </row>
    <row r="438" ht="12.75" customHeight="1">
      <c r="A438" s="14" t="s">
        <v>97</v>
      </c>
      <c r="B438" s="14" t="s">
        <v>8537</v>
      </c>
      <c r="C438" s="14" t="s">
        <v>99</v>
      </c>
      <c r="D438" s="14" t="s">
        <v>99</v>
      </c>
      <c r="E438" s="14" t="s">
        <v>99</v>
      </c>
      <c r="F438" s="14" t="s">
        <v>8537</v>
      </c>
      <c r="G438" s="14" t="s">
        <v>99</v>
      </c>
      <c r="H438" s="14" t="s">
        <v>99</v>
      </c>
      <c r="I438" s="14" t="s">
        <v>8538</v>
      </c>
      <c r="J438" s="14" t="s">
        <v>2142</v>
      </c>
      <c r="K438" s="14" t="s">
        <v>99</v>
      </c>
      <c r="L438" s="14" t="s">
        <v>99</v>
      </c>
      <c r="M438" s="14" t="s">
        <v>103</v>
      </c>
      <c r="N438" s="14" t="s">
        <v>104</v>
      </c>
      <c r="O438" s="14" t="s">
        <v>99</v>
      </c>
      <c r="P438" s="14" t="s">
        <v>99</v>
      </c>
      <c r="Q438" s="14" t="s">
        <v>99</v>
      </c>
      <c r="R438" s="14" t="s">
        <v>99</v>
      </c>
      <c r="S438" s="14" t="s">
        <v>99</v>
      </c>
      <c r="T438" s="14" t="s">
        <v>8539</v>
      </c>
      <c r="U438" s="14" t="s">
        <v>8540</v>
      </c>
      <c r="V438" s="14" t="s">
        <v>8541</v>
      </c>
      <c r="W438" s="14" t="s">
        <v>8542</v>
      </c>
      <c r="X438" s="14" t="s">
        <v>8543</v>
      </c>
      <c r="Y438" s="14" t="s">
        <v>8544</v>
      </c>
      <c r="Z438" s="14" t="s">
        <v>8545</v>
      </c>
      <c r="AA438" s="14" t="s">
        <v>8546</v>
      </c>
      <c r="AB438" s="14" t="s">
        <v>8547</v>
      </c>
      <c r="AC438" s="14" t="s">
        <v>99</v>
      </c>
      <c r="AD438" s="14" t="s">
        <v>99</v>
      </c>
      <c r="AE438" s="14" t="s">
        <v>99</v>
      </c>
      <c r="AF438" s="14" t="s">
        <v>99</v>
      </c>
      <c r="AG438" s="14">
        <v>34.0</v>
      </c>
      <c r="AH438" s="14">
        <v>635.0</v>
      </c>
      <c r="AI438" s="14">
        <v>754.0</v>
      </c>
      <c r="AJ438" s="14">
        <v>5.0</v>
      </c>
      <c r="AK438" s="14">
        <v>610.0</v>
      </c>
      <c r="AL438" s="14" t="s">
        <v>341</v>
      </c>
      <c r="AM438" s="14" t="s">
        <v>342</v>
      </c>
      <c r="AN438" s="14" t="s">
        <v>343</v>
      </c>
      <c r="AO438" s="14" t="s">
        <v>2155</v>
      </c>
      <c r="AP438" s="14" t="s">
        <v>2156</v>
      </c>
      <c r="AQ438" s="14" t="s">
        <v>99</v>
      </c>
      <c r="AR438" s="14" t="s">
        <v>2157</v>
      </c>
      <c r="AS438" s="14" t="s">
        <v>2158</v>
      </c>
      <c r="AT438" s="14" t="s">
        <v>718</v>
      </c>
      <c r="AU438" s="14">
        <v>2006.0</v>
      </c>
      <c r="AV438" s="14">
        <v>20.0</v>
      </c>
      <c r="AW438" s="14">
        <v>2.0</v>
      </c>
      <c r="AX438" s="14" t="s">
        <v>99</v>
      </c>
      <c r="AY438" s="14" t="s">
        <v>99</v>
      </c>
      <c r="AZ438" s="14" t="s">
        <v>99</v>
      </c>
      <c r="BA438" s="14" t="s">
        <v>99</v>
      </c>
      <c r="BB438" s="14">
        <v>538.0</v>
      </c>
      <c r="BC438" s="14">
        <v>548.0</v>
      </c>
      <c r="BD438" s="14" t="s">
        <v>99</v>
      </c>
      <c r="BE438" s="14" t="s">
        <v>8548</v>
      </c>
      <c r="BF438" s="15" t="str">
        <f>HYPERLINK("http://dx.doi.org/10.1111/j.1523-1739.2006.00364.x","http://dx.doi.org/10.1111/j.1523-1739.2006.00364.x")</f>
        <v>http://dx.doi.org/10.1111/j.1523-1739.2006.00364.x</v>
      </c>
      <c r="BG438" s="14" t="s">
        <v>99</v>
      </c>
      <c r="BH438" s="14" t="s">
        <v>99</v>
      </c>
      <c r="BI438" s="14">
        <v>11.0</v>
      </c>
      <c r="BJ438" s="14" t="s">
        <v>351</v>
      </c>
      <c r="BK438" s="14" t="s">
        <v>122</v>
      </c>
      <c r="BL438" s="14" t="s">
        <v>352</v>
      </c>
      <c r="BM438" s="14" t="s">
        <v>8549</v>
      </c>
      <c r="BN438" s="14">
        <v>1.6903114E7</v>
      </c>
      <c r="BO438" s="14" t="s">
        <v>99</v>
      </c>
      <c r="BP438" s="14" t="s">
        <v>99</v>
      </c>
      <c r="BQ438" s="14" t="s">
        <v>99</v>
      </c>
      <c r="BR438" s="14" t="s">
        <v>124</v>
      </c>
      <c r="BS438" s="14" t="s">
        <v>8550</v>
      </c>
      <c r="BT438" s="14" t="str">
        <f>HYPERLINK("https%3A%2F%2Fwww.webofscience.com%2Fwos%2Fwoscc%2Ffull-record%2FWOS:000236064200031","View Full Record in Web of Science")</f>
        <v>View Full Record in Web of Science</v>
      </c>
    </row>
    <row r="439" ht="12.75" customHeight="1">
      <c r="A439" s="14" t="s">
        <v>97</v>
      </c>
      <c r="B439" s="14" t="s">
        <v>8551</v>
      </c>
      <c r="C439" s="14" t="s">
        <v>99</v>
      </c>
      <c r="D439" s="14" t="s">
        <v>99</v>
      </c>
      <c r="E439" s="14" t="s">
        <v>99</v>
      </c>
      <c r="F439" s="14" t="s">
        <v>8551</v>
      </c>
      <c r="G439" s="14" t="s">
        <v>99</v>
      </c>
      <c r="H439" s="14" t="s">
        <v>99</v>
      </c>
      <c r="I439" s="14" t="s">
        <v>8552</v>
      </c>
      <c r="J439" s="14" t="s">
        <v>1102</v>
      </c>
      <c r="K439" s="14" t="s">
        <v>99</v>
      </c>
      <c r="L439" s="14" t="s">
        <v>99</v>
      </c>
      <c r="M439" s="14" t="s">
        <v>103</v>
      </c>
      <c r="N439" s="14" t="s">
        <v>104</v>
      </c>
      <c r="O439" s="14" t="s">
        <v>99</v>
      </c>
      <c r="P439" s="14" t="s">
        <v>99</v>
      </c>
      <c r="Q439" s="14" t="s">
        <v>99</v>
      </c>
      <c r="R439" s="14" t="s">
        <v>99</v>
      </c>
      <c r="S439" s="14" t="s">
        <v>99</v>
      </c>
      <c r="T439" s="14" t="s">
        <v>8553</v>
      </c>
      <c r="U439" s="14" t="s">
        <v>8554</v>
      </c>
      <c r="V439" s="14" t="s">
        <v>8555</v>
      </c>
      <c r="W439" s="14" t="s">
        <v>8556</v>
      </c>
      <c r="X439" s="14" t="s">
        <v>8557</v>
      </c>
      <c r="Y439" s="14" t="s">
        <v>8558</v>
      </c>
      <c r="Z439" s="14" t="s">
        <v>8559</v>
      </c>
      <c r="AA439" s="14" t="s">
        <v>8560</v>
      </c>
      <c r="AB439" s="14" t="s">
        <v>8561</v>
      </c>
      <c r="AC439" s="14" t="s">
        <v>99</v>
      </c>
      <c r="AD439" s="14" t="s">
        <v>99</v>
      </c>
      <c r="AE439" s="14" t="s">
        <v>99</v>
      </c>
      <c r="AF439" s="14" t="s">
        <v>99</v>
      </c>
      <c r="AG439" s="14">
        <v>45.0</v>
      </c>
      <c r="AH439" s="14">
        <v>75.0</v>
      </c>
      <c r="AI439" s="14">
        <v>87.0</v>
      </c>
      <c r="AJ439" s="14">
        <v>0.0</v>
      </c>
      <c r="AK439" s="14">
        <v>48.0</v>
      </c>
      <c r="AL439" s="14" t="s">
        <v>493</v>
      </c>
      <c r="AM439" s="14" t="s">
        <v>494</v>
      </c>
      <c r="AN439" s="14" t="s">
        <v>495</v>
      </c>
      <c r="AO439" s="14" t="s">
        <v>1112</v>
      </c>
      <c r="AP439" s="14" t="s">
        <v>1113</v>
      </c>
      <c r="AQ439" s="14" t="s">
        <v>99</v>
      </c>
      <c r="AR439" s="14" t="s">
        <v>1114</v>
      </c>
      <c r="AS439" s="14" t="s">
        <v>1115</v>
      </c>
      <c r="AT439" s="14" t="s">
        <v>718</v>
      </c>
      <c r="AU439" s="14">
        <v>2006.0</v>
      </c>
      <c r="AV439" s="14">
        <v>128.0</v>
      </c>
      <c r="AW439" s="14">
        <v>4.0</v>
      </c>
      <c r="AX439" s="14" t="s">
        <v>99</v>
      </c>
      <c r="AY439" s="14" t="s">
        <v>99</v>
      </c>
      <c r="AZ439" s="14" t="s">
        <v>99</v>
      </c>
      <c r="BA439" s="14" t="s">
        <v>99</v>
      </c>
      <c r="BB439" s="14">
        <v>509.0</v>
      </c>
      <c r="BC439" s="14">
        <v>516.0</v>
      </c>
      <c r="BD439" s="14" t="s">
        <v>99</v>
      </c>
      <c r="BE439" s="14" t="s">
        <v>8562</v>
      </c>
      <c r="BF439" s="15" t="str">
        <f>HYPERLINK("http://dx.doi.org/10.1016/j.biocon.2005.10.017","http://dx.doi.org/10.1016/j.biocon.2005.10.017")</f>
        <v>http://dx.doi.org/10.1016/j.biocon.2005.10.017</v>
      </c>
      <c r="BG439" s="14" t="s">
        <v>99</v>
      </c>
      <c r="BH439" s="14" t="s">
        <v>99</v>
      </c>
      <c r="BI439" s="14">
        <v>8.0</v>
      </c>
      <c r="BJ439" s="14" t="s">
        <v>351</v>
      </c>
      <c r="BK439" s="14" t="s">
        <v>122</v>
      </c>
      <c r="BL439" s="14" t="s">
        <v>352</v>
      </c>
      <c r="BM439" s="14" t="s">
        <v>8563</v>
      </c>
      <c r="BN439" s="14" t="s">
        <v>99</v>
      </c>
      <c r="BO439" s="14" t="s">
        <v>99</v>
      </c>
      <c r="BP439" s="14" t="s">
        <v>99</v>
      </c>
      <c r="BQ439" s="14" t="s">
        <v>99</v>
      </c>
      <c r="BR439" s="14" t="s">
        <v>124</v>
      </c>
      <c r="BS439" s="14" t="s">
        <v>8564</v>
      </c>
      <c r="BT439" s="14" t="str">
        <f>HYPERLINK("https%3A%2F%2Fwww.webofscience.com%2Fwos%2Fwoscc%2Ffull-record%2FWOS:000236100800009","View Full Record in Web of Science")</f>
        <v>View Full Record in Web of Science</v>
      </c>
    </row>
    <row r="440" ht="12.75" customHeight="1">
      <c r="A440" s="14" t="s">
        <v>97</v>
      </c>
      <c r="B440" s="14" t="s">
        <v>8565</v>
      </c>
      <c r="C440" s="14" t="s">
        <v>99</v>
      </c>
      <c r="D440" s="14" t="s">
        <v>99</v>
      </c>
      <c r="E440" s="14" t="s">
        <v>99</v>
      </c>
      <c r="F440" s="14" t="s">
        <v>8566</v>
      </c>
      <c r="G440" s="14" t="s">
        <v>99</v>
      </c>
      <c r="H440" s="14" t="s">
        <v>99</v>
      </c>
      <c r="I440" s="14" t="s">
        <v>8567</v>
      </c>
      <c r="J440" s="14" t="s">
        <v>8568</v>
      </c>
      <c r="K440" s="14" t="s">
        <v>99</v>
      </c>
      <c r="L440" s="14" t="s">
        <v>99</v>
      </c>
      <c r="M440" s="14" t="s">
        <v>103</v>
      </c>
      <c r="N440" s="14" t="s">
        <v>2284</v>
      </c>
      <c r="O440" s="14" t="s">
        <v>8569</v>
      </c>
      <c r="P440" s="14" t="s">
        <v>8570</v>
      </c>
      <c r="Q440" s="14" t="s">
        <v>8571</v>
      </c>
      <c r="R440" s="14" t="s">
        <v>8572</v>
      </c>
      <c r="S440" s="14" t="s">
        <v>8573</v>
      </c>
      <c r="T440" s="14" t="s">
        <v>99</v>
      </c>
      <c r="U440" s="14" t="s">
        <v>8574</v>
      </c>
      <c r="V440" s="14" t="s">
        <v>8575</v>
      </c>
      <c r="W440" s="14" t="s">
        <v>8576</v>
      </c>
      <c r="X440" s="14" t="s">
        <v>8577</v>
      </c>
      <c r="Y440" s="14" t="s">
        <v>8578</v>
      </c>
      <c r="Z440" s="14" t="s">
        <v>8579</v>
      </c>
      <c r="AA440" s="14" t="s">
        <v>8580</v>
      </c>
      <c r="AB440" s="14" t="s">
        <v>8581</v>
      </c>
      <c r="AC440" s="14" t="s">
        <v>99</v>
      </c>
      <c r="AD440" s="14" t="s">
        <v>99</v>
      </c>
      <c r="AE440" s="14" t="s">
        <v>99</v>
      </c>
      <c r="AF440" s="14" t="s">
        <v>99</v>
      </c>
      <c r="AG440" s="14">
        <v>151.0</v>
      </c>
      <c r="AH440" s="14">
        <v>179.0</v>
      </c>
      <c r="AI440" s="14">
        <v>236.0</v>
      </c>
      <c r="AJ440" s="14">
        <v>0.0</v>
      </c>
      <c r="AK440" s="14">
        <v>116.0</v>
      </c>
      <c r="AL440" s="14" t="s">
        <v>341</v>
      </c>
      <c r="AM440" s="14" t="s">
        <v>342</v>
      </c>
      <c r="AN440" s="14" t="s">
        <v>343</v>
      </c>
      <c r="AO440" s="14" t="s">
        <v>8582</v>
      </c>
      <c r="AP440" s="14" t="s">
        <v>8583</v>
      </c>
      <c r="AQ440" s="14" t="s">
        <v>99</v>
      </c>
      <c r="AR440" s="14" t="s">
        <v>8568</v>
      </c>
      <c r="AS440" s="14" t="s">
        <v>8584</v>
      </c>
      <c r="AT440" s="14" t="s">
        <v>1485</v>
      </c>
      <c r="AU440" s="14">
        <v>2006.0</v>
      </c>
      <c r="AV440" s="14">
        <v>148.0</v>
      </c>
      <c r="AW440" s="14" t="s">
        <v>99</v>
      </c>
      <c r="AX440" s="14" t="s">
        <v>99</v>
      </c>
      <c r="AY440" s="14">
        <v>1.0</v>
      </c>
      <c r="AZ440" s="14" t="s">
        <v>99</v>
      </c>
      <c r="BA440" s="14" t="s">
        <v>99</v>
      </c>
      <c r="BB440" s="14">
        <v>8.0</v>
      </c>
      <c r="BC440" s="14">
        <v>28.0</v>
      </c>
      <c r="BD440" s="14" t="s">
        <v>99</v>
      </c>
      <c r="BE440" s="14" t="s">
        <v>8585</v>
      </c>
      <c r="BF440" s="15" t="str">
        <f>HYPERLINK("http://dx.doi.org/10.1111/j.1474-919X.2006.00523.x","http://dx.doi.org/10.1111/j.1474-919X.2006.00523.x")</f>
        <v>http://dx.doi.org/10.1111/j.1474-919X.2006.00523.x</v>
      </c>
      <c r="BG440" s="14" t="s">
        <v>99</v>
      </c>
      <c r="BH440" s="14" t="s">
        <v>99</v>
      </c>
      <c r="BI440" s="14">
        <v>21.0</v>
      </c>
      <c r="BJ440" s="14" t="s">
        <v>1183</v>
      </c>
      <c r="BK440" s="14" t="s">
        <v>2311</v>
      </c>
      <c r="BL440" s="14" t="s">
        <v>121</v>
      </c>
      <c r="BM440" s="14" t="s">
        <v>8586</v>
      </c>
      <c r="BN440" s="14" t="s">
        <v>99</v>
      </c>
      <c r="BO440" s="14" t="s">
        <v>99</v>
      </c>
      <c r="BP440" s="14" t="s">
        <v>99</v>
      </c>
      <c r="BQ440" s="14" t="s">
        <v>99</v>
      </c>
      <c r="BR440" s="14" t="s">
        <v>124</v>
      </c>
      <c r="BS440" s="14" t="s">
        <v>8587</v>
      </c>
      <c r="BT440" s="14" t="str">
        <f>HYPERLINK("https%3A%2F%2Fwww.webofscience.com%2Fwos%2Fwoscc%2Ffull-record%2FWOS:000243474900003","View Full Record in Web of Science")</f>
        <v>View Full Record in Web of Science</v>
      </c>
    </row>
    <row r="441" ht="12.75" customHeight="1">
      <c r="A441" s="14" t="s">
        <v>97</v>
      </c>
      <c r="B441" s="14" t="s">
        <v>8588</v>
      </c>
      <c r="C441" s="14" t="s">
        <v>99</v>
      </c>
      <c r="D441" s="14" t="s">
        <v>99</v>
      </c>
      <c r="E441" s="14" t="s">
        <v>99</v>
      </c>
      <c r="F441" s="14" t="s">
        <v>8588</v>
      </c>
      <c r="G441" s="14" t="s">
        <v>99</v>
      </c>
      <c r="H441" s="14" t="s">
        <v>99</v>
      </c>
      <c r="I441" s="14" t="s">
        <v>8589</v>
      </c>
      <c r="J441" s="14" t="s">
        <v>328</v>
      </c>
      <c r="K441" s="14" t="s">
        <v>99</v>
      </c>
      <c r="L441" s="14" t="s">
        <v>99</v>
      </c>
      <c r="M441" s="14" t="s">
        <v>103</v>
      </c>
      <c r="N441" s="14" t="s">
        <v>104</v>
      </c>
      <c r="O441" s="14" t="s">
        <v>99</v>
      </c>
      <c r="P441" s="14" t="s">
        <v>99</v>
      </c>
      <c r="Q441" s="14" t="s">
        <v>99</v>
      </c>
      <c r="R441" s="14" t="s">
        <v>99</v>
      </c>
      <c r="S441" s="14" t="s">
        <v>99</v>
      </c>
      <c r="T441" s="14" t="s">
        <v>8590</v>
      </c>
      <c r="U441" s="14" t="s">
        <v>8591</v>
      </c>
      <c r="V441" s="14" t="s">
        <v>8592</v>
      </c>
      <c r="W441" s="14" t="s">
        <v>8593</v>
      </c>
      <c r="X441" s="14" t="s">
        <v>8594</v>
      </c>
      <c r="Y441" s="14" t="s">
        <v>8595</v>
      </c>
      <c r="Z441" s="14" t="s">
        <v>8596</v>
      </c>
      <c r="AA441" s="14" t="s">
        <v>8597</v>
      </c>
      <c r="AB441" s="14" t="s">
        <v>8598</v>
      </c>
      <c r="AC441" s="14" t="s">
        <v>99</v>
      </c>
      <c r="AD441" s="14" t="s">
        <v>99</v>
      </c>
      <c r="AE441" s="14" t="s">
        <v>99</v>
      </c>
      <c r="AF441" s="14" t="s">
        <v>99</v>
      </c>
      <c r="AG441" s="14">
        <v>90.0</v>
      </c>
      <c r="AH441" s="14">
        <v>248.0</v>
      </c>
      <c r="AI441" s="14">
        <v>297.0</v>
      </c>
      <c r="AJ441" s="14">
        <v>0.0</v>
      </c>
      <c r="AK441" s="14">
        <v>130.0</v>
      </c>
      <c r="AL441" s="14" t="s">
        <v>341</v>
      </c>
      <c r="AM441" s="14" t="s">
        <v>342</v>
      </c>
      <c r="AN441" s="14" t="s">
        <v>343</v>
      </c>
      <c r="AO441" s="14" t="s">
        <v>344</v>
      </c>
      <c r="AP441" s="14" t="s">
        <v>345</v>
      </c>
      <c r="AQ441" s="14" t="s">
        <v>99</v>
      </c>
      <c r="AR441" s="14" t="s">
        <v>346</v>
      </c>
      <c r="AS441" s="14" t="s">
        <v>347</v>
      </c>
      <c r="AT441" s="14" t="s">
        <v>1485</v>
      </c>
      <c r="AU441" s="14">
        <v>2006.0</v>
      </c>
      <c r="AV441" s="14">
        <v>12.0</v>
      </c>
      <c r="AW441" s="14">
        <v>3.0</v>
      </c>
      <c r="AX441" s="14" t="s">
        <v>99</v>
      </c>
      <c r="AY441" s="14" t="s">
        <v>99</v>
      </c>
      <c r="AZ441" s="14" t="s">
        <v>99</v>
      </c>
      <c r="BA441" s="14" t="s">
        <v>99</v>
      </c>
      <c r="BB441" s="14">
        <v>424.0</v>
      </c>
      <c r="BC441" s="14">
        <v>440.0</v>
      </c>
      <c r="BD441" s="14" t="s">
        <v>99</v>
      </c>
      <c r="BE441" s="14" t="s">
        <v>8599</v>
      </c>
      <c r="BF441" s="15" t="str">
        <f>HYPERLINK("http://dx.doi.org/10.1111/j.1365-2486.2006.01115.x","http://dx.doi.org/10.1111/j.1365-2486.2006.01115.x")</f>
        <v>http://dx.doi.org/10.1111/j.1365-2486.2006.01115.x</v>
      </c>
      <c r="BG441" s="14" t="s">
        <v>99</v>
      </c>
      <c r="BH441" s="14" t="s">
        <v>99</v>
      </c>
      <c r="BI441" s="14">
        <v>17.0</v>
      </c>
      <c r="BJ441" s="14" t="s">
        <v>351</v>
      </c>
      <c r="BK441" s="14" t="s">
        <v>122</v>
      </c>
      <c r="BL441" s="14" t="s">
        <v>352</v>
      </c>
      <c r="BM441" s="14" t="s">
        <v>8600</v>
      </c>
      <c r="BN441" s="14" t="s">
        <v>99</v>
      </c>
      <c r="BO441" s="14" t="s">
        <v>99</v>
      </c>
      <c r="BP441" s="14" t="s">
        <v>99</v>
      </c>
      <c r="BQ441" s="14" t="s">
        <v>99</v>
      </c>
      <c r="BR441" s="14" t="s">
        <v>124</v>
      </c>
      <c r="BS441" s="14" t="s">
        <v>8601</v>
      </c>
      <c r="BT441" s="14" t="str">
        <f>HYPERLINK("https%3A%2F%2Fwww.webofscience.com%2Fwos%2Fwoscc%2Ffull-record%2FWOS:000236023000002","View Full Record in Web of Science")</f>
        <v>View Full Record in Web of Science</v>
      </c>
    </row>
    <row r="442" ht="12.75" customHeight="1">
      <c r="A442" s="14" t="s">
        <v>97</v>
      </c>
      <c r="B442" s="14" t="s">
        <v>8602</v>
      </c>
      <c r="C442" s="14" t="s">
        <v>99</v>
      </c>
      <c r="D442" s="14" t="s">
        <v>99</v>
      </c>
      <c r="E442" s="14" t="s">
        <v>99</v>
      </c>
      <c r="F442" s="14" t="s">
        <v>8602</v>
      </c>
      <c r="G442" s="14" t="s">
        <v>99</v>
      </c>
      <c r="H442" s="14" t="s">
        <v>99</v>
      </c>
      <c r="I442" s="14" t="s">
        <v>8603</v>
      </c>
      <c r="J442" s="14" t="s">
        <v>2332</v>
      </c>
      <c r="K442" s="14" t="s">
        <v>99</v>
      </c>
      <c r="L442" s="14" t="s">
        <v>99</v>
      </c>
      <c r="M442" s="14" t="s">
        <v>103</v>
      </c>
      <c r="N442" s="14" t="s">
        <v>104</v>
      </c>
      <c r="O442" s="14" t="s">
        <v>99</v>
      </c>
      <c r="P442" s="14" t="s">
        <v>99</v>
      </c>
      <c r="Q442" s="14" t="s">
        <v>99</v>
      </c>
      <c r="R442" s="14" t="s">
        <v>99</v>
      </c>
      <c r="S442" s="14" t="s">
        <v>99</v>
      </c>
      <c r="T442" s="14" t="s">
        <v>8604</v>
      </c>
      <c r="U442" s="14" t="s">
        <v>8605</v>
      </c>
      <c r="V442" s="14" t="s">
        <v>8606</v>
      </c>
      <c r="W442" s="14" t="s">
        <v>8607</v>
      </c>
      <c r="X442" s="14" t="s">
        <v>8608</v>
      </c>
      <c r="Y442" s="14" t="s">
        <v>8609</v>
      </c>
      <c r="Z442" s="14" t="s">
        <v>8610</v>
      </c>
      <c r="AA442" s="14" t="s">
        <v>8611</v>
      </c>
      <c r="AB442" s="14" t="s">
        <v>8612</v>
      </c>
      <c r="AC442" s="14" t="s">
        <v>99</v>
      </c>
      <c r="AD442" s="14" t="s">
        <v>99</v>
      </c>
      <c r="AE442" s="14" t="s">
        <v>99</v>
      </c>
      <c r="AF442" s="14" t="s">
        <v>99</v>
      </c>
      <c r="AG442" s="14">
        <v>43.0</v>
      </c>
      <c r="AH442" s="14">
        <v>39.0</v>
      </c>
      <c r="AI442" s="14">
        <v>51.0</v>
      </c>
      <c r="AJ442" s="14">
        <v>0.0</v>
      </c>
      <c r="AK442" s="14">
        <v>22.0</v>
      </c>
      <c r="AL442" s="14" t="s">
        <v>493</v>
      </c>
      <c r="AM442" s="14" t="s">
        <v>494</v>
      </c>
      <c r="AN442" s="14" t="s">
        <v>495</v>
      </c>
      <c r="AO442" s="14" t="s">
        <v>2345</v>
      </c>
      <c r="AP442" s="14" t="s">
        <v>2346</v>
      </c>
      <c r="AQ442" s="14" t="s">
        <v>99</v>
      </c>
      <c r="AR442" s="14" t="s">
        <v>2347</v>
      </c>
      <c r="AS442" s="14" t="s">
        <v>2348</v>
      </c>
      <c r="AT442" s="14" t="s">
        <v>280</v>
      </c>
      <c r="AU442" s="14">
        <v>2006.0</v>
      </c>
      <c r="AV442" s="14">
        <v>16.0</v>
      </c>
      <c r="AW442" s="14">
        <v>1.0</v>
      </c>
      <c r="AX442" s="14" t="s">
        <v>99</v>
      </c>
      <c r="AY442" s="14" t="s">
        <v>99</v>
      </c>
      <c r="AZ442" s="14" t="s">
        <v>99</v>
      </c>
      <c r="BA442" s="14" t="s">
        <v>99</v>
      </c>
      <c r="BB442" s="14">
        <v>19.0</v>
      </c>
      <c r="BC442" s="14">
        <v>28.0</v>
      </c>
      <c r="BD442" s="14" t="s">
        <v>99</v>
      </c>
      <c r="BE442" s="14" t="s">
        <v>8613</v>
      </c>
      <c r="BF442" s="15" t="str">
        <f>HYPERLINK("http://dx.doi.org/10.1016/j.gloenvcha.2005.11.001","http://dx.doi.org/10.1016/j.gloenvcha.2005.11.001")</f>
        <v>http://dx.doi.org/10.1016/j.gloenvcha.2005.11.001</v>
      </c>
      <c r="BG442" s="14" t="s">
        <v>99</v>
      </c>
      <c r="BH442" s="14" t="s">
        <v>99</v>
      </c>
      <c r="BI442" s="14">
        <v>10.0</v>
      </c>
      <c r="BJ442" s="14" t="s">
        <v>2350</v>
      </c>
      <c r="BK442" s="14" t="s">
        <v>800</v>
      </c>
      <c r="BL442" s="14" t="s">
        <v>2351</v>
      </c>
      <c r="BM442" s="14" t="s">
        <v>8614</v>
      </c>
      <c r="BN442" s="14" t="s">
        <v>99</v>
      </c>
      <c r="BO442" s="14" t="s">
        <v>99</v>
      </c>
      <c r="BP442" s="14" t="s">
        <v>99</v>
      </c>
      <c r="BQ442" s="14" t="s">
        <v>99</v>
      </c>
      <c r="BR442" s="14" t="s">
        <v>124</v>
      </c>
      <c r="BS442" s="14" t="s">
        <v>8615</v>
      </c>
      <c r="BT442" s="14" t="str">
        <f>HYPERLINK("https%3A%2F%2Fwww.webofscience.com%2Fwos%2Fwoscc%2Ffull-record%2FWOS:000235424500004","View Full Record in Web of Science")</f>
        <v>View Full Record in Web of Science</v>
      </c>
    </row>
    <row r="443" ht="12.75" customHeight="1">
      <c r="A443" s="14" t="s">
        <v>97</v>
      </c>
      <c r="B443" s="14" t="s">
        <v>8616</v>
      </c>
      <c r="C443" s="14" t="s">
        <v>99</v>
      </c>
      <c r="D443" s="14" t="s">
        <v>99</v>
      </c>
      <c r="E443" s="14" t="s">
        <v>99</v>
      </c>
      <c r="F443" s="14" t="s">
        <v>8617</v>
      </c>
      <c r="G443" s="14" t="s">
        <v>99</v>
      </c>
      <c r="H443" s="14" t="s">
        <v>99</v>
      </c>
      <c r="I443" s="14" t="s">
        <v>8618</v>
      </c>
      <c r="J443" s="14" t="s">
        <v>8619</v>
      </c>
      <c r="K443" s="14" t="s">
        <v>99</v>
      </c>
      <c r="L443" s="14" t="s">
        <v>99</v>
      </c>
      <c r="M443" s="14" t="s">
        <v>103</v>
      </c>
      <c r="N443" s="14" t="s">
        <v>104</v>
      </c>
      <c r="O443" s="14" t="s">
        <v>99</v>
      </c>
      <c r="P443" s="14" t="s">
        <v>99</v>
      </c>
      <c r="Q443" s="14" t="s">
        <v>99</v>
      </c>
      <c r="R443" s="14" t="s">
        <v>99</v>
      </c>
      <c r="S443" s="14" t="s">
        <v>99</v>
      </c>
      <c r="T443" s="14" t="s">
        <v>99</v>
      </c>
      <c r="U443" s="14" t="s">
        <v>8620</v>
      </c>
      <c r="V443" s="14" t="s">
        <v>8621</v>
      </c>
      <c r="W443" s="14" t="s">
        <v>8622</v>
      </c>
      <c r="X443" s="14" t="s">
        <v>8623</v>
      </c>
      <c r="Y443" s="14" t="s">
        <v>8624</v>
      </c>
      <c r="Z443" s="14" t="s">
        <v>8625</v>
      </c>
      <c r="AA443" s="14" t="s">
        <v>8626</v>
      </c>
      <c r="AB443" s="14" t="s">
        <v>8627</v>
      </c>
      <c r="AC443" s="14" t="s">
        <v>8628</v>
      </c>
      <c r="AD443" s="14" t="s">
        <v>8629</v>
      </c>
      <c r="AE443" s="14" t="s">
        <v>8630</v>
      </c>
      <c r="AF443" s="14" t="s">
        <v>99</v>
      </c>
      <c r="AG443" s="14">
        <v>82.0</v>
      </c>
      <c r="AH443" s="14">
        <v>60.0</v>
      </c>
      <c r="AI443" s="14">
        <v>72.0</v>
      </c>
      <c r="AJ443" s="14">
        <v>0.0</v>
      </c>
      <c r="AK443" s="14">
        <v>26.0</v>
      </c>
      <c r="AL443" s="14" t="s">
        <v>8631</v>
      </c>
      <c r="AM443" s="14" t="s">
        <v>274</v>
      </c>
      <c r="AN443" s="14" t="s">
        <v>8632</v>
      </c>
      <c r="AO443" s="14" t="s">
        <v>99</v>
      </c>
      <c r="AP443" s="14" t="s">
        <v>8633</v>
      </c>
      <c r="AQ443" s="14" t="s">
        <v>99</v>
      </c>
      <c r="AR443" s="14" t="s">
        <v>8634</v>
      </c>
      <c r="AS443" s="14" t="s">
        <v>8635</v>
      </c>
      <c r="AT443" s="14" t="s">
        <v>99</v>
      </c>
      <c r="AU443" s="14">
        <v>2006.0</v>
      </c>
      <c r="AV443" s="14">
        <v>2.0</v>
      </c>
      <c r="AW443" s="14" t="s">
        <v>99</v>
      </c>
      <c r="AX443" s="14" t="s">
        <v>99</v>
      </c>
      <c r="AY443" s="14" t="s">
        <v>99</v>
      </c>
      <c r="AZ443" s="14" t="s">
        <v>99</v>
      </c>
      <c r="BA443" s="14" t="s">
        <v>99</v>
      </c>
      <c r="BB443" s="14" t="s">
        <v>99</v>
      </c>
      <c r="BC443" s="14" t="s">
        <v>99</v>
      </c>
      <c r="BD443" s="14">
        <v>24.0</v>
      </c>
      <c r="BE443" s="14" t="s">
        <v>8636</v>
      </c>
      <c r="BF443" s="15" t="str">
        <f>HYPERLINK("http://dx.doi.org/10.1186/1746-4269-2-24","http://dx.doi.org/10.1186/1746-4269-2-24")</f>
        <v>http://dx.doi.org/10.1186/1746-4269-2-24</v>
      </c>
      <c r="BG443" s="14" t="s">
        <v>99</v>
      </c>
      <c r="BH443" s="14" t="s">
        <v>99</v>
      </c>
      <c r="BI443" s="14">
        <v>22.0</v>
      </c>
      <c r="BJ443" s="14" t="s">
        <v>8637</v>
      </c>
      <c r="BK443" s="14" t="s">
        <v>122</v>
      </c>
      <c r="BL443" s="14" t="s">
        <v>8638</v>
      </c>
      <c r="BM443" s="14" t="s">
        <v>8639</v>
      </c>
      <c r="BN443" s="14">
        <v>1.6681845E7</v>
      </c>
      <c r="BO443" s="14" t="s">
        <v>1251</v>
      </c>
      <c r="BP443" s="14" t="s">
        <v>99</v>
      </c>
      <c r="BQ443" s="14" t="s">
        <v>99</v>
      </c>
      <c r="BR443" s="14" t="s">
        <v>124</v>
      </c>
      <c r="BS443" s="14" t="s">
        <v>8640</v>
      </c>
      <c r="BT443" s="14" t="str">
        <f>HYPERLINK("https%3A%2F%2Fwww.webofscience.com%2Fwos%2Fwoscc%2Ffull-record%2FWOS:000209091500024","View Full Record in Web of Science")</f>
        <v>View Full Record in Web of Science</v>
      </c>
    </row>
    <row r="444" ht="12.75" customHeight="1">
      <c r="A444" s="14" t="s">
        <v>97</v>
      </c>
      <c r="B444" s="14" t="s">
        <v>8641</v>
      </c>
      <c r="C444" s="14" t="s">
        <v>99</v>
      </c>
      <c r="D444" s="14" t="s">
        <v>99</v>
      </c>
      <c r="E444" s="14" t="s">
        <v>99</v>
      </c>
      <c r="F444" s="14" t="s">
        <v>8641</v>
      </c>
      <c r="G444" s="14" t="s">
        <v>99</v>
      </c>
      <c r="H444" s="14" t="s">
        <v>99</v>
      </c>
      <c r="I444" s="14" t="s">
        <v>8642</v>
      </c>
      <c r="J444" s="14" t="s">
        <v>8643</v>
      </c>
      <c r="K444" s="14" t="s">
        <v>99</v>
      </c>
      <c r="L444" s="14" t="s">
        <v>99</v>
      </c>
      <c r="M444" s="14" t="s">
        <v>103</v>
      </c>
      <c r="N444" s="14" t="s">
        <v>104</v>
      </c>
      <c r="O444" s="14" t="s">
        <v>99</v>
      </c>
      <c r="P444" s="14" t="s">
        <v>99</v>
      </c>
      <c r="Q444" s="14" t="s">
        <v>99</v>
      </c>
      <c r="R444" s="14" t="s">
        <v>99</v>
      </c>
      <c r="S444" s="14" t="s">
        <v>99</v>
      </c>
      <c r="T444" s="14" t="s">
        <v>8644</v>
      </c>
      <c r="U444" s="14" t="s">
        <v>8645</v>
      </c>
      <c r="V444" s="14" t="s">
        <v>8646</v>
      </c>
      <c r="W444" s="14" t="s">
        <v>8647</v>
      </c>
      <c r="X444" s="14" t="s">
        <v>8648</v>
      </c>
      <c r="Y444" s="14" t="s">
        <v>8649</v>
      </c>
      <c r="Z444" s="14" t="s">
        <v>8650</v>
      </c>
      <c r="AA444" s="14" t="s">
        <v>8651</v>
      </c>
      <c r="AB444" s="14" t="s">
        <v>8652</v>
      </c>
      <c r="AC444" s="14" t="s">
        <v>99</v>
      </c>
      <c r="AD444" s="14" t="s">
        <v>99</v>
      </c>
      <c r="AE444" s="14" t="s">
        <v>99</v>
      </c>
      <c r="AF444" s="14" t="s">
        <v>99</v>
      </c>
      <c r="AG444" s="14">
        <v>61.0</v>
      </c>
      <c r="AH444" s="14">
        <v>63.0</v>
      </c>
      <c r="AI444" s="14">
        <v>76.0</v>
      </c>
      <c r="AJ444" s="14">
        <v>1.0</v>
      </c>
      <c r="AK444" s="14">
        <v>34.0</v>
      </c>
      <c r="AL444" s="14" t="s">
        <v>493</v>
      </c>
      <c r="AM444" s="14" t="s">
        <v>494</v>
      </c>
      <c r="AN444" s="14" t="s">
        <v>495</v>
      </c>
      <c r="AO444" s="14" t="s">
        <v>8653</v>
      </c>
      <c r="AP444" s="14" t="s">
        <v>8654</v>
      </c>
      <c r="AQ444" s="14" t="s">
        <v>99</v>
      </c>
      <c r="AR444" s="14" t="s">
        <v>8655</v>
      </c>
      <c r="AS444" s="14" t="s">
        <v>8656</v>
      </c>
      <c r="AT444" s="14" t="s">
        <v>99</v>
      </c>
      <c r="AU444" s="14">
        <v>2006.0</v>
      </c>
      <c r="AV444" s="14">
        <v>9.0</v>
      </c>
      <c r="AW444" s="14">
        <v>2.0</v>
      </c>
      <c r="AX444" s="14" t="s">
        <v>99</v>
      </c>
      <c r="AY444" s="14" t="s">
        <v>99</v>
      </c>
      <c r="AZ444" s="14" t="s">
        <v>99</v>
      </c>
      <c r="BA444" s="14" t="s">
        <v>99</v>
      </c>
      <c r="BB444" s="14">
        <v>129.0</v>
      </c>
      <c r="BC444" s="14">
        <v>147.0</v>
      </c>
      <c r="BD444" s="14" t="s">
        <v>99</v>
      </c>
      <c r="BE444" s="14" t="s">
        <v>8657</v>
      </c>
      <c r="BF444" s="15" t="str">
        <f>HYPERLINK("http://dx.doi.org/10.1016/j.envsci.2005.11.005","http://dx.doi.org/10.1016/j.envsci.2005.11.005")</f>
        <v>http://dx.doi.org/10.1016/j.envsci.2005.11.005</v>
      </c>
      <c r="BG444" s="14" t="s">
        <v>99</v>
      </c>
      <c r="BH444" s="14" t="s">
        <v>99</v>
      </c>
      <c r="BI444" s="14">
        <v>19.0</v>
      </c>
      <c r="BJ444" s="14" t="s">
        <v>1041</v>
      </c>
      <c r="BK444" s="14" t="s">
        <v>122</v>
      </c>
      <c r="BL444" s="14" t="s">
        <v>260</v>
      </c>
      <c r="BM444" s="14" t="s">
        <v>8658</v>
      </c>
      <c r="BN444" s="14" t="s">
        <v>99</v>
      </c>
      <c r="BO444" s="14" t="s">
        <v>99</v>
      </c>
      <c r="BP444" s="14" t="s">
        <v>99</v>
      </c>
      <c r="BQ444" s="14" t="s">
        <v>99</v>
      </c>
      <c r="BR444" s="14" t="s">
        <v>124</v>
      </c>
      <c r="BS444" s="14" t="s">
        <v>8659</v>
      </c>
      <c r="BT444" s="14" t="str">
        <f>HYPERLINK("https%3A%2F%2Fwww.webofscience.com%2Fwos%2Fwoscc%2Ffull-record%2FWOS:000236511100004","View Full Record in Web of Science")</f>
        <v>View Full Record in Web of Science</v>
      </c>
    </row>
    <row r="445" ht="12.75" customHeight="1">
      <c r="A445" s="14" t="s">
        <v>97</v>
      </c>
      <c r="B445" s="14" t="s">
        <v>8660</v>
      </c>
      <c r="C445" s="14" t="s">
        <v>99</v>
      </c>
      <c r="D445" s="14" t="s">
        <v>99</v>
      </c>
      <c r="E445" s="14" t="s">
        <v>99</v>
      </c>
      <c r="F445" s="14" t="s">
        <v>8660</v>
      </c>
      <c r="G445" s="14" t="s">
        <v>99</v>
      </c>
      <c r="H445" s="14" t="s">
        <v>99</v>
      </c>
      <c r="I445" s="14" t="s">
        <v>8661</v>
      </c>
      <c r="J445" s="14" t="s">
        <v>8643</v>
      </c>
      <c r="K445" s="14" t="s">
        <v>99</v>
      </c>
      <c r="L445" s="14" t="s">
        <v>99</v>
      </c>
      <c r="M445" s="14" t="s">
        <v>103</v>
      </c>
      <c r="N445" s="14" t="s">
        <v>104</v>
      </c>
      <c r="O445" s="14" t="s">
        <v>99</v>
      </c>
      <c r="P445" s="14" t="s">
        <v>99</v>
      </c>
      <c r="Q445" s="14" t="s">
        <v>99</v>
      </c>
      <c r="R445" s="14" t="s">
        <v>99</v>
      </c>
      <c r="S445" s="14" t="s">
        <v>99</v>
      </c>
      <c r="T445" s="14" t="s">
        <v>8662</v>
      </c>
      <c r="U445" s="14" t="s">
        <v>8663</v>
      </c>
      <c r="V445" s="14" t="s">
        <v>8664</v>
      </c>
      <c r="W445" s="14" t="s">
        <v>8665</v>
      </c>
      <c r="X445" s="14" t="s">
        <v>8666</v>
      </c>
      <c r="Y445" s="14" t="s">
        <v>8667</v>
      </c>
      <c r="Z445" s="14" t="s">
        <v>8668</v>
      </c>
      <c r="AA445" s="14" t="s">
        <v>8669</v>
      </c>
      <c r="AB445" s="14" t="s">
        <v>8670</v>
      </c>
      <c r="AC445" s="14" t="s">
        <v>99</v>
      </c>
      <c r="AD445" s="14" t="s">
        <v>99</v>
      </c>
      <c r="AE445" s="14" t="s">
        <v>99</v>
      </c>
      <c r="AF445" s="14" t="s">
        <v>99</v>
      </c>
      <c r="AG445" s="14">
        <v>66.0</v>
      </c>
      <c r="AH445" s="14">
        <v>131.0</v>
      </c>
      <c r="AI445" s="14">
        <v>147.0</v>
      </c>
      <c r="AJ445" s="14">
        <v>2.0</v>
      </c>
      <c r="AK445" s="14">
        <v>62.0</v>
      </c>
      <c r="AL445" s="14" t="s">
        <v>493</v>
      </c>
      <c r="AM445" s="14" t="s">
        <v>494</v>
      </c>
      <c r="AN445" s="14" t="s">
        <v>495</v>
      </c>
      <c r="AO445" s="14" t="s">
        <v>8653</v>
      </c>
      <c r="AP445" s="14" t="s">
        <v>8654</v>
      </c>
      <c r="AQ445" s="14" t="s">
        <v>99</v>
      </c>
      <c r="AR445" s="14" t="s">
        <v>8655</v>
      </c>
      <c r="AS445" s="14" t="s">
        <v>8656</v>
      </c>
      <c r="AT445" s="14" t="s">
        <v>99</v>
      </c>
      <c r="AU445" s="14">
        <v>2006.0</v>
      </c>
      <c r="AV445" s="14">
        <v>9.0</v>
      </c>
      <c r="AW445" s="14">
        <v>2.0</v>
      </c>
      <c r="AX445" s="14" t="s">
        <v>99</v>
      </c>
      <c r="AY445" s="14" t="s">
        <v>99</v>
      </c>
      <c r="AZ445" s="14" t="s">
        <v>99</v>
      </c>
      <c r="BA445" s="14" t="s">
        <v>99</v>
      </c>
      <c r="BB445" s="14">
        <v>116.0</v>
      </c>
      <c r="BC445" s="14">
        <v>128.0</v>
      </c>
      <c r="BD445" s="14" t="s">
        <v>99</v>
      </c>
      <c r="BE445" s="14" t="s">
        <v>8671</v>
      </c>
      <c r="BF445" s="15" t="str">
        <f>HYPERLINK("http://dx.doi.org/10.1016/j.envsci.2005.11.003","http://dx.doi.org/10.1016/j.envsci.2005.11.003")</f>
        <v>http://dx.doi.org/10.1016/j.envsci.2005.11.003</v>
      </c>
      <c r="BG445" s="14" t="s">
        <v>99</v>
      </c>
      <c r="BH445" s="14" t="s">
        <v>99</v>
      </c>
      <c r="BI445" s="14">
        <v>13.0</v>
      </c>
      <c r="BJ445" s="14" t="s">
        <v>1041</v>
      </c>
      <c r="BK445" s="14" t="s">
        <v>122</v>
      </c>
      <c r="BL445" s="14" t="s">
        <v>260</v>
      </c>
      <c r="BM445" s="14" t="s">
        <v>8658</v>
      </c>
      <c r="BN445" s="14" t="s">
        <v>99</v>
      </c>
      <c r="BO445" s="14" t="s">
        <v>99</v>
      </c>
      <c r="BP445" s="14" t="s">
        <v>99</v>
      </c>
      <c r="BQ445" s="14" t="s">
        <v>99</v>
      </c>
      <c r="BR445" s="14" t="s">
        <v>124</v>
      </c>
      <c r="BS445" s="14" t="s">
        <v>8672</v>
      </c>
      <c r="BT445" s="14" t="str">
        <f>HYPERLINK("https%3A%2F%2Fwww.webofscience.com%2Fwos%2Fwoscc%2Ffull-record%2FWOS:000236511100003","View Full Record in Web of Science")</f>
        <v>View Full Record in Web of Science</v>
      </c>
    </row>
    <row r="446" ht="12.75" customHeight="1">
      <c r="A446" s="14" t="s">
        <v>97</v>
      </c>
      <c r="B446" s="14" t="s">
        <v>8673</v>
      </c>
      <c r="C446" s="14" t="s">
        <v>99</v>
      </c>
      <c r="D446" s="14" t="s">
        <v>99</v>
      </c>
      <c r="E446" s="14" t="s">
        <v>99</v>
      </c>
      <c r="F446" s="14" t="s">
        <v>8673</v>
      </c>
      <c r="G446" s="14" t="s">
        <v>99</v>
      </c>
      <c r="H446" s="14" t="s">
        <v>99</v>
      </c>
      <c r="I446" s="14" t="s">
        <v>8674</v>
      </c>
      <c r="J446" s="14" t="s">
        <v>726</v>
      </c>
      <c r="K446" s="14" t="s">
        <v>99</v>
      </c>
      <c r="L446" s="14" t="s">
        <v>99</v>
      </c>
      <c r="M446" s="14" t="s">
        <v>103</v>
      </c>
      <c r="N446" s="14" t="s">
        <v>104</v>
      </c>
      <c r="O446" s="14" t="s">
        <v>99</v>
      </c>
      <c r="P446" s="14" t="s">
        <v>99</v>
      </c>
      <c r="Q446" s="14" t="s">
        <v>99</v>
      </c>
      <c r="R446" s="14" t="s">
        <v>99</v>
      </c>
      <c r="S446" s="14" t="s">
        <v>99</v>
      </c>
      <c r="T446" s="14" t="s">
        <v>8675</v>
      </c>
      <c r="U446" s="14" t="s">
        <v>8676</v>
      </c>
      <c r="V446" s="14" t="s">
        <v>8677</v>
      </c>
      <c r="W446" s="14" t="s">
        <v>8678</v>
      </c>
      <c r="X446" s="14" t="s">
        <v>8679</v>
      </c>
      <c r="Y446" s="14" t="s">
        <v>8680</v>
      </c>
      <c r="Z446" s="14" t="s">
        <v>8681</v>
      </c>
      <c r="AA446" s="14" t="s">
        <v>8682</v>
      </c>
      <c r="AB446" s="14" t="s">
        <v>8683</v>
      </c>
      <c r="AC446" s="14" t="s">
        <v>99</v>
      </c>
      <c r="AD446" s="14" t="s">
        <v>99</v>
      </c>
      <c r="AE446" s="14" t="s">
        <v>99</v>
      </c>
      <c r="AF446" s="14" t="s">
        <v>99</v>
      </c>
      <c r="AG446" s="14">
        <v>89.0</v>
      </c>
      <c r="AH446" s="14">
        <v>221.0</v>
      </c>
      <c r="AI446" s="14">
        <v>253.0</v>
      </c>
      <c r="AJ446" s="14">
        <v>3.0</v>
      </c>
      <c r="AK446" s="14">
        <v>120.0</v>
      </c>
      <c r="AL446" s="14" t="s">
        <v>341</v>
      </c>
      <c r="AM446" s="14" t="s">
        <v>342</v>
      </c>
      <c r="AN446" s="14" t="s">
        <v>343</v>
      </c>
      <c r="AO446" s="14" t="s">
        <v>739</v>
      </c>
      <c r="AP446" s="14" t="s">
        <v>740</v>
      </c>
      <c r="AQ446" s="14" t="s">
        <v>99</v>
      </c>
      <c r="AR446" s="14" t="s">
        <v>741</v>
      </c>
      <c r="AS446" s="14" t="s">
        <v>742</v>
      </c>
      <c r="AT446" s="14" t="s">
        <v>935</v>
      </c>
      <c r="AU446" s="14">
        <v>2006.0</v>
      </c>
      <c r="AV446" s="14">
        <v>12.0</v>
      </c>
      <c r="AW446" s="14">
        <v>1.0</v>
      </c>
      <c r="AX446" s="14" t="s">
        <v>99</v>
      </c>
      <c r="AY446" s="14" t="s">
        <v>99</v>
      </c>
      <c r="AZ446" s="14" t="s">
        <v>99</v>
      </c>
      <c r="BA446" s="14" t="s">
        <v>99</v>
      </c>
      <c r="BB446" s="14">
        <v>49.0</v>
      </c>
      <c r="BC446" s="14">
        <v>60.0</v>
      </c>
      <c r="BD446" s="14" t="s">
        <v>99</v>
      </c>
      <c r="BE446" s="14" t="s">
        <v>8684</v>
      </c>
      <c r="BF446" s="15" t="str">
        <f>HYPERLINK("http://dx.doi.org/10.1111/j.1366-9516.2006.00216.x","http://dx.doi.org/10.1111/j.1366-9516.2006.00216.x")</f>
        <v>http://dx.doi.org/10.1111/j.1366-9516.2006.00216.x</v>
      </c>
      <c r="BG446" s="14" t="s">
        <v>99</v>
      </c>
      <c r="BH446" s="14" t="s">
        <v>99</v>
      </c>
      <c r="BI446" s="14">
        <v>12.0</v>
      </c>
      <c r="BJ446" s="14" t="s">
        <v>550</v>
      </c>
      <c r="BK446" s="14" t="s">
        <v>122</v>
      </c>
      <c r="BL446" s="14" t="s">
        <v>352</v>
      </c>
      <c r="BM446" s="14" t="s">
        <v>8685</v>
      </c>
      <c r="BN446" s="14" t="s">
        <v>99</v>
      </c>
      <c r="BO446" s="14" t="s">
        <v>425</v>
      </c>
      <c r="BP446" s="14" t="s">
        <v>99</v>
      </c>
      <c r="BQ446" s="14" t="s">
        <v>99</v>
      </c>
      <c r="BR446" s="14" t="s">
        <v>124</v>
      </c>
      <c r="BS446" s="14" t="s">
        <v>8686</v>
      </c>
      <c r="BT446" s="14" t="str">
        <f>HYPERLINK("https%3A%2F%2Fwww.webofscience.com%2Fwos%2Fwoscc%2Ffull-record%2FWOS:000234026600006","View Full Record in Web of Science")</f>
        <v>View Full Record in Web of Science</v>
      </c>
    </row>
    <row r="447" ht="12.75" customHeight="1">
      <c r="A447" s="14" t="s">
        <v>97</v>
      </c>
      <c r="B447" s="14" t="s">
        <v>8687</v>
      </c>
      <c r="C447" s="14" t="s">
        <v>99</v>
      </c>
      <c r="D447" s="14" t="s">
        <v>99</v>
      </c>
      <c r="E447" s="14" t="s">
        <v>99</v>
      </c>
      <c r="F447" s="14" t="s">
        <v>8687</v>
      </c>
      <c r="G447" s="14" t="s">
        <v>99</v>
      </c>
      <c r="H447" s="14" t="s">
        <v>99</v>
      </c>
      <c r="I447" s="14" t="s">
        <v>8688</v>
      </c>
      <c r="J447" s="14" t="s">
        <v>1102</v>
      </c>
      <c r="K447" s="14" t="s">
        <v>99</v>
      </c>
      <c r="L447" s="14" t="s">
        <v>99</v>
      </c>
      <c r="M447" s="14" t="s">
        <v>103</v>
      </c>
      <c r="N447" s="14" t="s">
        <v>104</v>
      </c>
      <c r="O447" s="14" t="s">
        <v>99</v>
      </c>
      <c r="P447" s="14" t="s">
        <v>99</v>
      </c>
      <c r="Q447" s="14" t="s">
        <v>99</v>
      </c>
      <c r="R447" s="14" t="s">
        <v>99</v>
      </c>
      <c r="S447" s="14" t="s">
        <v>99</v>
      </c>
      <c r="T447" s="14" t="s">
        <v>8689</v>
      </c>
      <c r="U447" s="14" t="s">
        <v>8690</v>
      </c>
      <c r="V447" s="14" t="s">
        <v>8691</v>
      </c>
      <c r="W447" s="14" t="s">
        <v>8692</v>
      </c>
      <c r="X447" s="14" t="s">
        <v>8693</v>
      </c>
      <c r="Y447" s="14" t="s">
        <v>8694</v>
      </c>
      <c r="Z447" s="14" t="s">
        <v>8695</v>
      </c>
      <c r="AA447" s="14" t="s">
        <v>99</v>
      </c>
      <c r="AB447" s="14" t="s">
        <v>99</v>
      </c>
      <c r="AC447" s="14" t="s">
        <v>99</v>
      </c>
      <c r="AD447" s="14" t="s">
        <v>99</v>
      </c>
      <c r="AE447" s="14" t="s">
        <v>99</v>
      </c>
      <c r="AF447" s="14" t="s">
        <v>99</v>
      </c>
      <c r="AG447" s="14">
        <v>65.0</v>
      </c>
      <c r="AH447" s="14">
        <v>50.0</v>
      </c>
      <c r="AI447" s="14">
        <v>62.0</v>
      </c>
      <c r="AJ447" s="14">
        <v>0.0</v>
      </c>
      <c r="AK447" s="14">
        <v>32.0</v>
      </c>
      <c r="AL447" s="14" t="s">
        <v>493</v>
      </c>
      <c r="AM447" s="14" t="s">
        <v>494</v>
      </c>
      <c r="AN447" s="14" t="s">
        <v>495</v>
      </c>
      <c r="AO447" s="14" t="s">
        <v>1112</v>
      </c>
      <c r="AP447" s="14" t="s">
        <v>1113</v>
      </c>
      <c r="AQ447" s="14" t="s">
        <v>99</v>
      </c>
      <c r="AR447" s="14" t="s">
        <v>1114</v>
      </c>
      <c r="AS447" s="14" t="s">
        <v>1115</v>
      </c>
      <c r="AT447" s="14" t="s">
        <v>1058</v>
      </c>
      <c r="AU447" s="14">
        <v>2005.0</v>
      </c>
      <c r="AV447" s="14">
        <v>126.0</v>
      </c>
      <c r="AW447" s="14">
        <v>3.0</v>
      </c>
      <c r="AX447" s="14" t="s">
        <v>99</v>
      </c>
      <c r="AY447" s="14" t="s">
        <v>99</v>
      </c>
      <c r="AZ447" s="14" t="s">
        <v>99</v>
      </c>
      <c r="BA447" s="14" t="s">
        <v>99</v>
      </c>
      <c r="BB447" s="14">
        <v>351.0</v>
      </c>
      <c r="BC447" s="14">
        <v>362.0</v>
      </c>
      <c r="BD447" s="14" t="s">
        <v>99</v>
      </c>
      <c r="BE447" s="14" t="s">
        <v>8696</v>
      </c>
      <c r="BF447" s="15" t="str">
        <f>HYPERLINK("http://dx.doi.org/10.1016/j.biocon.2005.06.024","http://dx.doi.org/10.1016/j.biocon.2005.06.024")</f>
        <v>http://dx.doi.org/10.1016/j.biocon.2005.06.024</v>
      </c>
      <c r="BG447" s="14" t="s">
        <v>99</v>
      </c>
      <c r="BH447" s="14" t="s">
        <v>99</v>
      </c>
      <c r="BI447" s="14">
        <v>12.0</v>
      </c>
      <c r="BJ447" s="14" t="s">
        <v>351</v>
      </c>
      <c r="BK447" s="14" t="s">
        <v>122</v>
      </c>
      <c r="BL447" s="14" t="s">
        <v>352</v>
      </c>
      <c r="BM447" s="14" t="s">
        <v>8697</v>
      </c>
      <c r="BN447" s="14" t="s">
        <v>99</v>
      </c>
      <c r="BO447" s="14" t="s">
        <v>99</v>
      </c>
      <c r="BP447" s="14" t="s">
        <v>99</v>
      </c>
      <c r="BQ447" s="14" t="s">
        <v>99</v>
      </c>
      <c r="BR447" s="14" t="s">
        <v>124</v>
      </c>
      <c r="BS447" s="14" t="s">
        <v>8698</v>
      </c>
      <c r="BT447" s="14" t="str">
        <f>HYPERLINK("https%3A%2F%2Fwww.webofscience.com%2Fwos%2Fwoscc%2Ffull-record%2FWOS:000232993900006","View Full Record in Web of Science")</f>
        <v>View Full Record in Web of Science</v>
      </c>
    </row>
    <row r="448" ht="12.75" customHeight="1">
      <c r="A448" s="14" t="s">
        <v>97</v>
      </c>
      <c r="B448" s="14" t="s">
        <v>8699</v>
      </c>
      <c r="C448" s="14" t="s">
        <v>99</v>
      </c>
      <c r="D448" s="14" t="s">
        <v>99</v>
      </c>
      <c r="E448" s="14" t="s">
        <v>99</v>
      </c>
      <c r="F448" s="14" t="s">
        <v>8699</v>
      </c>
      <c r="G448" s="14" t="s">
        <v>99</v>
      </c>
      <c r="H448" s="14" t="s">
        <v>99</v>
      </c>
      <c r="I448" s="14" t="s">
        <v>8700</v>
      </c>
      <c r="J448" s="14" t="s">
        <v>8701</v>
      </c>
      <c r="K448" s="14" t="s">
        <v>99</v>
      </c>
      <c r="L448" s="14" t="s">
        <v>99</v>
      </c>
      <c r="M448" s="14" t="s">
        <v>103</v>
      </c>
      <c r="N448" s="14" t="s">
        <v>104</v>
      </c>
      <c r="O448" s="14" t="s">
        <v>99</v>
      </c>
      <c r="P448" s="14" t="s">
        <v>99</v>
      </c>
      <c r="Q448" s="14" t="s">
        <v>99</v>
      </c>
      <c r="R448" s="14" t="s">
        <v>99</v>
      </c>
      <c r="S448" s="14" t="s">
        <v>99</v>
      </c>
      <c r="T448" s="14" t="s">
        <v>99</v>
      </c>
      <c r="U448" s="14" t="s">
        <v>8702</v>
      </c>
      <c r="V448" s="14" t="s">
        <v>8703</v>
      </c>
      <c r="W448" s="14" t="s">
        <v>8704</v>
      </c>
      <c r="X448" s="14" t="s">
        <v>8705</v>
      </c>
      <c r="Y448" s="14" t="s">
        <v>8706</v>
      </c>
      <c r="Z448" s="14" t="s">
        <v>8707</v>
      </c>
      <c r="AA448" s="14" t="s">
        <v>99</v>
      </c>
      <c r="AB448" s="14" t="s">
        <v>99</v>
      </c>
      <c r="AC448" s="14" t="s">
        <v>99</v>
      </c>
      <c r="AD448" s="14" t="s">
        <v>99</v>
      </c>
      <c r="AE448" s="14" t="s">
        <v>99</v>
      </c>
      <c r="AF448" s="14" t="s">
        <v>99</v>
      </c>
      <c r="AG448" s="14">
        <v>55.0</v>
      </c>
      <c r="AH448" s="14">
        <v>34.0</v>
      </c>
      <c r="AI448" s="14">
        <v>43.0</v>
      </c>
      <c r="AJ448" s="14">
        <v>0.0</v>
      </c>
      <c r="AK448" s="14">
        <v>33.0</v>
      </c>
      <c r="AL448" s="14" t="s">
        <v>8708</v>
      </c>
      <c r="AM448" s="14" t="s">
        <v>8709</v>
      </c>
      <c r="AN448" s="14" t="s">
        <v>8710</v>
      </c>
      <c r="AO448" s="14" t="s">
        <v>8711</v>
      </c>
      <c r="AP448" s="14" t="s">
        <v>99</v>
      </c>
      <c r="AQ448" s="14" t="s">
        <v>99</v>
      </c>
      <c r="AR448" s="14" t="s">
        <v>8712</v>
      </c>
      <c r="AS448" s="14" t="s">
        <v>8713</v>
      </c>
      <c r="AT448" s="14" t="s">
        <v>1058</v>
      </c>
      <c r="AU448" s="14">
        <v>2005.0</v>
      </c>
      <c r="AV448" s="14">
        <v>35.0</v>
      </c>
      <c r="AW448" s="14">
        <v>12.0</v>
      </c>
      <c r="AX448" s="14" t="s">
        <v>99</v>
      </c>
      <c r="AY448" s="14" t="s">
        <v>99</v>
      </c>
      <c r="AZ448" s="14" t="s">
        <v>99</v>
      </c>
      <c r="BA448" s="14" t="s">
        <v>99</v>
      </c>
      <c r="BB448" s="14">
        <v>2813.0</v>
      </c>
      <c r="BC448" s="14">
        <v>2822.0</v>
      </c>
      <c r="BD448" s="14" t="s">
        <v>99</v>
      </c>
      <c r="BE448" s="14" t="s">
        <v>8714</v>
      </c>
      <c r="BF448" s="15" t="str">
        <f>HYPERLINK("http://dx.doi.org/10.1139/X05-208","http://dx.doi.org/10.1139/X05-208")</f>
        <v>http://dx.doi.org/10.1139/X05-208</v>
      </c>
      <c r="BG448" s="14" t="s">
        <v>99</v>
      </c>
      <c r="BH448" s="14" t="s">
        <v>99</v>
      </c>
      <c r="BI448" s="14">
        <v>10.0</v>
      </c>
      <c r="BJ448" s="14" t="s">
        <v>281</v>
      </c>
      <c r="BK448" s="14" t="s">
        <v>122</v>
      </c>
      <c r="BL448" s="14" t="s">
        <v>281</v>
      </c>
      <c r="BM448" s="14" t="s">
        <v>8715</v>
      </c>
      <c r="BN448" s="14" t="s">
        <v>99</v>
      </c>
      <c r="BO448" s="14" t="s">
        <v>99</v>
      </c>
      <c r="BP448" s="14" t="s">
        <v>99</v>
      </c>
      <c r="BQ448" s="14" t="s">
        <v>99</v>
      </c>
      <c r="BR448" s="14" t="s">
        <v>124</v>
      </c>
      <c r="BS448" s="14" t="s">
        <v>8716</v>
      </c>
      <c r="BT448" s="14" t="str">
        <f>HYPERLINK("https%3A%2F%2Fwww.webofscience.com%2Fwos%2Fwoscc%2Ffull-record%2FWOS:000235231000006","View Full Record in Web of Science")</f>
        <v>View Full Record in Web of Science</v>
      </c>
    </row>
    <row r="449" ht="12.75" customHeight="1">
      <c r="A449" s="14" t="s">
        <v>97</v>
      </c>
      <c r="B449" s="14" t="s">
        <v>8717</v>
      </c>
      <c r="C449" s="14" t="s">
        <v>99</v>
      </c>
      <c r="D449" s="14" t="s">
        <v>99</v>
      </c>
      <c r="E449" s="14" t="s">
        <v>99</v>
      </c>
      <c r="F449" s="14" t="s">
        <v>8717</v>
      </c>
      <c r="G449" s="14" t="s">
        <v>99</v>
      </c>
      <c r="H449" s="14" t="s">
        <v>99</v>
      </c>
      <c r="I449" s="14" t="s">
        <v>8718</v>
      </c>
      <c r="J449" s="14" t="s">
        <v>8719</v>
      </c>
      <c r="K449" s="14" t="s">
        <v>99</v>
      </c>
      <c r="L449" s="14" t="s">
        <v>99</v>
      </c>
      <c r="M449" s="14" t="s">
        <v>103</v>
      </c>
      <c r="N449" s="14" t="s">
        <v>104</v>
      </c>
      <c r="O449" s="14" t="s">
        <v>99</v>
      </c>
      <c r="P449" s="14" t="s">
        <v>99</v>
      </c>
      <c r="Q449" s="14" t="s">
        <v>99</v>
      </c>
      <c r="R449" s="14" t="s">
        <v>99</v>
      </c>
      <c r="S449" s="14" t="s">
        <v>99</v>
      </c>
      <c r="T449" s="14" t="s">
        <v>8720</v>
      </c>
      <c r="U449" s="14" t="s">
        <v>8721</v>
      </c>
      <c r="V449" s="14" t="s">
        <v>8722</v>
      </c>
      <c r="W449" s="14" t="s">
        <v>8723</v>
      </c>
      <c r="X449" s="14" t="s">
        <v>8724</v>
      </c>
      <c r="Y449" s="14" t="s">
        <v>8725</v>
      </c>
      <c r="Z449" s="14" t="s">
        <v>8726</v>
      </c>
      <c r="AA449" s="14" t="s">
        <v>8727</v>
      </c>
      <c r="AB449" s="14" t="s">
        <v>8728</v>
      </c>
      <c r="AC449" s="14" t="s">
        <v>99</v>
      </c>
      <c r="AD449" s="14" t="s">
        <v>99</v>
      </c>
      <c r="AE449" s="14" t="s">
        <v>99</v>
      </c>
      <c r="AF449" s="14" t="s">
        <v>99</v>
      </c>
      <c r="AG449" s="14">
        <v>25.0</v>
      </c>
      <c r="AH449" s="14">
        <v>16332.0</v>
      </c>
      <c r="AI449" s="14">
        <v>18842.0</v>
      </c>
      <c r="AJ449" s="14">
        <v>39.0</v>
      </c>
      <c r="AK449" s="14">
        <v>2484.0</v>
      </c>
      <c r="AL449" s="14" t="s">
        <v>341</v>
      </c>
      <c r="AM449" s="14" t="s">
        <v>342</v>
      </c>
      <c r="AN449" s="14" t="s">
        <v>343</v>
      </c>
      <c r="AO449" s="14" t="s">
        <v>8729</v>
      </c>
      <c r="AP449" s="14" t="s">
        <v>8730</v>
      </c>
      <c r="AQ449" s="14" t="s">
        <v>99</v>
      </c>
      <c r="AR449" s="14" t="s">
        <v>8731</v>
      </c>
      <c r="AS449" s="14" t="s">
        <v>8732</v>
      </c>
      <c r="AT449" s="14" t="s">
        <v>1058</v>
      </c>
      <c r="AU449" s="14">
        <v>2005.0</v>
      </c>
      <c r="AV449" s="14">
        <v>25.0</v>
      </c>
      <c r="AW449" s="14">
        <v>15.0</v>
      </c>
      <c r="AX449" s="14" t="s">
        <v>99</v>
      </c>
      <c r="AY449" s="14" t="s">
        <v>99</v>
      </c>
      <c r="AZ449" s="14" t="s">
        <v>99</v>
      </c>
      <c r="BA449" s="14" t="s">
        <v>99</v>
      </c>
      <c r="BB449" s="14">
        <v>1965.0</v>
      </c>
      <c r="BC449" s="14">
        <v>1978.0</v>
      </c>
      <c r="BD449" s="14" t="s">
        <v>99</v>
      </c>
      <c r="BE449" s="14" t="s">
        <v>8733</v>
      </c>
      <c r="BF449" s="15" t="str">
        <f>HYPERLINK("http://dx.doi.org/10.1002/joc.1276","http://dx.doi.org/10.1002/joc.1276")</f>
        <v>http://dx.doi.org/10.1002/joc.1276</v>
      </c>
      <c r="BG449" s="14" t="s">
        <v>99</v>
      </c>
      <c r="BH449" s="14" t="s">
        <v>99</v>
      </c>
      <c r="BI449" s="14">
        <v>14.0</v>
      </c>
      <c r="BJ449" s="14" t="s">
        <v>963</v>
      </c>
      <c r="BK449" s="14" t="s">
        <v>122</v>
      </c>
      <c r="BL449" s="14" t="s">
        <v>963</v>
      </c>
      <c r="BM449" s="14" t="s">
        <v>8734</v>
      </c>
      <c r="BN449" s="14" t="s">
        <v>99</v>
      </c>
      <c r="BO449" s="14" t="s">
        <v>99</v>
      </c>
      <c r="BP449" s="14" t="s">
        <v>99</v>
      </c>
      <c r="BQ449" s="14" t="s">
        <v>99</v>
      </c>
      <c r="BR449" s="14" t="s">
        <v>124</v>
      </c>
      <c r="BS449" s="14" t="s">
        <v>8735</v>
      </c>
      <c r="BT449" s="14" t="str">
        <f>HYPERLINK("https%3A%2F%2Fwww.webofscience.com%2Fwos%2Fwoscc%2Ffull-record%2FWOS:000234519700002","View Full Record in Web of Science")</f>
        <v>View Full Record in Web of Science</v>
      </c>
    </row>
    <row r="450" ht="12.75" customHeight="1">
      <c r="A450" s="14" t="s">
        <v>97</v>
      </c>
      <c r="B450" s="14" t="s">
        <v>8736</v>
      </c>
      <c r="C450" s="14" t="s">
        <v>99</v>
      </c>
      <c r="D450" s="14" t="s">
        <v>99</v>
      </c>
      <c r="E450" s="14" t="s">
        <v>99</v>
      </c>
      <c r="F450" s="14" t="s">
        <v>8736</v>
      </c>
      <c r="G450" s="14" t="s">
        <v>99</v>
      </c>
      <c r="H450" s="14" t="s">
        <v>99</v>
      </c>
      <c r="I450" s="14" t="s">
        <v>8737</v>
      </c>
      <c r="J450" s="14" t="s">
        <v>8738</v>
      </c>
      <c r="K450" s="14" t="s">
        <v>99</v>
      </c>
      <c r="L450" s="14" t="s">
        <v>99</v>
      </c>
      <c r="M450" s="14" t="s">
        <v>103</v>
      </c>
      <c r="N450" s="14" t="s">
        <v>104</v>
      </c>
      <c r="O450" s="14" t="s">
        <v>99</v>
      </c>
      <c r="P450" s="14" t="s">
        <v>99</v>
      </c>
      <c r="Q450" s="14" t="s">
        <v>99</v>
      </c>
      <c r="R450" s="14" t="s">
        <v>99</v>
      </c>
      <c r="S450" s="14" t="s">
        <v>99</v>
      </c>
      <c r="T450" s="14" t="s">
        <v>99</v>
      </c>
      <c r="U450" s="14" t="s">
        <v>8739</v>
      </c>
      <c r="V450" s="14" t="s">
        <v>8740</v>
      </c>
      <c r="W450" s="14" t="s">
        <v>8741</v>
      </c>
      <c r="X450" s="14" t="s">
        <v>8742</v>
      </c>
      <c r="Y450" s="14" t="s">
        <v>8743</v>
      </c>
      <c r="Z450" s="14" t="s">
        <v>8744</v>
      </c>
      <c r="AA450" s="14" t="s">
        <v>8745</v>
      </c>
      <c r="AB450" s="14" t="s">
        <v>8746</v>
      </c>
      <c r="AC450" s="14" t="s">
        <v>99</v>
      </c>
      <c r="AD450" s="14" t="s">
        <v>99</v>
      </c>
      <c r="AE450" s="14" t="s">
        <v>99</v>
      </c>
      <c r="AF450" s="14" t="s">
        <v>99</v>
      </c>
      <c r="AG450" s="14">
        <v>72.0</v>
      </c>
      <c r="AH450" s="14">
        <v>30.0</v>
      </c>
      <c r="AI450" s="14">
        <v>39.0</v>
      </c>
      <c r="AJ450" s="14">
        <v>0.0</v>
      </c>
      <c r="AK450" s="14">
        <v>29.0</v>
      </c>
      <c r="AL450" s="14" t="s">
        <v>8747</v>
      </c>
      <c r="AM450" s="14" t="s">
        <v>8709</v>
      </c>
      <c r="AN450" s="14" t="s">
        <v>8748</v>
      </c>
      <c r="AO450" s="14" t="s">
        <v>8711</v>
      </c>
      <c r="AP450" s="14" t="s">
        <v>8749</v>
      </c>
      <c r="AQ450" s="14" t="s">
        <v>99</v>
      </c>
      <c r="AR450" s="14" t="s">
        <v>8712</v>
      </c>
      <c r="AS450" s="14" t="s">
        <v>8750</v>
      </c>
      <c r="AT450" s="14" t="s">
        <v>1058</v>
      </c>
      <c r="AU450" s="14">
        <v>2005.0</v>
      </c>
      <c r="AV450" s="14">
        <v>35.0</v>
      </c>
      <c r="AW450" s="14">
        <v>12.0</v>
      </c>
      <c r="AX450" s="14" t="s">
        <v>99</v>
      </c>
      <c r="AY450" s="14" t="s">
        <v>99</v>
      </c>
      <c r="AZ450" s="14" t="s">
        <v>99</v>
      </c>
      <c r="BA450" s="14" t="s">
        <v>99</v>
      </c>
      <c r="BB450" s="14">
        <v>2832.0</v>
      </c>
      <c r="BC450" s="14">
        <v>2840.0</v>
      </c>
      <c r="BD450" s="14" t="s">
        <v>99</v>
      </c>
      <c r="BE450" s="14" t="s">
        <v>8751</v>
      </c>
      <c r="BF450" s="15" t="str">
        <f>HYPERLINK("http://dx.doi.org/10.1139/X05-200","http://dx.doi.org/10.1139/X05-200")</f>
        <v>http://dx.doi.org/10.1139/X05-200</v>
      </c>
      <c r="BG450" s="14" t="s">
        <v>99</v>
      </c>
      <c r="BH450" s="14" t="s">
        <v>99</v>
      </c>
      <c r="BI450" s="14">
        <v>9.0</v>
      </c>
      <c r="BJ450" s="14" t="s">
        <v>281</v>
      </c>
      <c r="BK450" s="14" t="s">
        <v>122</v>
      </c>
      <c r="BL450" s="14" t="s">
        <v>281</v>
      </c>
      <c r="BM450" s="14" t="s">
        <v>8715</v>
      </c>
      <c r="BN450" s="14" t="s">
        <v>99</v>
      </c>
      <c r="BO450" s="14" t="s">
        <v>99</v>
      </c>
      <c r="BP450" s="14" t="s">
        <v>99</v>
      </c>
      <c r="BQ450" s="14" t="s">
        <v>99</v>
      </c>
      <c r="BR450" s="14" t="s">
        <v>124</v>
      </c>
      <c r="BS450" s="14" t="s">
        <v>8752</v>
      </c>
      <c r="BT450" s="14" t="str">
        <f>HYPERLINK("https%3A%2F%2Fwww.webofscience.com%2Fwos%2Fwoscc%2Ffull-record%2FWOS:000235231000008","View Full Record in Web of Science")</f>
        <v>View Full Record in Web of Science</v>
      </c>
    </row>
    <row r="451" ht="12.75" customHeight="1">
      <c r="A451" s="14" t="s">
        <v>97</v>
      </c>
      <c r="B451" s="14" t="s">
        <v>8753</v>
      </c>
      <c r="C451" s="14" t="s">
        <v>99</v>
      </c>
      <c r="D451" s="14" t="s">
        <v>99</v>
      </c>
      <c r="E451" s="14" t="s">
        <v>99</v>
      </c>
      <c r="F451" s="14" t="s">
        <v>8753</v>
      </c>
      <c r="G451" s="14" t="s">
        <v>99</v>
      </c>
      <c r="H451" s="14" t="s">
        <v>99</v>
      </c>
      <c r="I451" s="14" t="s">
        <v>8754</v>
      </c>
      <c r="J451" s="14" t="s">
        <v>776</v>
      </c>
      <c r="K451" s="14" t="s">
        <v>99</v>
      </c>
      <c r="L451" s="14" t="s">
        <v>99</v>
      </c>
      <c r="M451" s="14" t="s">
        <v>103</v>
      </c>
      <c r="N451" s="14" t="s">
        <v>104</v>
      </c>
      <c r="O451" s="14" t="s">
        <v>99</v>
      </c>
      <c r="P451" s="14" t="s">
        <v>99</v>
      </c>
      <c r="Q451" s="14" t="s">
        <v>99</v>
      </c>
      <c r="R451" s="14" t="s">
        <v>99</v>
      </c>
      <c r="S451" s="14" t="s">
        <v>99</v>
      </c>
      <c r="T451" s="14" t="s">
        <v>8755</v>
      </c>
      <c r="U451" s="14" t="s">
        <v>8756</v>
      </c>
      <c r="V451" s="14" t="s">
        <v>8757</v>
      </c>
      <c r="W451" s="14" t="s">
        <v>8758</v>
      </c>
      <c r="X451" s="14" t="s">
        <v>7124</v>
      </c>
      <c r="Y451" s="14" t="s">
        <v>8759</v>
      </c>
      <c r="Z451" s="14" t="s">
        <v>8760</v>
      </c>
      <c r="AA451" s="14" t="s">
        <v>8761</v>
      </c>
      <c r="AB451" s="14" t="s">
        <v>8762</v>
      </c>
      <c r="AC451" s="14" t="s">
        <v>99</v>
      </c>
      <c r="AD451" s="14" t="s">
        <v>99</v>
      </c>
      <c r="AE451" s="14" t="s">
        <v>99</v>
      </c>
      <c r="AF451" s="14" t="s">
        <v>99</v>
      </c>
      <c r="AG451" s="14">
        <v>40.0</v>
      </c>
      <c r="AH451" s="14">
        <v>128.0</v>
      </c>
      <c r="AI451" s="14">
        <v>157.0</v>
      </c>
      <c r="AJ451" s="14">
        <v>1.0</v>
      </c>
      <c r="AK451" s="14">
        <v>48.0</v>
      </c>
      <c r="AL451" s="14" t="s">
        <v>788</v>
      </c>
      <c r="AM451" s="14" t="s">
        <v>789</v>
      </c>
      <c r="AN451" s="14" t="s">
        <v>790</v>
      </c>
      <c r="AO451" s="14" t="s">
        <v>791</v>
      </c>
      <c r="AP451" s="14" t="s">
        <v>792</v>
      </c>
      <c r="AQ451" s="14" t="s">
        <v>99</v>
      </c>
      <c r="AR451" s="14" t="s">
        <v>793</v>
      </c>
      <c r="AS451" s="14" t="s">
        <v>794</v>
      </c>
      <c r="AT451" s="14" t="s">
        <v>8763</v>
      </c>
      <c r="AU451" s="14">
        <v>2005.0</v>
      </c>
      <c r="AV451" s="14">
        <v>102.0</v>
      </c>
      <c r="AW451" s="14">
        <v>45.0</v>
      </c>
      <c r="AX451" s="14" t="s">
        <v>99</v>
      </c>
      <c r="AY451" s="14" t="s">
        <v>99</v>
      </c>
      <c r="AZ451" s="14" t="s">
        <v>99</v>
      </c>
      <c r="BA451" s="14" t="s">
        <v>99</v>
      </c>
      <c r="BB451" s="14">
        <v>16281.0</v>
      </c>
      <c r="BC451" s="14">
        <v>16286.0</v>
      </c>
      <c r="BD451" s="14" t="s">
        <v>99</v>
      </c>
      <c r="BE451" s="14" t="s">
        <v>8764</v>
      </c>
      <c r="BF451" s="15" t="str">
        <f>HYPERLINK("http://dx.doi.org/10.1073/pnas.0501427102","http://dx.doi.org/10.1073/pnas.0501427102")</f>
        <v>http://dx.doi.org/10.1073/pnas.0501427102</v>
      </c>
      <c r="BG451" s="14" t="s">
        <v>99</v>
      </c>
      <c r="BH451" s="14" t="s">
        <v>99</v>
      </c>
      <c r="BI451" s="14">
        <v>6.0</v>
      </c>
      <c r="BJ451" s="14" t="s">
        <v>799</v>
      </c>
      <c r="BK451" s="14" t="s">
        <v>122</v>
      </c>
      <c r="BL451" s="14" t="s">
        <v>801</v>
      </c>
      <c r="BM451" s="14" t="s">
        <v>8765</v>
      </c>
      <c r="BN451" s="14">
        <v>1.626075E7</v>
      </c>
      <c r="BO451" s="14" t="s">
        <v>425</v>
      </c>
      <c r="BP451" s="14" t="s">
        <v>99</v>
      </c>
      <c r="BQ451" s="14" t="s">
        <v>99</v>
      </c>
      <c r="BR451" s="14" t="s">
        <v>124</v>
      </c>
      <c r="BS451" s="14" t="s">
        <v>8766</v>
      </c>
      <c r="BT451" s="14" t="str">
        <f>HYPERLINK("https%3A%2F%2Fwww.webofscience.com%2Fwos%2Fwoscc%2Ffull-record%2FWOS:000233283700029","View Full Record in Web of Science")</f>
        <v>View Full Record in Web of Science</v>
      </c>
    </row>
    <row r="452" ht="12.75" customHeight="1">
      <c r="A452" s="14" t="s">
        <v>97</v>
      </c>
      <c r="B452" s="14" t="s">
        <v>8767</v>
      </c>
      <c r="C452" s="14" t="s">
        <v>99</v>
      </c>
      <c r="D452" s="14" t="s">
        <v>99</v>
      </c>
      <c r="E452" s="14" t="s">
        <v>99</v>
      </c>
      <c r="F452" s="14" t="s">
        <v>8767</v>
      </c>
      <c r="G452" s="14" t="s">
        <v>99</v>
      </c>
      <c r="H452" s="14" t="s">
        <v>99</v>
      </c>
      <c r="I452" s="14" t="s">
        <v>8768</v>
      </c>
      <c r="J452" s="14" t="s">
        <v>1580</v>
      </c>
      <c r="K452" s="14" t="s">
        <v>99</v>
      </c>
      <c r="L452" s="14" t="s">
        <v>99</v>
      </c>
      <c r="M452" s="14" t="s">
        <v>103</v>
      </c>
      <c r="N452" s="14" t="s">
        <v>104</v>
      </c>
      <c r="O452" s="14" t="s">
        <v>99</v>
      </c>
      <c r="P452" s="14" t="s">
        <v>99</v>
      </c>
      <c r="Q452" s="14" t="s">
        <v>99</v>
      </c>
      <c r="R452" s="14" t="s">
        <v>99</v>
      </c>
      <c r="S452" s="14" t="s">
        <v>99</v>
      </c>
      <c r="T452" s="14" t="s">
        <v>8769</v>
      </c>
      <c r="U452" s="14" t="s">
        <v>8770</v>
      </c>
      <c r="V452" s="14" t="s">
        <v>8771</v>
      </c>
      <c r="W452" s="14" t="s">
        <v>8772</v>
      </c>
      <c r="X452" s="14" t="s">
        <v>8220</v>
      </c>
      <c r="Y452" s="14" t="s">
        <v>8773</v>
      </c>
      <c r="Z452" s="14" t="s">
        <v>8774</v>
      </c>
      <c r="AA452" s="14" t="s">
        <v>99</v>
      </c>
      <c r="AB452" s="14" t="s">
        <v>8775</v>
      </c>
      <c r="AC452" s="14" t="s">
        <v>99</v>
      </c>
      <c r="AD452" s="14" t="s">
        <v>99</v>
      </c>
      <c r="AE452" s="14" t="s">
        <v>99</v>
      </c>
      <c r="AF452" s="14" t="s">
        <v>99</v>
      </c>
      <c r="AG452" s="14">
        <v>37.0</v>
      </c>
      <c r="AH452" s="14">
        <v>54.0</v>
      </c>
      <c r="AI452" s="14">
        <v>63.0</v>
      </c>
      <c r="AJ452" s="14">
        <v>0.0</v>
      </c>
      <c r="AK452" s="14">
        <v>43.0</v>
      </c>
      <c r="AL452" s="14" t="s">
        <v>1593</v>
      </c>
      <c r="AM452" s="14" t="s">
        <v>1594</v>
      </c>
      <c r="AN452" s="14" t="s">
        <v>8776</v>
      </c>
      <c r="AO452" s="14" t="s">
        <v>1596</v>
      </c>
      <c r="AP452" s="14" t="s">
        <v>99</v>
      </c>
      <c r="AQ452" s="14" t="s">
        <v>99</v>
      </c>
      <c r="AR452" s="14" t="s">
        <v>1580</v>
      </c>
      <c r="AS452" s="14" t="s">
        <v>1598</v>
      </c>
      <c r="AT452" s="14" t="s">
        <v>2372</v>
      </c>
      <c r="AU452" s="14">
        <v>2005.0</v>
      </c>
      <c r="AV452" s="14">
        <v>39.0</v>
      </c>
      <c r="AW452" s="14">
        <v>4.0</v>
      </c>
      <c r="AX452" s="14" t="s">
        <v>99</v>
      </c>
      <c r="AY452" s="14" t="s">
        <v>99</v>
      </c>
      <c r="AZ452" s="14" t="s">
        <v>99</v>
      </c>
      <c r="BA452" s="14" t="s">
        <v>99</v>
      </c>
      <c r="BB452" s="14">
        <v>381.0</v>
      </c>
      <c r="BC452" s="14">
        <v>388.0</v>
      </c>
      <c r="BD452" s="14" t="s">
        <v>99</v>
      </c>
      <c r="BE452" s="14" t="s">
        <v>8777</v>
      </c>
      <c r="BF452" s="15" t="str">
        <f>HYPERLINK("http://dx.doi.org/10.1017/S0030605305001080","http://dx.doi.org/10.1017/S0030605305001080")</f>
        <v>http://dx.doi.org/10.1017/S0030605305001080</v>
      </c>
      <c r="BG452" s="14" t="s">
        <v>99</v>
      </c>
      <c r="BH452" s="14" t="s">
        <v>99</v>
      </c>
      <c r="BI452" s="14">
        <v>8.0</v>
      </c>
      <c r="BJ452" s="14" t="s">
        <v>550</v>
      </c>
      <c r="BK452" s="14" t="s">
        <v>122</v>
      </c>
      <c r="BL452" s="14" t="s">
        <v>352</v>
      </c>
      <c r="BM452" s="14" t="s">
        <v>8778</v>
      </c>
      <c r="BN452" s="14" t="s">
        <v>99</v>
      </c>
      <c r="BO452" s="14" t="s">
        <v>238</v>
      </c>
      <c r="BP452" s="14" t="s">
        <v>99</v>
      </c>
      <c r="BQ452" s="14" t="s">
        <v>99</v>
      </c>
      <c r="BR452" s="14" t="s">
        <v>124</v>
      </c>
      <c r="BS452" s="14" t="s">
        <v>8779</v>
      </c>
      <c r="BT452" s="14" t="str">
        <f>HYPERLINK("https%3A%2F%2Fwww.webofscience.com%2Fwos%2Fwoscc%2Ffull-record%2FWOS:000234153500009","View Full Record in Web of Science")</f>
        <v>View Full Record in Web of Science</v>
      </c>
    </row>
    <row r="453" ht="12.75" customHeight="1">
      <c r="A453" s="14" t="s">
        <v>97</v>
      </c>
      <c r="B453" s="14" t="s">
        <v>8780</v>
      </c>
      <c r="C453" s="14" t="s">
        <v>99</v>
      </c>
      <c r="D453" s="14" t="s">
        <v>99</v>
      </c>
      <c r="E453" s="14" t="s">
        <v>99</v>
      </c>
      <c r="F453" s="14" t="s">
        <v>8780</v>
      </c>
      <c r="G453" s="14" t="s">
        <v>99</v>
      </c>
      <c r="H453" s="14" t="s">
        <v>99</v>
      </c>
      <c r="I453" s="14" t="s">
        <v>8781</v>
      </c>
      <c r="J453" s="14" t="s">
        <v>1102</v>
      </c>
      <c r="K453" s="14" t="s">
        <v>99</v>
      </c>
      <c r="L453" s="14" t="s">
        <v>99</v>
      </c>
      <c r="M453" s="14" t="s">
        <v>103</v>
      </c>
      <c r="N453" s="14" t="s">
        <v>104</v>
      </c>
      <c r="O453" s="14" t="s">
        <v>99</v>
      </c>
      <c r="P453" s="14" t="s">
        <v>99</v>
      </c>
      <c r="Q453" s="14" t="s">
        <v>99</v>
      </c>
      <c r="R453" s="14" t="s">
        <v>99</v>
      </c>
      <c r="S453" s="14" t="s">
        <v>99</v>
      </c>
      <c r="T453" s="14" t="s">
        <v>8782</v>
      </c>
      <c r="U453" s="14" t="s">
        <v>8783</v>
      </c>
      <c r="V453" s="14" t="s">
        <v>8784</v>
      </c>
      <c r="W453" s="14" t="s">
        <v>8785</v>
      </c>
      <c r="X453" s="14" t="s">
        <v>8786</v>
      </c>
      <c r="Y453" s="14" t="s">
        <v>8787</v>
      </c>
      <c r="Z453" s="14" t="s">
        <v>8788</v>
      </c>
      <c r="AA453" s="14" t="s">
        <v>8789</v>
      </c>
      <c r="AB453" s="14" t="s">
        <v>8790</v>
      </c>
      <c r="AC453" s="14" t="s">
        <v>99</v>
      </c>
      <c r="AD453" s="14" t="s">
        <v>99</v>
      </c>
      <c r="AE453" s="14" t="s">
        <v>99</v>
      </c>
      <c r="AF453" s="14" t="s">
        <v>99</v>
      </c>
      <c r="AG453" s="14">
        <v>43.0</v>
      </c>
      <c r="AH453" s="14">
        <v>86.0</v>
      </c>
      <c r="AI453" s="14">
        <v>97.0</v>
      </c>
      <c r="AJ453" s="14">
        <v>2.0</v>
      </c>
      <c r="AK453" s="14">
        <v>71.0</v>
      </c>
      <c r="AL453" s="14" t="s">
        <v>493</v>
      </c>
      <c r="AM453" s="14" t="s">
        <v>468</v>
      </c>
      <c r="AN453" s="14" t="s">
        <v>635</v>
      </c>
      <c r="AO453" s="14" t="s">
        <v>1112</v>
      </c>
      <c r="AP453" s="14" t="s">
        <v>99</v>
      </c>
      <c r="AQ453" s="14" t="s">
        <v>99</v>
      </c>
      <c r="AR453" s="14" t="s">
        <v>1114</v>
      </c>
      <c r="AS453" s="14" t="s">
        <v>1115</v>
      </c>
      <c r="AT453" s="14" t="s">
        <v>2372</v>
      </c>
      <c r="AU453" s="14">
        <v>2005.0</v>
      </c>
      <c r="AV453" s="14">
        <v>125.0</v>
      </c>
      <c r="AW453" s="14">
        <v>3.0</v>
      </c>
      <c r="AX453" s="14" t="s">
        <v>99</v>
      </c>
      <c r="AY453" s="14" t="s">
        <v>99</v>
      </c>
      <c r="AZ453" s="14" t="s">
        <v>99</v>
      </c>
      <c r="BA453" s="14" t="s">
        <v>99</v>
      </c>
      <c r="BB453" s="14">
        <v>335.0</v>
      </c>
      <c r="BC453" s="14">
        <v>343.0</v>
      </c>
      <c r="BD453" s="14" t="s">
        <v>99</v>
      </c>
      <c r="BE453" s="14" t="s">
        <v>8791</v>
      </c>
      <c r="BF453" s="15" t="str">
        <f>HYPERLINK("http://dx.doi.org/10.1016/j.biocon.2005.04.003","http://dx.doi.org/10.1016/j.biocon.2005.04.003")</f>
        <v>http://dx.doi.org/10.1016/j.biocon.2005.04.003</v>
      </c>
      <c r="BG453" s="14" t="s">
        <v>99</v>
      </c>
      <c r="BH453" s="14" t="s">
        <v>99</v>
      </c>
      <c r="BI453" s="14">
        <v>9.0</v>
      </c>
      <c r="BJ453" s="14" t="s">
        <v>351</v>
      </c>
      <c r="BK453" s="14" t="s">
        <v>122</v>
      </c>
      <c r="BL453" s="14" t="s">
        <v>352</v>
      </c>
      <c r="BM453" s="14" t="s">
        <v>8792</v>
      </c>
      <c r="BN453" s="14" t="s">
        <v>99</v>
      </c>
      <c r="BO453" s="14" t="s">
        <v>99</v>
      </c>
      <c r="BP453" s="14" t="s">
        <v>99</v>
      </c>
      <c r="BQ453" s="14" t="s">
        <v>99</v>
      </c>
      <c r="BR453" s="14" t="s">
        <v>124</v>
      </c>
      <c r="BS453" s="14" t="s">
        <v>8793</v>
      </c>
      <c r="BT453" s="14" t="str">
        <f>HYPERLINK("https%3A%2F%2Fwww.webofscience.com%2Fwos%2Fwoscc%2Ffull-record%2FWOS:000230357900006","View Full Record in Web of Science")</f>
        <v>View Full Record in Web of Science</v>
      </c>
    </row>
    <row r="454" ht="12.75" customHeight="1">
      <c r="A454" s="14" t="s">
        <v>97</v>
      </c>
      <c r="B454" s="14" t="s">
        <v>8794</v>
      </c>
      <c r="C454" s="14" t="s">
        <v>99</v>
      </c>
      <c r="D454" s="14" t="s">
        <v>99</v>
      </c>
      <c r="E454" s="14" t="s">
        <v>99</v>
      </c>
      <c r="F454" s="14" t="s">
        <v>8794</v>
      </c>
      <c r="G454" s="14" t="s">
        <v>99</v>
      </c>
      <c r="H454" s="14" t="s">
        <v>99</v>
      </c>
      <c r="I454" s="14" t="s">
        <v>8795</v>
      </c>
      <c r="J454" s="14" t="s">
        <v>328</v>
      </c>
      <c r="K454" s="14" t="s">
        <v>99</v>
      </c>
      <c r="L454" s="14" t="s">
        <v>99</v>
      </c>
      <c r="M454" s="14" t="s">
        <v>103</v>
      </c>
      <c r="N454" s="14" t="s">
        <v>104</v>
      </c>
      <c r="O454" s="14" t="s">
        <v>99</v>
      </c>
      <c r="P454" s="14" t="s">
        <v>99</v>
      </c>
      <c r="Q454" s="14" t="s">
        <v>99</v>
      </c>
      <c r="R454" s="14" t="s">
        <v>99</v>
      </c>
      <c r="S454" s="14" t="s">
        <v>99</v>
      </c>
      <c r="T454" s="14" t="s">
        <v>8796</v>
      </c>
      <c r="U454" s="14" t="s">
        <v>8797</v>
      </c>
      <c r="V454" s="14" t="s">
        <v>8798</v>
      </c>
      <c r="W454" s="14" t="s">
        <v>8799</v>
      </c>
      <c r="X454" s="14" t="s">
        <v>8800</v>
      </c>
      <c r="Y454" s="14" t="s">
        <v>8801</v>
      </c>
      <c r="Z454" s="14" t="s">
        <v>8802</v>
      </c>
      <c r="AA454" s="14" t="s">
        <v>8803</v>
      </c>
      <c r="AB454" s="14" t="s">
        <v>8804</v>
      </c>
      <c r="AC454" s="14" t="s">
        <v>99</v>
      </c>
      <c r="AD454" s="14" t="s">
        <v>99</v>
      </c>
      <c r="AE454" s="14" t="s">
        <v>99</v>
      </c>
      <c r="AF454" s="14" t="s">
        <v>99</v>
      </c>
      <c r="AG454" s="14">
        <v>69.0</v>
      </c>
      <c r="AH454" s="14">
        <v>104.0</v>
      </c>
      <c r="AI454" s="14">
        <v>124.0</v>
      </c>
      <c r="AJ454" s="14">
        <v>1.0</v>
      </c>
      <c r="AK454" s="14">
        <v>61.0</v>
      </c>
      <c r="AL454" s="14" t="s">
        <v>341</v>
      </c>
      <c r="AM454" s="14" t="s">
        <v>342</v>
      </c>
      <c r="AN454" s="14" t="s">
        <v>343</v>
      </c>
      <c r="AO454" s="14" t="s">
        <v>344</v>
      </c>
      <c r="AP454" s="14" t="s">
        <v>345</v>
      </c>
      <c r="AQ454" s="14" t="s">
        <v>99</v>
      </c>
      <c r="AR454" s="14" t="s">
        <v>346</v>
      </c>
      <c r="AS454" s="14" t="s">
        <v>347</v>
      </c>
      <c r="AT454" s="14" t="s">
        <v>421</v>
      </c>
      <c r="AU454" s="14">
        <v>2005.0</v>
      </c>
      <c r="AV454" s="14">
        <v>11.0</v>
      </c>
      <c r="AW454" s="14">
        <v>9.0</v>
      </c>
      <c r="AX454" s="14" t="s">
        <v>99</v>
      </c>
      <c r="AY454" s="14" t="s">
        <v>99</v>
      </c>
      <c r="AZ454" s="14" t="s">
        <v>99</v>
      </c>
      <c r="BA454" s="14" t="s">
        <v>99</v>
      </c>
      <c r="BB454" s="14">
        <v>1452.0</v>
      </c>
      <c r="BC454" s="14">
        <v>1468.0</v>
      </c>
      <c r="BD454" s="14" t="s">
        <v>99</v>
      </c>
      <c r="BE454" s="14" t="s">
        <v>8805</v>
      </c>
      <c r="BF454" s="15" t="str">
        <f>HYPERLINK("http://dx.doi.org/10.1111/j.1365-2486.2005.00997.x","http://dx.doi.org/10.1111/j.1365-2486.2005.00997.x")</f>
        <v>http://dx.doi.org/10.1111/j.1365-2486.2005.00997.x</v>
      </c>
      <c r="BG454" s="14" t="s">
        <v>99</v>
      </c>
      <c r="BH454" s="14" t="s">
        <v>99</v>
      </c>
      <c r="BI454" s="14">
        <v>17.0</v>
      </c>
      <c r="BJ454" s="14" t="s">
        <v>351</v>
      </c>
      <c r="BK454" s="14" t="s">
        <v>122</v>
      </c>
      <c r="BL454" s="14" t="s">
        <v>352</v>
      </c>
      <c r="BM454" s="14" t="s">
        <v>8806</v>
      </c>
      <c r="BN454" s="14" t="s">
        <v>99</v>
      </c>
      <c r="BO454" s="14" t="s">
        <v>99</v>
      </c>
      <c r="BP454" s="14" t="s">
        <v>99</v>
      </c>
      <c r="BQ454" s="14" t="s">
        <v>99</v>
      </c>
      <c r="BR454" s="14" t="s">
        <v>124</v>
      </c>
      <c r="BS454" s="14" t="s">
        <v>8807</v>
      </c>
      <c r="BT454" s="14" t="str">
        <f>HYPERLINK("https%3A%2F%2Fwww.webofscience.com%2Fwos%2Fwoscc%2Ffull-record%2FWOS:000231396700005","View Full Record in Web of Science")</f>
        <v>View Full Record in Web of Science</v>
      </c>
    </row>
    <row r="455" ht="12.75" customHeight="1">
      <c r="A455" s="14" t="s">
        <v>97</v>
      </c>
      <c r="B455" s="14" t="s">
        <v>8808</v>
      </c>
      <c r="C455" s="14" t="s">
        <v>99</v>
      </c>
      <c r="D455" s="14" t="s">
        <v>99</v>
      </c>
      <c r="E455" s="14" t="s">
        <v>99</v>
      </c>
      <c r="F455" s="14" t="s">
        <v>8808</v>
      </c>
      <c r="G455" s="14" t="s">
        <v>99</v>
      </c>
      <c r="H455" s="14" t="s">
        <v>99</v>
      </c>
      <c r="I455" s="14" t="s">
        <v>8809</v>
      </c>
      <c r="J455" s="14" t="s">
        <v>3413</v>
      </c>
      <c r="K455" s="14" t="s">
        <v>99</v>
      </c>
      <c r="L455" s="14" t="s">
        <v>99</v>
      </c>
      <c r="M455" s="14" t="s">
        <v>103</v>
      </c>
      <c r="N455" s="14" t="s">
        <v>104</v>
      </c>
      <c r="O455" s="14" t="s">
        <v>99</v>
      </c>
      <c r="P455" s="14" t="s">
        <v>99</v>
      </c>
      <c r="Q455" s="14" t="s">
        <v>99</v>
      </c>
      <c r="R455" s="14" t="s">
        <v>99</v>
      </c>
      <c r="S455" s="14" t="s">
        <v>99</v>
      </c>
      <c r="T455" s="14" t="s">
        <v>8810</v>
      </c>
      <c r="U455" s="14" t="s">
        <v>8811</v>
      </c>
      <c r="V455" s="14" t="s">
        <v>8812</v>
      </c>
      <c r="W455" s="14" t="s">
        <v>8813</v>
      </c>
      <c r="X455" s="14" t="s">
        <v>8814</v>
      </c>
      <c r="Y455" s="14" t="s">
        <v>8815</v>
      </c>
      <c r="Z455" s="14" t="s">
        <v>8816</v>
      </c>
      <c r="AA455" s="14" t="s">
        <v>8817</v>
      </c>
      <c r="AB455" s="14" t="s">
        <v>8818</v>
      </c>
      <c r="AC455" s="14" t="s">
        <v>99</v>
      </c>
      <c r="AD455" s="14" t="s">
        <v>99</v>
      </c>
      <c r="AE455" s="14" t="s">
        <v>99</v>
      </c>
      <c r="AF455" s="14" t="s">
        <v>99</v>
      </c>
      <c r="AG455" s="14">
        <v>77.0</v>
      </c>
      <c r="AH455" s="14">
        <v>419.0</v>
      </c>
      <c r="AI455" s="14">
        <v>459.0</v>
      </c>
      <c r="AJ455" s="14">
        <v>2.0</v>
      </c>
      <c r="AK455" s="14">
        <v>177.0</v>
      </c>
      <c r="AL455" s="14" t="s">
        <v>1033</v>
      </c>
      <c r="AM455" s="14" t="s">
        <v>442</v>
      </c>
      <c r="AN455" s="14" t="s">
        <v>1034</v>
      </c>
      <c r="AO455" s="14" t="s">
        <v>3425</v>
      </c>
      <c r="AP455" s="14" t="s">
        <v>99</v>
      </c>
      <c r="AQ455" s="14" t="s">
        <v>99</v>
      </c>
      <c r="AR455" s="14" t="s">
        <v>3427</v>
      </c>
      <c r="AS455" s="14" t="s">
        <v>3428</v>
      </c>
      <c r="AT455" s="14" t="s">
        <v>8819</v>
      </c>
      <c r="AU455" s="14">
        <v>2005.0</v>
      </c>
      <c r="AV455" s="14">
        <v>186.0</v>
      </c>
      <c r="AW455" s="14">
        <v>2.0</v>
      </c>
      <c r="AX455" s="14" t="s">
        <v>99</v>
      </c>
      <c r="AY455" s="14" t="s">
        <v>99</v>
      </c>
      <c r="AZ455" s="14" t="s">
        <v>99</v>
      </c>
      <c r="BA455" s="14" t="s">
        <v>99</v>
      </c>
      <c r="BB455" s="14">
        <v>250.0</v>
      </c>
      <c r="BC455" s="14">
        <v>269.0</v>
      </c>
      <c r="BD455" s="14" t="s">
        <v>99</v>
      </c>
      <c r="BE455" s="14" t="s">
        <v>8820</v>
      </c>
      <c r="BF455" s="15" t="str">
        <f>HYPERLINK("http://dx.doi.org/10.1016/j.ecolmodel.2005.01.030","http://dx.doi.org/10.1016/j.ecolmodel.2005.01.030")</f>
        <v>http://dx.doi.org/10.1016/j.ecolmodel.2005.01.030</v>
      </c>
      <c r="BG455" s="14" t="s">
        <v>99</v>
      </c>
      <c r="BH455" s="14" t="s">
        <v>99</v>
      </c>
      <c r="BI455" s="14">
        <v>20.0</v>
      </c>
      <c r="BJ455" s="14" t="s">
        <v>259</v>
      </c>
      <c r="BK455" s="14" t="s">
        <v>122</v>
      </c>
      <c r="BL455" s="14" t="s">
        <v>260</v>
      </c>
      <c r="BM455" s="14" t="s">
        <v>8821</v>
      </c>
      <c r="BN455" s="14" t="s">
        <v>99</v>
      </c>
      <c r="BO455" s="14" t="s">
        <v>99</v>
      </c>
      <c r="BP455" s="14" t="s">
        <v>99</v>
      </c>
      <c r="BQ455" s="14" t="s">
        <v>99</v>
      </c>
      <c r="BR455" s="14" t="s">
        <v>124</v>
      </c>
      <c r="BS455" s="14" t="s">
        <v>8822</v>
      </c>
      <c r="BT455" s="14" t="str">
        <f>HYPERLINK("https%3A%2F%2Fwww.webofscience.com%2Fwos%2Fwoscc%2Ffull-record%2FWOS:000230636400008","View Full Record in Web of Science")</f>
        <v>View Full Record in Web of Science</v>
      </c>
    </row>
    <row r="456" ht="12.75" customHeight="1">
      <c r="A456" s="14" t="s">
        <v>97</v>
      </c>
      <c r="B456" s="14" t="s">
        <v>8823</v>
      </c>
      <c r="C456" s="14" t="s">
        <v>99</v>
      </c>
      <c r="D456" s="14" t="s">
        <v>99</v>
      </c>
      <c r="E456" s="14" t="s">
        <v>99</v>
      </c>
      <c r="F456" s="14" t="s">
        <v>8823</v>
      </c>
      <c r="G456" s="14" t="s">
        <v>99</v>
      </c>
      <c r="H456" s="14" t="s">
        <v>99</v>
      </c>
      <c r="I456" s="14" t="s">
        <v>8824</v>
      </c>
      <c r="J456" s="14" t="s">
        <v>2142</v>
      </c>
      <c r="K456" s="14" t="s">
        <v>99</v>
      </c>
      <c r="L456" s="14" t="s">
        <v>99</v>
      </c>
      <c r="M456" s="14" t="s">
        <v>103</v>
      </c>
      <c r="N456" s="14" t="s">
        <v>104</v>
      </c>
      <c r="O456" s="14" t="s">
        <v>99</v>
      </c>
      <c r="P456" s="14" t="s">
        <v>99</v>
      </c>
      <c r="Q456" s="14" t="s">
        <v>99</v>
      </c>
      <c r="R456" s="14" t="s">
        <v>99</v>
      </c>
      <c r="S456" s="14" t="s">
        <v>99</v>
      </c>
      <c r="T456" s="14" t="s">
        <v>8825</v>
      </c>
      <c r="U456" s="14" t="s">
        <v>8826</v>
      </c>
      <c r="V456" s="14" t="s">
        <v>8827</v>
      </c>
      <c r="W456" s="14" t="s">
        <v>8828</v>
      </c>
      <c r="X456" s="14" t="s">
        <v>8829</v>
      </c>
      <c r="Y456" s="14" t="s">
        <v>8830</v>
      </c>
      <c r="Z456" s="14" t="s">
        <v>8831</v>
      </c>
      <c r="AA456" s="14" t="s">
        <v>8832</v>
      </c>
      <c r="AB456" s="14" t="s">
        <v>99</v>
      </c>
      <c r="AC456" s="14" t="s">
        <v>99</v>
      </c>
      <c r="AD456" s="14" t="s">
        <v>99</v>
      </c>
      <c r="AE456" s="14" t="s">
        <v>99</v>
      </c>
      <c r="AF456" s="14" t="s">
        <v>99</v>
      </c>
      <c r="AG456" s="14">
        <v>53.0</v>
      </c>
      <c r="AH456" s="14">
        <v>67.0</v>
      </c>
      <c r="AI456" s="14">
        <v>89.0</v>
      </c>
      <c r="AJ456" s="14">
        <v>0.0</v>
      </c>
      <c r="AK456" s="14">
        <v>36.0</v>
      </c>
      <c r="AL456" s="14" t="s">
        <v>341</v>
      </c>
      <c r="AM456" s="14" t="s">
        <v>342</v>
      </c>
      <c r="AN456" s="14" t="s">
        <v>343</v>
      </c>
      <c r="AO456" s="14" t="s">
        <v>2155</v>
      </c>
      <c r="AP456" s="14" t="s">
        <v>2156</v>
      </c>
      <c r="AQ456" s="14" t="s">
        <v>99</v>
      </c>
      <c r="AR456" s="14" t="s">
        <v>2157</v>
      </c>
      <c r="AS456" s="14" t="s">
        <v>2158</v>
      </c>
      <c r="AT456" s="14" t="s">
        <v>474</v>
      </c>
      <c r="AU456" s="14">
        <v>2005.0</v>
      </c>
      <c r="AV456" s="14">
        <v>19.0</v>
      </c>
      <c r="AW456" s="14">
        <v>4.0</v>
      </c>
      <c r="AX456" s="14" t="s">
        <v>99</v>
      </c>
      <c r="AY456" s="14" t="s">
        <v>99</v>
      </c>
      <c r="AZ456" s="14" t="s">
        <v>99</v>
      </c>
      <c r="BA456" s="14" t="s">
        <v>99</v>
      </c>
      <c r="BB456" s="14">
        <v>1194.0</v>
      </c>
      <c r="BC456" s="14">
        <v>1204.0</v>
      </c>
      <c r="BD456" s="14" t="s">
        <v>99</v>
      </c>
      <c r="BE456" s="14" t="s">
        <v>8833</v>
      </c>
      <c r="BF456" s="15" t="str">
        <f>HYPERLINK("http://dx.doi.org/10.1111/j.1523-1739.2005.00170.x","http://dx.doi.org/10.1111/j.1523-1739.2005.00170.x")</f>
        <v>http://dx.doi.org/10.1111/j.1523-1739.2005.00170.x</v>
      </c>
      <c r="BG456" s="14" t="s">
        <v>99</v>
      </c>
      <c r="BH456" s="14" t="s">
        <v>99</v>
      </c>
      <c r="BI456" s="14">
        <v>11.0</v>
      </c>
      <c r="BJ456" s="14" t="s">
        <v>351</v>
      </c>
      <c r="BK456" s="14" t="s">
        <v>122</v>
      </c>
      <c r="BL456" s="14" t="s">
        <v>352</v>
      </c>
      <c r="BM456" s="14" t="s">
        <v>8834</v>
      </c>
      <c r="BN456" s="14" t="s">
        <v>99</v>
      </c>
      <c r="BO456" s="14" t="s">
        <v>99</v>
      </c>
      <c r="BP456" s="14" t="s">
        <v>99</v>
      </c>
      <c r="BQ456" s="14" t="s">
        <v>99</v>
      </c>
      <c r="BR456" s="14" t="s">
        <v>124</v>
      </c>
      <c r="BS456" s="14" t="s">
        <v>8835</v>
      </c>
      <c r="BT456" s="14" t="str">
        <f>HYPERLINK("https%3A%2F%2Fwww.webofscience.com%2Fwos%2Fwoscc%2Ffull-record%2FWOS:000231118600025","View Full Record in Web of Science")</f>
        <v>View Full Record in Web of Science</v>
      </c>
    </row>
    <row r="457" ht="12.75" customHeight="1">
      <c r="A457" s="14" t="s">
        <v>97</v>
      </c>
      <c r="B457" s="14" t="s">
        <v>8836</v>
      </c>
      <c r="C457" s="14" t="s">
        <v>99</v>
      </c>
      <c r="D457" s="14" t="s">
        <v>99</v>
      </c>
      <c r="E457" s="14" t="s">
        <v>99</v>
      </c>
      <c r="F457" s="14" t="s">
        <v>8836</v>
      </c>
      <c r="G457" s="14" t="s">
        <v>99</v>
      </c>
      <c r="H457" s="14" t="s">
        <v>99</v>
      </c>
      <c r="I457" s="14" t="s">
        <v>8837</v>
      </c>
      <c r="J457" s="14" t="s">
        <v>8738</v>
      </c>
      <c r="K457" s="14" t="s">
        <v>99</v>
      </c>
      <c r="L457" s="14" t="s">
        <v>99</v>
      </c>
      <c r="M457" s="14" t="s">
        <v>103</v>
      </c>
      <c r="N457" s="14" t="s">
        <v>104</v>
      </c>
      <c r="O457" s="14" t="s">
        <v>99</v>
      </c>
      <c r="P457" s="14" t="s">
        <v>99</v>
      </c>
      <c r="Q457" s="14" t="s">
        <v>99</v>
      </c>
      <c r="R457" s="14" t="s">
        <v>99</v>
      </c>
      <c r="S457" s="14" t="s">
        <v>99</v>
      </c>
      <c r="T457" s="14" t="s">
        <v>99</v>
      </c>
      <c r="U457" s="14" t="s">
        <v>8838</v>
      </c>
      <c r="V457" s="14" t="s">
        <v>8839</v>
      </c>
      <c r="W457" s="14" t="s">
        <v>8840</v>
      </c>
      <c r="X457" s="14" t="s">
        <v>99</v>
      </c>
      <c r="Y457" s="14" t="s">
        <v>8841</v>
      </c>
      <c r="Z457" s="14" t="s">
        <v>8842</v>
      </c>
      <c r="AA457" s="14" t="s">
        <v>99</v>
      </c>
      <c r="AB457" s="14" t="s">
        <v>99</v>
      </c>
      <c r="AC457" s="14" t="s">
        <v>99</v>
      </c>
      <c r="AD457" s="14" t="s">
        <v>99</v>
      </c>
      <c r="AE457" s="14" t="s">
        <v>99</v>
      </c>
      <c r="AF457" s="14" t="s">
        <v>99</v>
      </c>
      <c r="AG457" s="14">
        <v>61.0</v>
      </c>
      <c r="AH457" s="14">
        <v>20.0</v>
      </c>
      <c r="AI457" s="14">
        <v>34.0</v>
      </c>
      <c r="AJ457" s="14">
        <v>0.0</v>
      </c>
      <c r="AK457" s="14">
        <v>15.0</v>
      </c>
      <c r="AL457" s="14" t="s">
        <v>8747</v>
      </c>
      <c r="AM457" s="14" t="s">
        <v>8709</v>
      </c>
      <c r="AN457" s="14" t="s">
        <v>8748</v>
      </c>
      <c r="AO457" s="14" t="s">
        <v>8711</v>
      </c>
      <c r="AP457" s="14" t="s">
        <v>8749</v>
      </c>
      <c r="AQ457" s="14" t="s">
        <v>99</v>
      </c>
      <c r="AR457" s="14" t="s">
        <v>8712</v>
      </c>
      <c r="AS457" s="14" t="s">
        <v>8750</v>
      </c>
      <c r="AT457" s="14" t="s">
        <v>474</v>
      </c>
      <c r="AU457" s="14">
        <v>2005.0</v>
      </c>
      <c r="AV457" s="14">
        <v>35.0</v>
      </c>
      <c r="AW457" s="14">
        <v>8.0</v>
      </c>
      <c r="AX457" s="14" t="s">
        <v>99</v>
      </c>
      <c r="AY457" s="14" t="s">
        <v>99</v>
      </c>
      <c r="AZ457" s="14" t="s">
        <v>99</v>
      </c>
      <c r="BA457" s="14" t="s">
        <v>99</v>
      </c>
      <c r="BB457" s="14">
        <v>2030.0</v>
      </c>
      <c r="BC457" s="14">
        <v>2044.0</v>
      </c>
      <c r="BD457" s="14" t="s">
        <v>99</v>
      </c>
      <c r="BE457" s="14" t="s">
        <v>8843</v>
      </c>
      <c r="BF457" s="15" t="str">
        <f>HYPERLINK("http://dx.doi.org/10.1139/X05-133","http://dx.doi.org/10.1139/X05-133")</f>
        <v>http://dx.doi.org/10.1139/X05-133</v>
      </c>
      <c r="BG457" s="14" t="s">
        <v>99</v>
      </c>
      <c r="BH457" s="14" t="s">
        <v>99</v>
      </c>
      <c r="BI457" s="14">
        <v>15.0</v>
      </c>
      <c r="BJ457" s="14" t="s">
        <v>281</v>
      </c>
      <c r="BK457" s="14" t="s">
        <v>122</v>
      </c>
      <c r="BL457" s="14" t="s">
        <v>281</v>
      </c>
      <c r="BM457" s="14" t="s">
        <v>8844</v>
      </c>
      <c r="BN457" s="14" t="s">
        <v>99</v>
      </c>
      <c r="BO457" s="14" t="s">
        <v>99</v>
      </c>
      <c r="BP457" s="14" t="s">
        <v>99</v>
      </c>
      <c r="BQ457" s="14" t="s">
        <v>99</v>
      </c>
      <c r="BR457" s="14" t="s">
        <v>124</v>
      </c>
      <c r="BS457" s="14" t="s">
        <v>8845</v>
      </c>
      <c r="BT457" s="14" t="str">
        <f>HYPERLINK("https%3A%2F%2Fwww.webofscience.com%2Fwos%2Fwoscc%2Ffull-record%2FWOS:000232856400022","View Full Record in Web of Science")</f>
        <v>View Full Record in Web of Science</v>
      </c>
    </row>
    <row r="458" ht="12.75" customHeight="1">
      <c r="A458" s="14" t="s">
        <v>97</v>
      </c>
      <c r="B458" s="14" t="s">
        <v>8846</v>
      </c>
      <c r="C458" s="14" t="s">
        <v>99</v>
      </c>
      <c r="D458" s="14" t="s">
        <v>99</v>
      </c>
      <c r="E458" s="14" t="s">
        <v>99</v>
      </c>
      <c r="F458" s="14" t="s">
        <v>8846</v>
      </c>
      <c r="G458" s="14" t="s">
        <v>99</v>
      </c>
      <c r="H458" s="14" t="s">
        <v>99</v>
      </c>
      <c r="I458" s="14" t="s">
        <v>8847</v>
      </c>
      <c r="J458" s="14" t="s">
        <v>3065</v>
      </c>
      <c r="K458" s="14" t="s">
        <v>99</v>
      </c>
      <c r="L458" s="14" t="s">
        <v>99</v>
      </c>
      <c r="M458" s="14" t="s">
        <v>103</v>
      </c>
      <c r="N458" s="14" t="s">
        <v>104</v>
      </c>
      <c r="O458" s="14" t="s">
        <v>99</v>
      </c>
      <c r="P458" s="14" t="s">
        <v>99</v>
      </c>
      <c r="Q458" s="14" t="s">
        <v>99</v>
      </c>
      <c r="R458" s="14" t="s">
        <v>99</v>
      </c>
      <c r="S458" s="14" t="s">
        <v>99</v>
      </c>
      <c r="T458" s="14" t="s">
        <v>8848</v>
      </c>
      <c r="U458" s="14" t="s">
        <v>8849</v>
      </c>
      <c r="V458" s="14" t="s">
        <v>8850</v>
      </c>
      <c r="W458" s="14" t="s">
        <v>8851</v>
      </c>
      <c r="X458" s="14" t="s">
        <v>99</v>
      </c>
      <c r="Y458" s="14" t="s">
        <v>8852</v>
      </c>
      <c r="Z458" s="14" t="s">
        <v>8853</v>
      </c>
      <c r="AA458" s="14" t="s">
        <v>8854</v>
      </c>
      <c r="AB458" s="14" t="s">
        <v>8855</v>
      </c>
      <c r="AC458" s="14" t="s">
        <v>99</v>
      </c>
      <c r="AD458" s="14" t="s">
        <v>99</v>
      </c>
      <c r="AE458" s="14" t="s">
        <v>99</v>
      </c>
      <c r="AF458" s="14" t="s">
        <v>99</v>
      </c>
      <c r="AG458" s="14">
        <v>48.0</v>
      </c>
      <c r="AH458" s="14">
        <v>139.0</v>
      </c>
      <c r="AI458" s="14">
        <v>149.0</v>
      </c>
      <c r="AJ458" s="14">
        <v>2.0</v>
      </c>
      <c r="AK458" s="14">
        <v>43.0</v>
      </c>
      <c r="AL458" s="14" t="s">
        <v>3078</v>
      </c>
      <c r="AM458" s="14" t="s">
        <v>468</v>
      </c>
      <c r="AN458" s="14" t="s">
        <v>3079</v>
      </c>
      <c r="AO458" s="14" t="s">
        <v>3080</v>
      </c>
      <c r="AP458" s="14" t="s">
        <v>3081</v>
      </c>
      <c r="AQ458" s="14" t="s">
        <v>99</v>
      </c>
      <c r="AR458" s="14" t="s">
        <v>3082</v>
      </c>
      <c r="AS458" s="14" t="s">
        <v>3083</v>
      </c>
      <c r="AT458" s="14" t="s">
        <v>474</v>
      </c>
      <c r="AU458" s="14">
        <v>2005.0</v>
      </c>
      <c r="AV458" s="14">
        <v>62.0</v>
      </c>
      <c r="AW458" s="14">
        <v>5.0</v>
      </c>
      <c r="AX458" s="14" t="s">
        <v>99</v>
      </c>
      <c r="AY458" s="14" t="s">
        <v>99</v>
      </c>
      <c r="AZ458" s="14" t="s">
        <v>99</v>
      </c>
      <c r="BA458" s="14" t="s">
        <v>99</v>
      </c>
      <c r="BB458" s="14">
        <v>847.0</v>
      </c>
      <c r="BC458" s="14">
        <v>868.0</v>
      </c>
      <c r="BD458" s="14" t="s">
        <v>99</v>
      </c>
      <c r="BE458" s="14" t="s">
        <v>8856</v>
      </c>
      <c r="BF458" s="15" t="str">
        <f>HYPERLINK("http://dx.doi.org/10.1016/j.icesjms.2005.01.023","http://dx.doi.org/10.1016/j.icesjms.2005.01.023")</f>
        <v>http://dx.doi.org/10.1016/j.icesjms.2005.01.023</v>
      </c>
      <c r="BG458" s="14" t="s">
        <v>99</v>
      </c>
      <c r="BH458" s="14" t="s">
        <v>99</v>
      </c>
      <c r="BI458" s="14">
        <v>22.0</v>
      </c>
      <c r="BJ458" s="14" t="s">
        <v>3086</v>
      </c>
      <c r="BK458" s="14" t="s">
        <v>122</v>
      </c>
      <c r="BL458" s="14" t="s">
        <v>3086</v>
      </c>
      <c r="BM458" s="14" t="s">
        <v>8857</v>
      </c>
      <c r="BN458" s="14" t="s">
        <v>99</v>
      </c>
      <c r="BO458" s="14" t="s">
        <v>238</v>
      </c>
      <c r="BP458" s="14" t="s">
        <v>99</v>
      </c>
      <c r="BQ458" s="14" t="s">
        <v>99</v>
      </c>
      <c r="BR458" s="14" t="s">
        <v>124</v>
      </c>
      <c r="BS458" s="14" t="s">
        <v>8858</v>
      </c>
      <c r="BT458" s="14" t="str">
        <f>HYPERLINK("https%3A%2F%2Fwww.webofscience.com%2Fwos%2Fwoscc%2Ffull-record%2FWOS:000230998900003","View Full Record in Web of Science")</f>
        <v>View Full Record in Web of Science</v>
      </c>
    </row>
    <row r="459" ht="12.75" customHeight="1">
      <c r="A459" s="14" t="s">
        <v>97</v>
      </c>
      <c r="B459" s="14" t="s">
        <v>8859</v>
      </c>
      <c r="C459" s="14" t="s">
        <v>99</v>
      </c>
      <c r="D459" s="14" t="s">
        <v>99</v>
      </c>
      <c r="E459" s="14" t="s">
        <v>99</v>
      </c>
      <c r="F459" s="14" t="s">
        <v>8859</v>
      </c>
      <c r="G459" s="14" t="s">
        <v>99</v>
      </c>
      <c r="H459" s="14" t="s">
        <v>99</v>
      </c>
      <c r="I459" s="14" t="s">
        <v>8860</v>
      </c>
      <c r="J459" s="14" t="s">
        <v>726</v>
      </c>
      <c r="K459" s="14" t="s">
        <v>99</v>
      </c>
      <c r="L459" s="14" t="s">
        <v>99</v>
      </c>
      <c r="M459" s="14" t="s">
        <v>103</v>
      </c>
      <c r="N459" s="14" t="s">
        <v>104</v>
      </c>
      <c r="O459" s="14" t="s">
        <v>99</v>
      </c>
      <c r="P459" s="14" t="s">
        <v>99</v>
      </c>
      <c r="Q459" s="14" t="s">
        <v>99</v>
      </c>
      <c r="R459" s="14" t="s">
        <v>99</v>
      </c>
      <c r="S459" s="14" t="s">
        <v>99</v>
      </c>
      <c r="T459" s="14" t="s">
        <v>8861</v>
      </c>
      <c r="U459" s="14" t="s">
        <v>8862</v>
      </c>
      <c r="V459" s="14" t="s">
        <v>8863</v>
      </c>
      <c r="W459" s="14" t="s">
        <v>8864</v>
      </c>
      <c r="X459" s="14" t="s">
        <v>8865</v>
      </c>
      <c r="Y459" s="14" t="s">
        <v>8866</v>
      </c>
      <c r="Z459" s="14" t="s">
        <v>8867</v>
      </c>
      <c r="AA459" s="14" t="s">
        <v>8868</v>
      </c>
      <c r="AB459" s="14" t="s">
        <v>8869</v>
      </c>
      <c r="AC459" s="14" t="s">
        <v>99</v>
      </c>
      <c r="AD459" s="14" t="s">
        <v>99</v>
      </c>
      <c r="AE459" s="14" t="s">
        <v>99</v>
      </c>
      <c r="AF459" s="14" t="s">
        <v>99</v>
      </c>
      <c r="AG459" s="14">
        <v>43.0</v>
      </c>
      <c r="AH459" s="14">
        <v>198.0</v>
      </c>
      <c r="AI459" s="14">
        <v>246.0</v>
      </c>
      <c r="AJ459" s="14">
        <v>2.0</v>
      </c>
      <c r="AK459" s="14">
        <v>182.0</v>
      </c>
      <c r="AL459" s="14" t="s">
        <v>1822</v>
      </c>
      <c r="AM459" s="14" t="s">
        <v>6591</v>
      </c>
      <c r="AN459" s="14" t="s">
        <v>6592</v>
      </c>
      <c r="AO459" s="14" t="s">
        <v>739</v>
      </c>
      <c r="AP459" s="14" t="s">
        <v>99</v>
      </c>
      <c r="AQ459" s="14" t="s">
        <v>99</v>
      </c>
      <c r="AR459" s="14" t="s">
        <v>741</v>
      </c>
      <c r="AS459" s="14" t="s">
        <v>742</v>
      </c>
      <c r="AT459" s="14" t="s">
        <v>525</v>
      </c>
      <c r="AU459" s="14">
        <v>2005.0</v>
      </c>
      <c r="AV459" s="14">
        <v>11.0</v>
      </c>
      <c r="AW459" s="14">
        <v>4.0</v>
      </c>
      <c r="AX459" s="14" t="s">
        <v>99</v>
      </c>
      <c r="AY459" s="14" t="s">
        <v>99</v>
      </c>
      <c r="AZ459" s="14" t="s">
        <v>99</v>
      </c>
      <c r="BA459" s="14" t="s">
        <v>99</v>
      </c>
      <c r="BB459" s="14">
        <v>299.0</v>
      </c>
      <c r="BC459" s="14">
        <v>310.0</v>
      </c>
      <c r="BD459" s="14" t="s">
        <v>99</v>
      </c>
      <c r="BE459" s="14" t="s">
        <v>8870</v>
      </c>
      <c r="BF459" s="15" t="str">
        <f>HYPERLINK("http://dx.doi.org/10.1111/j.1366-9516.2005.00153.x","http://dx.doi.org/10.1111/j.1366-9516.2005.00153.x")</f>
        <v>http://dx.doi.org/10.1111/j.1366-9516.2005.00153.x</v>
      </c>
      <c r="BG459" s="14" t="s">
        <v>99</v>
      </c>
      <c r="BH459" s="14" t="s">
        <v>99</v>
      </c>
      <c r="BI459" s="14">
        <v>12.0</v>
      </c>
      <c r="BJ459" s="14" t="s">
        <v>550</v>
      </c>
      <c r="BK459" s="14" t="s">
        <v>122</v>
      </c>
      <c r="BL459" s="14" t="s">
        <v>352</v>
      </c>
      <c r="BM459" s="14" t="s">
        <v>8871</v>
      </c>
      <c r="BN459" s="14" t="s">
        <v>99</v>
      </c>
      <c r="BO459" s="14" t="s">
        <v>354</v>
      </c>
      <c r="BP459" s="14" t="s">
        <v>99</v>
      </c>
      <c r="BQ459" s="14" t="s">
        <v>99</v>
      </c>
      <c r="BR459" s="14" t="s">
        <v>124</v>
      </c>
      <c r="BS459" s="14" t="s">
        <v>8872</v>
      </c>
      <c r="BT459" s="14" t="str">
        <f>HYPERLINK("https%3A%2F%2Fwww.webofscience.com%2Fwos%2Fwoscc%2Ffull-record%2FWOS:000230784400004","View Full Record in Web of Science")</f>
        <v>View Full Record in Web of Science</v>
      </c>
    </row>
    <row r="460" ht="12.75" customHeight="1">
      <c r="A460" s="14" t="s">
        <v>97</v>
      </c>
      <c r="B460" s="14" t="s">
        <v>8873</v>
      </c>
      <c r="C460" s="14" t="s">
        <v>99</v>
      </c>
      <c r="D460" s="14" t="s">
        <v>99</v>
      </c>
      <c r="E460" s="14" t="s">
        <v>99</v>
      </c>
      <c r="F460" s="14" t="s">
        <v>8873</v>
      </c>
      <c r="G460" s="14" t="s">
        <v>99</v>
      </c>
      <c r="H460" s="14" t="s">
        <v>99</v>
      </c>
      <c r="I460" s="14" t="s">
        <v>8874</v>
      </c>
      <c r="J460" s="14" t="s">
        <v>776</v>
      </c>
      <c r="K460" s="14" t="s">
        <v>99</v>
      </c>
      <c r="L460" s="14" t="s">
        <v>99</v>
      </c>
      <c r="M460" s="14" t="s">
        <v>103</v>
      </c>
      <c r="N460" s="14" t="s">
        <v>104</v>
      </c>
      <c r="O460" s="14" t="s">
        <v>99</v>
      </c>
      <c r="P460" s="14" t="s">
        <v>99</v>
      </c>
      <c r="Q460" s="14" t="s">
        <v>99</v>
      </c>
      <c r="R460" s="14" t="s">
        <v>99</v>
      </c>
      <c r="S460" s="14" t="s">
        <v>99</v>
      </c>
      <c r="T460" s="14" t="s">
        <v>8875</v>
      </c>
      <c r="U460" s="14" t="s">
        <v>8876</v>
      </c>
      <c r="V460" s="14" t="s">
        <v>8877</v>
      </c>
      <c r="W460" s="14" t="s">
        <v>8878</v>
      </c>
      <c r="X460" s="14" t="s">
        <v>8879</v>
      </c>
      <c r="Y460" s="14" t="s">
        <v>8880</v>
      </c>
      <c r="Z460" s="14" t="s">
        <v>8681</v>
      </c>
      <c r="AA460" s="14" t="s">
        <v>8881</v>
      </c>
      <c r="AB460" s="14" t="s">
        <v>8683</v>
      </c>
      <c r="AC460" s="14" t="s">
        <v>99</v>
      </c>
      <c r="AD460" s="14" t="s">
        <v>99</v>
      </c>
      <c r="AE460" s="14" t="s">
        <v>99</v>
      </c>
      <c r="AF460" s="14" t="s">
        <v>99</v>
      </c>
      <c r="AG460" s="14">
        <v>40.0</v>
      </c>
      <c r="AH460" s="14">
        <v>1873.0</v>
      </c>
      <c r="AI460" s="14">
        <v>2174.0</v>
      </c>
      <c r="AJ460" s="14">
        <v>9.0</v>
      </c>
      <c r="AK460" s="14">
        <v>913.0</v>
      </c>
      <c r="AL460" s="14" t="s">
        <v>788</v>
      </c>
      <c r="AM460" s="14" t="s">
        <v>789</v>
      </c>
      <c r="AN460" s="14" t="s">
        <v>790</v>
      </c>
      <c r="AO460" s="14" t="s">
        <v>791</v>
      </c>
      <c r="AP460" s="14" t="s">
        <v>792</v>
      </c>
      <c r="AQ460" s="14" t="s">
        <v>99</v>
      </c>
      <c r="AR460" s="14" t="s">
        <v>793</v>
      </c>
      <c r="AS460" s="14" t="s">
        <v>794</v>
      </c>
      <c r="AT460" s="14" t="s">
        <v>1328</v>
      </c>
      <c r="AU460" s="14">
        <v>2005.0</v>
      </c>
      <c r="AV460" s="14">
        <v>102.0</v>
      </c>
      <c r="AW460" s="14">
        <v>23.0</v>
      </c>
      <c r="AX460" s="14" t="s">
        <v>99</v>
      </c>
      <c r="AY460" s="14" t="s">
        <v>99</v>
      </c>
      <c r="AZ460" s="14" t="s">
        <v>99</v>
      </c>
      <c r="BA460" s="14" t="s">
        <v>99</v>
      </c>
      <c r="BB460" s="14">
        <v>8245.0</v>
      </c>
      <c r="BC460" s="14">
        <v>8250.0</v>
      </c>
      <c r="BD460" s="14" t="s">
        <v>99</v>
      </c>
      <c r="BE460" s="14" t="s">
        <v>8882</v>
      </c>
      <c r="BF460" s="15" t="str">
        <f>HYPERLINK("http://dx.doi.org/10.1073/pnas.0409902102","http://dx.doi.org/10.1073/pnas.0409902102")</f>
        <v>http://dx.doi.org/10.1073/pnas.0409902102</v>
      </c>
      <c r="BG460" s="14" t="s">
        <v>99</v>
      </c>
      <c r="BH460" s="14" t="s">
        <v>99</v>
      </c>
      <c r="BI460" s="14">
        <v>6.0</v>
      </c>
      <c r="BJ460" s="14" t="s">
        <v>799</v>
      </c>
      <c r="BK460" s="14" t="s">
        <v>122</v>
      </c>
      <c r="BL460" s="14" t="s">
        <v>801</v>
      </c>
      <c r="BM460" s="14" t="s">
        <v>8883</v>
      </c>
      <c r="BN460" s="14">
        <v>1.5919825E7</v>
      </c>
      <c r="BO460" s="14" t="s">
        <v>425</v>
      </c>
      <c r="BP460" s="14" t="s">
        <v>99</v>
      </c>
      <c r="BQ460" s="14" t="s">
        <v>99</v>
      </c>
      <c r="BR460" s="14" t="s">
        <v>124</v>
      </c>
      <c r="BS460" s="14" t="s">
        <v>8884</v>
      </c>
      <c r="BT460" s="14" t="str">
        <f>HYPERLINK("https%3A%2F%2Fwww.webofscience.com%2Fwos%2Fwoscc%2Ffull-record%2FWOS:000229650500032","View Full Record in Web of Science")</f>
        <v>View Full Record in Web of Science</v>
      </c>
    </row>
    <row r="461" ht="12.75" customHeight="1">
      <c r="A461" s="14" t="s">
        <v>97</v>
      </c>
      <c r="B461" s="14" t="s">
        <v>8885</v>
      </c>
      <c r="C461" s="14" t="s">
        <v>99</v>
      </c>
      <c r="D461" s="14" t="s">
        <v>99</v>
      </c>
      <c r="E461" s="14" t="s">
        <v>99</v>
      </c>
      <c r="F461" s="14" t="s">
        <v>8885</v>
      </c>
      <c r="G461" s="14" t="s">
        <v>99</v>
      </c>
      <c r="H461" s="14" t="s">
        <v>99</v>
      </c>
      <c r="I461" s="14" t="s">
        <v>8886</v>
      </c>
      <c r="J461" s="14" t="s">
        <v>6455</v>
      </c>
      <c r="K461" s="14" t="s">
        <v>99</v>
      </c>
      <c r="L461" s="14" t="s">
        <v>99</v>
      </c>
      <c r="M461" s="14" t="s">
        <v>103</v>
      </c>
      <c r="N461" s="14" t="s">
        <v>104</v>
      </c>
      <c r="O461" s="14" t="s">
        <v>99</v>
      </c>
      <c r="P461" s="14" t="s">
        <v>99</v>
      </c>
      <c r="Q461" s="14" t="s">
        <v>99</v>
      </c>
      <c r="R461" s="14" t="s">
        <v>99</v>
      </c>
      <c r="S461" s="14" t="s">
        <v>99</v>
      </c>
      <c r="T461" s="14" t="s">
        <v>8887</v>
      </c>
      <c r="U461" s="14" t="s">
        <v>8888</v>
      </c>
      <c r="V461" s="14" t="s">
        <v>8889</v>
      </c>
      <c r="W461" s="14" t="s">
        <v>8890</v>
      </c>
      <c r="X461" s="14" t="s">
        <v>8891</v>
      </c>
      <c r="Y461" s="14" t="s">
        <v>8892</v>
      </c>
      <c r="Z461" s="14" t="s">
        <v>8893</v>
      </c>
      <c r="AA461" s="14" t="s">
        <v>8894</v>
      </c>
      <c r="AB461" s="14" t="s">
        <v>8895</v>
      </c>
      <c r="AC461" s="14" t="s">
        <v>99</v>
      </c>
      <c r="AD461" s="14" t="s">
        <v>99</v>
      </c>
      <c r="AE461" s="14" t="s">
        <v>99</v>
      </c>
      <c r="AF461" s="14" t="s">
        <v>99</v>
      </c>
      <c r="AG461" s="14">
        <v>51.0</v>
      </c>
      <c r="AH461" s="14">
        <v>45.0</v>
      </c>
      <c r="AI461" s="14">
        <v>61.0</v>
      </c>
      <c r="AJ461" s="14">
        <v>2.0</v>
      </c>
      <c r="AK461" s="14">
        <v>35.0</v>
      </c>
      <c r="AL461" s="14" t="s">
        <v>341</v>
      </c>
      <c r="AM461" s="14" t="s">
        <v>342</v>
      </c>
      <c r="AN461" s="14" t="s">
        <v>343</v>
      </c>
      <c r="AO461" s="14" t="s">
        <v>6468</v>
      </c>
      <c r="AP461" s="14" t="s">
        <v>6469</v>
      </c>
      <c r="AQ461" s="14" t="s">
        <v>99</v>
      </c>
      <c r="AR461" s="14" t="s">
        <v>6455</v>
      </c>
      <c r="AS461" s="14" t="s">
        <v>6470</v>
      </c>
      <c r="AT461" s="14" t="s">
        <v>616</v>
      </c>
      <c r="AU461" s="14">
        <v>2005.0</v>
      </c>
      <c r="AV461" s="14">
        <v>37.0</v>
      </c>
      <c r="AW461" s="14">
        <v>2.0</v>
      </c>
      <c r="AX461" s="14" t="s">
        <v>99</v>
      </c>
      <c r="AY461" s="14" t="s">
        <v>99</v>
      </c>
      <c r="AZ461" s="14" t="s">
        <v>99</v>
      </c>
      <c r="BA461" s="14" t="s">
        <v>99</v>
      </c>
      <c r="BB461" s="14">
        <v>202.0</v>
      </c>
      <c r="BC461" s="14">
        <v>208.0</v>
      </c>
      <c r="BD461" s="14" t="s">
        <v>99</v>
      </c>
      <c r="BE461" s="14" t="s">
        <v>8896</v>
      </c>
      <c r="BF461" s="15" t="str">
        <f>HYPERLINK("http://dx.doi.org/10.1111/j.1744-7429.2005.00027.x","http://dx.doi.org/10.1111/j.1744-7429.2005.00027.x")</f>
        <v>http://dx.doi.org/10.1111/j.1744-7429.2005.00027.x</v>
      </c>
      <c r="BG461" s="14" t="s">
        <v>99</v>
      </c>
      <c r="BH461" s="14" t="s">
        <v>99</v>
      </c>
      <c r="BI461" s="14">
        <v>7.0</v>
      </c>
      <c r="BJ461" s="14" t="s">
        <v>259</v>
      </c>
      <c r="BK461" s="14" t="s">
        <v>122</v>
      </c>
      <c r="BL461" s="14" t="s">
        <v>260</v>
      </c>
      <c r="BM461" s="14" t="s">
        <v>8897</v>
      </c>
      <c r="BN461" s="14" t="s">
        <v>99</v>
      </c>
      <c r="BO461" s="14" t="s">
        <v>99</v>
      </c>
      <c r="BP461" s="14" t="s">
        <v>99</v>
      </c>
      <c r="BQ461" s="14" t="s">
        <v>99</v>
      </c>
      <c r="BR461" s="14" t="s">
        <v>124</v>
      </c>
      <c r="BS461" s="14" t="s">
        <v>8898</v>
      </c>
      <c r="BT461" s="14" t="str">
        <f>HYPERLINK("https%3A%2F%2Fwww.webofscience.com%2Fwos%2Fwoscc%2Ffull-record%2FWOS:000229355500007","View Full Record in Web of Science")</f>
        <v>View Full Record in Web of Science</v>
      </c>
    </row>
    <row r="462" ht="12.75" customHeight="1">
      <c r="A462" s="14" t="s">
        <v>97</v>
      </c>
      <c r="B462" s="14" t="s">
        <v>8899</v>
      </c>
      <c r="C462" s="14" t="s">
        <v>99</v>
      </c>
      <c r="D462" s="14" t="s">
        <v>99</v>
      </c>
      <c r="E462" s="14" t="s">
        <v>99</v>
      </c>
      <c r="F462" s="14" t="s">
        <v>8899</v>
      </c>
      <c r="G462" s="14" t="s">
        <v>99</v>
      </c>
      <c r="H462" s="14" t="s">
        <v>99</v>
      </c>
      <c r="I462" s="14" t="s">
        <v>8900</v>
      </c>
      <c r="J462" s="14" t="s">
        <v>8901</v>
      </c>
      <c r="K462" s="14" t="s">
        <v>99</v>
      </c>
      <c r="L462" s="14" t="s">
        <v>99</v>
      </c>
      <c r="M462" s="14" t="s">
        <v>103</v>
      </c>
      <c r="N462" s="14" t="s">
        <v>104</v>
      </c>
      <c r="O462" s="14" t="s">
        <v>99</v>
      </c>
      <c r="P462" s="14" t="s">
        <v>99</v>
      </c>
      <c r="Q462" s="14" t="s">
        <v>99</v>
      </c>
      <c r="R462" s="14" t="s">
        <v>99</v>
      </c>
      <c r="S462" s="14" t="s">
        <v>99</v>
      </c>
      <c r="T462" s="14" t="s">
        <v>8902</v>
      </c>
      <c r="U462" s="14" t="s">
        <v>8903</v>
      </c>
      <c r="V462" s="14" t="s">
        <v>8904</v>
      </c>
      <c r="W462" s="14" t="s">
        <v>8905</v>
      </c>
      <c r="X462" s="14" t="s">
        <v>5515</v>
      </c>
      <c r="Y462" s="14" t="s">
        <v>8906</v>
      </c>
      <c r="Z462" s="14" t="s">
        <v>8907</v>
      </c>
      <c r="AA462" s="14" t="s">
        <v>8908</v>
      </c>
      <c r="AB462" s="14" t="s">
        <v>99</v>
      </c>
      <c r="AC462" s="14" t="s">
        <v>99</v>
      </c>
      <c r="AD462" s="14" t="s">
        <v>99</v>
      </c>
      <c r="AE462" s="14" t="s">
        <v>99</v>
      </c>
      <c r="AF462" s="14" t="s">
        <v>99</v>
      </c>
      <c r="AG462" s="14">
        <v>25.0</v>
      </c>
      <c r="AH462" s="14">
        <v>18.0</v>
      </c>
      <c r="AI462" s="14">
        <v>22.0</v>
      </c>
      <c r="AJ462" s="14">
        <v>0.0</v>
      </c>
      <c r="AK462" s="14">
        <v>27.0</v>
      </c>
      <c r="AL462" s="14" t="s">
        <v>1731</v>
      </c>
      <c r="AM462" s="14" t="s">
        <v>1732</v>
      </c>
      <c r="AN462" s="14" t="s">
        <v>1733</v>
      </c>
      <c r="AO462" s="14" t="s">
        <v>8909</v>
      </c>
      <c r="AP462" s="14" t="s">
        <v>99</v>
      </c>
      <c r="AQ462" s="14" t="s">
        <v>99</v>
      </c>
      <c r="AR462" s="14" t="s">
        <v>8901</v>
      </c>
      <c r="AS462" s="14" t="s">
        <v>8910</v>
      </c>
      <c r="AT462" s="14" t="s">
        <v>3233</v>
      </c>
      <c r="AU462" s="14">
        <v>2005.0</v>
      </c>
      <c r="AV462" s="14">
        <v>541.0</v>
      </c>
      <c r="AW462" s="14" t="s">
        <v>99</v>
      </c>
      <c r="AX462" s="14" t="s">
        <v>99</v>
      </c>
      <c r="AY462" s="14" t="s">
        <v>99</v>
      </c>
      <c r="AZ462" s="14" t="s">
        <v>99</v>
      </c>
      <c r="BA462" s="14" t="s">
        <v>99</v>
      </c>
      <c r="BB462" s="14">
        <v>241.0</v>
      </c>
      <c r="BC462" s="14">
        <v>244.0</v>
      </c>
      <c r="BD462" s="14" t="s">
        <v>99</v>
      </c>
      <c r="BE462" s="14" t="s">
        <v>8911</v>
      </c>
      <c r="BF462" s="15" t="str">
        <f>HYPERLINK("http://dx.doi.org/10.1007/s10750-004-4671-z","http://dx.doi.org/10.1007/s10750-004-4671-z")</f>
        <v>http://dx.doi.org/10.1007/s10750-004-4671-z</v>
      </c>
      <c r="BG462" s="14" t="s">
        <v>99</v>
      </c>
      <c r="BH462" s="14" t="s">
        <v>99</v>
      </c>
      <c r="BI462" s="14">
        <v>4.0</v>
      </c>
      <c r="BJ462" s="14" t="s">
        <v>8912</v>
      </c>
      <c r="BK462" s="14" t="s">
        <v>122</v>
      </c>
      <c r="BL462" s="14" t="s">
        <v>8912</v>
      </c>
      <c r="BM462" s="14" t="s">
        <v>8913</v>
      </c>
      <c r="BN462" s="14" t="s">
        <v>99</v>
      </c>
      <c r="BO462" s="14" t="s">
        <v>99</v>
      </c>
      <c r="BP462" s="14" t="s">
        <v>99</v>
      </c>
      <c r="BQ462" s="14" t="s">
        <v>99</v>
      </c>
      <c r="BR462" s="14" t="s">
        <v>124</v>
      </c>
      <c r="BS462" s="14" t="s">
        <v>8914</v>
      </c>
      <c r="BT462" s="14" t="str">
        <f>HYPERLINK("https%3A%2F%2Fwww.webofscience.com%2Fwos%2Fwoscc%2Ffull-record%2FWOS:000231879100021","View Full Record in Web of Science")</f>
        <v>View Full Record in Web of Science</v>
      </c>
    </row>
    <row r="463" ht="12.75" customHeight="1">
      <c r="A463" s="14" t="s">
        <v>97</v>
      </c>
      <c r="B463" s="14" t="s">
        <v>8915</v>
      </c>
      <c r="C463" s="14" t="s">
        <v>99</v>
      </c>
      <c r="D463" s="14" t="s">
        <v>99</v>
      </c>
      <c r="E463" s="14" t="s">
        <v>99</v>
      </c>
      <c r="F463" s="14" t="s">
        <v>8915</v>
      </c>
      <c r="G463" s="14" t="s">
        <v>99</v>
      </c>
      <c r="H463" s="14" t="s">
        <v>99</v>
      </c>
      <c r="I463" s="14" t="s">
        <v>8916</v>
      </c>
      <c r="J463" s="14" t="s">
        <v>1721</v>
      </c>
      <c r="K463" s="14" t="s">
        <v>99</v>
      </c>
      <c r="L463" s="14" t="s">
        <v>99</v>
      </c>
      <c r="M463" s="14" t="s">
        <v>103</v>
      </c>
      <c r="N463" s="14" t="s">
        <v>104</v>
      </c>
      <c r="O463" s="14" t="s">
        <v>99</v>
      </c>
      <c r="P463" s="14" t="s">
        <v>99</v>
      </c>
      <c r="Q463" s="14" t="s">
        <v>99</v>
      </c>
      <c r="R463" s="14" t="s">
        <v>99</v>
      </c>
      <c r="S463" s="14" t="s">
        <v>99</v>
      </c>
      <c r="T463" s="14" t="s">
        <v>8917</v>
      </c>
      <c r="U463" s="14" t="s">
        <v>8918</v>
      </c>
      <c r="V463" s="14" t="s">
        <v>8919</v>
      </c>
      <c r="W463" s="14" t="s">
        <v>8920</v>
      </c>
      <c r="X463" s="14" t="s">
        <v>8921</v>
      </c>
      <c r="Y463" s="14" t="s">
        <v>8922</v>
      </c>
      <c r="Z463" s="14" t="s">
        <v>8923</v>
      </c>
      <c r="AA463" s="14" t="s">
        <v>99</v>
      </c>
      <c r="AB463" s="14" t="s">
        <v>99</v>
      </c>
      <c r="AC463" s="14" t="s">
        <v>99</v>
      </c>
      <c r="AD463" s="14" t="s">
        <v>99</v>
      </c>
      <c r="AE463" s="14" t="s">
        <v>99</v>
      </c>
      <c r="AF463" s="14" t="s">
        <v>99</v>
      </c>
      <c r="AG463" s="14">
        <v>37.0</v>
      </c>
      <c r="AH463" s="14">
        <v>35.0</v>
      </c>
      <c r="AI463" s="14">
        <v>38.0</v>
      </c>
      <c r="AJ463" s="14">
        <v>0.0</v>
      </c>
      <c r="AK463" s="14">
        <v>41.0</v>
      </c>
      <c r="AL463" s="14" t="s">
        <v>1731</v>
      </c>
      <c r="AM463" s="14" t="s">
        <v>1732</v>
      </c>
      <c r="AN463" s="14" t="s">
        <v>1733</v>
      </c>
      <c r="AO463" s="14" t="s">
        <v>1734</v>
      </c>
      <c r="AP463" s="14" t="s">
        <v>1735</v>
      </c>
      <c r="AQ463" s="14" t="s">
        <v>99</v>
      </c>
      <c r="AR463" s="14" t="s">
        <v>1736</v>
      </c>
      <c r="AS463" s="14" t="s">
        <v>1737</v>
      </c>
      <c r="AT463" s="14" t="s">
        <v>640</v>
      </c>
      <c r="AU463" s="14">
        <v>2005.0</v>
      </c>
      <c r="AV463" s="14">
        <v>14.0</v>
      </c>
      <c r="AW463" s="14">
        <v>5.0</v>
      </c>
      <c r="AX463" s="14" t="s">
        <v>99</v>
      </c>
      <c r="AY463" s="14" t="s">
        <v>99</v>
      </c>
      <c r="AZ463" s="14" t="s">
        <v>99</v>
      </c>
      <c r="BA463" s="14" t="s">
        <v>99</v>
      </c>
      <c r="BB463" s="14">
        <v>1121.0</v>
      </c>
      <c r="BC463" s="14">
        <v>1135.0</v>
      </c>
      <c r="BD463" s="14" t="s">
        <v>99</v>
      </c>
      <c r="BE463" s="14" t="s">
        <v>8924</v>
      </c>
      <c r="BF463" s="15" t="str">
        <f>HYPERLINK("http://dx.doi.org/10.1007/s10531-004-8412-4","http://dx.doi.org/10.1007/s10531-004-8412-4")</f>
        <v>http://dx.doi.org/10.1007/s10531-004-8412-4</v>
      </c>
      <c r="BG463" s="14" t="s">
        <v>99</v>
      </c>
      <c r="BH463" s="14" t="s">
        <v>99</v>
      </c>
      <c r="BI463" s="14">
        <v>15.0</v>
      </c>
      <c r="BJ463" s="14" t="s">
        <v>351</v>
      </c>
      <c r="BK463" s="14" t="s">
        <v>122</v>
      </c>
      <c r="BL463" s="14" t="s">
        <v>352</v>
      </c>
      <c r="BM463" s="14" t="s">
        <v>8925</v>
      </c>
      <c r="BN463" s="14" t="s">
        <v>99</v>
      </c>
      <c r="BO463" s="14" t="s">
        <v>99</v>
      </c>
      <c r="BP463" s="14" t="s">
        <v>99</v>
      </c>
      <c r="BQ463" s="14" t="s">
        <v>99</v>
      </c>
      <c r="BR463" s="14" t="s">
        <v>124</v>
      </c>
      <c r="BS463" s="14" t="s">
        <v>8926</v>
      </c>
      <c r="BT463" s="14" t="str">
        <f>HYPERLINK("https%3A%2F%2Fwww.webofscience.com%2Fwos%2Fwoscc%2Ffull-record%2FWOS:000228507100007","View Full Record in Web of Science")</f>
        <v>View Full Record in Web of Science</v>
      </c>
    </row>
    <row r="464" ht="12.75" customHeight="1">
      <c r="A464" s="14" t="s">
        <v>97</v>
      </c>
      <c r="B464" s="14" t="s">
        <v>8927</v>
      </c>
      <c r="C464" s="14" t="s">
        <v>99</v>
      </c>
      <c r="D464" s="14" t="s">
        <v>99</v>
      </c>
      <c r="E464" s="14" t="s">
        <v>99</v>
      </c>
      <c r="F464" s="14" t="s">
        <v>8927</v>
      </c>
      <c r="G464" s="14" t="s">
        <v>99</v>
      </c>
      <c r="H464" s="14" t="s">
        <v>99</v>
      </c>
      <c r="I464" s="14" t="s">
        <v>8928</v>
      </c>
      <c r="J464" s="14" t="s">
        <v>3065</v>
      </c>
      <c r="K464" s="14" t="s">
        <v>99</v>
      </c>
      <c r="L464" s="14" t="s">
        <v>99</v>
      </c>
      <c r="M464" s="14" t="s">
        <v>103</v>
      </c>
      <c r="N464" s="14" t="s">
        <v>104</v>
      </c>
      <c r="O464" s="14" t="s">
        <v>99</v>
      </c>
      <c r="P464" s="14" t="s">
        <v>99</v>
      </c>
      <c r="Q464" s="14" t="s">
        <v>99</v>
      </c>
      <c r="R464" s="14" t="s">
        <v>99</v>
      </c>
      <c r="S464" s="14" t="s">
        <v>99</v>
      </c>
      <c r="T464" s="14" t="s">
        <v>8929</v>
      </c>
      <c r="U464" s="14" t="s">
        <v>8930</v>
      </c>
      <c r="V464" s="14" t="s">
        <v>8931</v>
      </c>
      <c r="W464" s="14" t="s">
        <v>8932</v>
      </c>
      <c r="X464" s="14" t="s">
        <v>8933</v>
      </c>
      <c r="Y464" s="14" t="s">
        <v>8934</v>
      </c>
      <c r="Z464" s="14" t="s">
        <v>8935</v>
      </c>
      <c r="AA464" s="14" t="s">
        <v>8936</v>
      </c>
      <c r="AB464" s="14" t="s">
        <v>8937</v>
      </c>
      <c r="AC464" s="14" t="s">
        <v>99</v>
      </c>
      <c r="AD464" s="14" t="s">
        <v>99</v>
      </c>
      <c r="AE464" s="14" t="s">
        <v>99</v>
      </c>
      <c r="AF464" s="14" t="s">
        <v>99</v>
      </c>
      <c r="AG464" s="14">
        <v>41.0</v>
      </c>
      <c r="AH464" s="14">
        <v>257.0</v>
      </c>
      <c r="AI464" s="14">
        <v>288.0</v>
      </c>
      <c r="AJ464" s="14">
        <v>3.0</v>
      </c>
      <c r="AK464" s="14">
        <v>73.0</v>
      </c>
      <c r="AL464" s="14" t="s">
        <v>3078</v>
      </c>
      <c r="AM464" s="14" t="s">
        <v>468</v>
      </c>
      <c r="AN464" s="14" t="s">
        <v>3079</v>
      </c>
      <c r="AO464" s="14" t="s">
        <v>3080</v>
      </c>
      <c r="AP464" s="14" t="s">
        <v>3081</v>
      </c>
      <c r="AQ464" s="14" t="s">
        <v>99</v>
      </c>
      <c r="AR464" s="14" t="s">
        <v>3082</v>
      </c>
      <c r="AS464" s="14" t="s">
        <v>3083</v>
      </c>
      <c r="AT464" s="14" t="s">
        <v>718</v>
      </c>
      <c r="AU464" s="14">
        <v>2005.0</v>
      </c>
      <c r="AV464" s="14">
        <v>62.0</v>
      </c>
      <c r="AW464" s="14">
        <v>2.0</v>
      </c>
      <c r="AX464" s="14" t="s">
        <v>99</v>
      </c>
      <c r="AY464" s="14" t="s">
        <v>99</v>
      </c>
      <c r="AZ464" s="14" t="s">
        <v>99</v>
      </c>
      <c r="BA464" s="14" t="s">
        <v>99</v>
      </c>
      <c r="BB464" s="14">
        <v>177.0</v>
      </c>
      <c r="BC464" s="14">
        <v>188.0</v>
      </c>
      <c r="BD464" s="14" t="s">
        <v>99</v>
      </c>
      <c r="BE464" s="14" t="s">
        <v>8938</v>
      </c>
      <c r="BF464" s="15" t="str">
        <f>HYPERLINK("http://dx.doi.org/10.1016/j.icesjms.2004.08.020","http://dx.doi.org/10.1016/j.icesjms.2004.08.020")</f>
        <v>http://dx.doi.org/10.1016/j.icesjms.2004.08.020</v>
      </c>
      <c r="BG464" s="14" t="s">
        <v>99</v>
      </c>
      <c r="BH464" s="14" t="s">
        <v>99</v>
      </c>
      <c r="BI464" s="14">
        <v>12.0</v>
      </c>
      <c r="BJ464" s="14" t="s">
        <v>3086</v>
      </c>
      <c r="BK464" s="14" t="s">
        <v>122</v>
      </c>
      <c r="BL464" s="14" t="s">
        <v>3086</v>
      </c>
      <c r="BM464" s="14" t="s">
        <v>8939</v>
      </c>
      <c r="BN464" s="14" t="s">
        <v>99</v>
      </c>
      <c r="BO464" s="14" t="s">
        <v>373</v>
      </c>
      <c r="BP464" s="14" t="s">
        <v>99</v>
      </c>
      <c r="BQ464" s="14" t="s">
        <v>99</v>
      </c>
      <c r="BR464" s="14" t="s">
        <v>124</v>
      </c>
      <c r="BS464" s="14" t="s">
        <v>8940</v>
      </c>
      <c r="BT464" s="14" t="str">
        <f>HYPERLINK("https%3A%2F%2Fwww.webofscience.com%2Fwos%2Fwoscc%2Ffull-record%2FWOS:000227506700003","View Full Record in Web of Science")</f>
        <v>View Full Record in Web of Science</v>
      </c>
    </row>
    <row r="465" ht="12.75" customHeight="1">
      <c r="A465" s="14" t="s">
        <v>97</v>
      </c>
      <c r="B465" s="14" t="s">
        <v>8941</v>
      </c>
      <c r="C465" s="14" t="s">
        <v>99</v>
      </c>
      <c r="D465" s="14" t="s">
        <v>99</v>
      </c>
      <c r="E465" s="14" t="s">
        <v>99</v>
      </c>
      <c r="F465" s="14" t="s">
        <v>8941</v>
      </c>
      <c r="G465" s="14" t="s">
        <v>99</v>
      </c>
      <c r="H465" s="14" t="s">
        <v>99</v>
      </c>
      <c r="I465" s="14" t="s">
        <v>8942</v>
      </c>
      <c r="J465" s="14" t="s">
        <v>1580</v>
      </c>
      <c r="K465" s="14" t="s">
        <v>99</v>
      </c>
      <c r="L465" s="14" t="s">
        <v>99</v>
      </c>
      <c r="M465" s="14" t="s">
        <v>103</v>
      </c>
      <c r="N465" s="14" t="s">
        <v>104</v>
      </c>
      <c r="O465" s="14" t="s">
        <v>99</v>
      </c>
      <c r="P465" s="14" t="s">
        <v>99</v>
      </c>
      <c r="Q465" s="14" t="s">
        <v>99</v>
      </c>
      <c r="R465" s="14" t="s">
        <v>99</v>
      </c>
      <c r="S465" s="14" t="s">
        <v>99</v>
      </c>
      <c r="T465" s="14" t="s">
        <v>8943</v>
      </c>
      <c r="U465" s="14" t="s">
        <v>8944</v>
      </c>
      <c r="V465" s="14" t="s">
        <v>8945</v>
      </c>
      <c r="W465" s="14" t="s">
        <v>8946</v>
      </c>
      <c r="X465" s="14" t="s">
        <v>99</v>
      </c>
      <c r="Y465" s="14" t="s">
        <v>8947</v>
      </c>
      <c r="Z465" s="14" t="s">
        <v>8948</v>
      </c>
      <c r="AA465" s="14" t="s">
        <v>99</v>
      </c>
      <c r="AB465" s="14" t="s">
        <v>99</v>
      </c>
      <c r="AC465" s="14" t="s">
        <v>99</v>
      </c>
      <c r="AD465" s="14" t="s">
        <v>99</v>
      </c>
      <c r="AE465" s="14" t="s">
        <v>99</v>
      </c>
      <c r="AF465" s="14" t="s">
        <v>99</v>
      </c>
      <c r="AG465" s="14">
        <v>50.0</v>
      </c>
      <c r="AH465" s="14">
        <v>56.0</v>
      </c>
      <c r="AI465" s="14">
        <v>66.0</v>
      </c>
      <c r="AJ465" s="14">
        <v>0.0</v>
      </c>
      <c r="AK465" s="14">
        <v>41.0</v>
      </c>
      <c r="AL465" s="14" t="s">
        <v>1593</v>
      </c>
      <c r="AM465" s="14" t="s">
        <v>2726</v>
      </c>
      <c r="AN465" s="14" t="s">
        <v>4668</v>
      </c>
      <c r="AO465" s="14" t="s">
        <v>1596</v>
      </c>
      <c r="AP465" s="14" t="s">
        <v>1597</v>
      </c>
      <c r="AQ465" s="14" t="s">
        <v>99</v>
      </c>
      <c r="AR465" s="14" t="s">
        <v>1580</v>
      </c>
      <c r="AS465" s="14" t="s">
        <v>1598</v>
      </c>
      <c r="AT465" s="14" t="s">
        <v>718</v>
      </c>
      <c r="AU465" s="14">
        <v>2005.0</v>
      </c>
      <c r="AV465" s="14">
        <v>39.0</v>
      </c>
      <c r="AW465" s="14">
        <v>2.0</v>
      </c>
      <c r="AX465" s="14" t="s">
        <v>99</v>
      </c>
      <c r="AY465" s="14" t="s">
        <v>99</v>
      </c>
      <c r="AZ465" s="14" t="s">
        <v>99</v>
      </c>
      <c r="BA465" s="14" t="s">
        <v>99</v>
      </c>
      <c r="BB465" s="14">
        <v>149.0</v>
      </c>
      <c r="BC465" s="14">
        <v>157.0</v>
      </c>
      <c r="BD465" s="14" t="s">
        <v>99</v>
      </c>
      <c r="BE465" s="14" t="s">
        <v>8949</v>
      </c>
      <c r="BF465" s="15" t="str">
        <f>HYPERLINK("http://dx.doi.org/10.1017/S0030605305000384","http://dx.doi.org/10.1017/S0030605305000384")</f>
        <v>http://dx.doi.org/10.1017/S0030605305000384</v>
      </c>
      <c r="BG465" s="14" t="s">
        <v>99</v>
      </c>
      <c r="BH465" s="14" t="s">
        <v>99</v>
      </c>
      <c r="BI465" s="14">
        <v>9.0</v>
      </c>
      <c r="BJ465" s="14" t="s">
        <v>550</v>
      </c>
      <c r="BK465" s="14" t="s">
        <v>122</v>
      </c>
      <c r="BL465" s="14" t="s">
        <v>352</v>
      </c>
      <c r="BM465" s="14" t="s">
        <v>8950</v>
      </c>
      <c r="BN465" s="14" t="s">
        <v>99</v>
      </c>
      <c r="BO465" s="14" t="s">
        <v>238</v>
      </c>
      <c r="BP465" s="14" t="s">
        <v>99</v>
      </c>
      <c r="BQ465" s="14" t="s">
        <v>99</v>
      </c>
      <c r="BR465" s="14" t="s">
        <v>124</v>
      </c>
      <c r="BS465" s="14" t="s">
        <v>8951</v>
      </c>
      <c r="BT465" s="14" t="str">
        <f>HYPERLINK("https%3A%2F%2Fwww.webofscience.com%2Fwos%2Fwoscc%2Ffull-record%2FWOS:000228944800017","View Full Record in Web of Science")</f>
        <v>View Full Record in Web of Science</v>
      </c>
    </row>
    <row r="466" ht="12.75" customHeight="1">
      <c r="A466" s="14" t="s">
        <v>97</v>
      </c>
      <c r="B466" s="14" t="s">
        <v>8952</v>
      </c>
      <c r="C466" s="14" t="s">
        <v>99</v>
      </c>
      <c r="D466" s="14" t="s">
        <v>99</v>
      </c>
      <c r="E466" s="14" t="s">
        <v>99</v>
      </c>
      <c r="F466" s="14" t="s">
        <v>8952</v>
      </c>
      <c r="G466" s="14" t="s">
        <v>99</v>
      </c>
      <c r="H466" s="14" t="s">
        <v>99</v>
      </c>
      <c r="I466" s="14" t="s">
        <v>8953</v>
      </c>
      <c r="J466" s="14" t="s">
        <v>8954</v>
      </c>
      <c r="K466" s="14" t="s">
        <v>99</v>
      </c>
      <c r="L466" s="14" t="s">
        <v>99</v>
      </c>
      <c r="M466" s="14" t="s">
        <v>103</v>
      </c>
      <c r="N466" s="14" t="s">
        <v>104</v>
      </c>
      <c r="O466" s="14" t="s">
        <v>99</v>
      </c>
      <c r="P466" s="14" t="s">
        <v>99</v>
      </c>
      <c r="Q466" s="14" t="s">
        <v>99</v>
      </c>
      <c r="R466" s="14" t="s">
        <v>99</v>
      </c>
      <c r="S466" s="14" t="s">
        <v>99</v>
      </c>
      <c r="T466" s="14" t="s">
        <v>8955</v>
      </c>
      <c r="U466" s="14" t="s">
        <v>8956</v>
      </c>
      <c r="V466" s="14" t="s">
        <v>8957</v>
      </c>
      <c r="W466" s="14" t="s">
        <v>8905</v>
      </c>
      <c r="X466" s="14" t="s">
        <v>5515</v>
      </c>
      <c r="Y466" s="14" t="s">
        <v>8958</v>
      </c>
      <c r="Z466" s="14" t="s">
        <v>8959</v>
      </c>
      <c r="AA466" s="14" t="s">
        <v>99</v>
      </c>
      <c r="AB466" s="14" t="s">
        <v>99</v>
      </c>
      <c r="AC466" s="14" t="s">
        <v>99</v>
      </c>
      <c r="AD466" s="14" t="s">
        <v>99</v>
      </c>
      <c r="AE466" s="14" t="s">
        <v>99</v>
      </c>
      <c r="AF466" s="14" t="s">
        <v>99</v>
      </c>
      <c r="AG466" s="14">
        <v>64.0</v>
      </c>
      <c r="AH466" s="14">
        <v>65.0</v>
      </c>
      <c r="AI466" s="14">
        <v>70.0</v>
      </c>
      <c r="AJ466" s="14">
        <v>5.0</v>
      </c>
      <c r="AK466" s="14">
        <v>36.0</v>
      </c>
      <c r="AL466" s="14" t="s">
        <v>441</v>
      </c>
      <c r="AM466" s="14" t="s">
        <v>442</v>
      </c>
      <c r="AN466" s="14" t="s">
        <v>443</v>
      </c>
      <c r="AO466" s="14" t="s">
        <v>8960</v>
      </c>
      <c r="AP466" s="14" t="s">
        <v>8961</v>
      </c>
      <c r="AQ466" s="14" t="s">
        <v>99</v>
      </c>
      <c r="AR466" s="14" t="s">
        <v>8962</v>
      </c>
      <c r="AS466" s="14" t="s">
        <v>8963</v>
      </c>
      <c r="AT466" s="14" t="s">
        <v>718</v>
      </c>
      <c r="AU466" s="14">
        <v>2005.0</v>
      </c>
      <c r="AV466" s="14">
        <v>53.0</v>
      </c>
      <c r="AW466" s="14">
        <v>4.0</v>
      </c>
      <c r="AX466" s="14" t="s">
        <v>99</v>
      </c>
      <c r="AY466" s="14" t="s">
        <v>99</v>
      </c>
      <c r="AZ466" s="14" t="s">
        <v>99</v>
      </c>
      <c r="BA466" s="14" t="s">
        <v>99</v>
      </c>
      <c r="BB466" s="14">
        <v>269.0</v>
      </c>
      <c r="BC466" s="14">
        <v>281.0</v>
      </c>
      <c r="BD466" s="14" t="s">
        <v>99</v>
      </c>
      <c r="BE466" s="14" t="s">
        <v>8964</v>
      </c>
      <c r="BF466" s="15" t="str">
        <f>HYPERLINK("http://dx.doi.org/10.1016/j.seares.2005.01.002","http://dx.doi.org/10.1016/j.seares.2005.01.002")</f>
        <v>http://dx.doi.org/10.1016/j.seares.2005.01.002</v>
      </c>
      <c r="BG466" s="14" t="s">
        <v>99</v>
      </c>
      <c r="BH466" s="14" t="s">
        <v>99</v>
      </c>
      <c r="BI466" s="14">
        <v>13.0</v>
      </c>
      <c r="BJ466" s="14" t="s">
        <v>720</v>
      </c>
      <c r="BK466" s="14" t="s">
        <v>122</v>
      </c>
      <c r="BL466" s="14" t="s">
        <v>720</v>
      </c>
      <c r="BM466" s="14" t="s">
        <v>8965</v>
      </c>
      <c r="BN466" s="14" t="s">
        <v>99</v>
      </c>
      <c r="BO466" s="14" t="s">
        <v>99</v>
      </c>
      <c r="BP466" s="14" t="s">
        <v>99</v>
      </c>
      <c r="BQ466" s="14" t="s">
        <v>99</v>
      </c>
      <c r="BR466" s="14" t="s">
        <v>124</v>
      </c>
      <c r="BS466" s="14" t="s">
        <v>8966</v>
      </c>
      <c r="BT466" s="14" t="str">
        <f>HYPERLINK("https%3A%2F%2Fwww.webofscience.com%2Fwos%2Fwoscc%2Ffull-record%2FWOS:000228965700006","View Full Record in Web of Science")</f>
        <v>View Full Record in Web of Science</v>
      </c>
    </row>
    <row r="467" ht="12.75" customHeight="1">
      <c r="A467" s="14" t="s">
        <v>97</v>
      </c>
      <c r="B467" s="14" t="s">
        <v>8967</v>
      </c>
      <c r="C467" s="14" t="s">
        <v>99</v>
      </c>
      <c r="D467" s="14" t="s">
        <v>99</v>
      </c>
      <c r="E467" s="14" t="s">
        <v>99</v>
      </c>
      <c r="F467" s="14" t="s">
        <v>8967</v>
      </c>
      <c r="G467" s="14" t="s">
        <v>99</v>
      </c>
      <c r="H467" s="14" t="s">
        <v>99</v>
      </c>
      <c r="I467" s="14" t="s">
        <v>8968</v>
      </c>
      <c r="J467" s="14" t="s">
        <v>8969</v>
      </c>
      <c r="K467" s="14" t="s">
        <v>99</v>
      </c>
      <c r="L467" s="14" t="s">
        <v>99</v>
      </c>
      <c r="M467" s="14" t="s">
        <v>103</v>
      </c>
      <c r="N467" s="14" t="s">
        <v>104</v>
      </c>
      <c r="O467" s="14" t="s">
        <v>99</v>
      </c>
      <c r="P467" s="14" t="s">
        <v>99</v>
      </c>
      <c r="Q467" s="14" t="s">
        <v>99</v>
      </c>
      <c r="R467" s="14" t="s">
        <v>99</v>
      </c>
      <c r="S467" s="14" t="s">
        <v>99</v>
      </c>
      <c r="T467" s="14" t="s">
        <v>8970</v>
      </c>
      <c r="U467" s="14" t="s">
        <v>8971</v>
      </c>
      <c r="V467" s="14" t="s">
        <v>8972</v>
      </c>
      <c r="W467" s="14" t="s">
        <v>8905</v>
      </c>
      <c r="X467" s="14" t="s">
        <v>5515</v>
      </c>
      <c r="Y467" s="14" t="s">
        <v>8973</v>
      </c>
      <c r="Z467" s="14" t="s">
        <v>8974</v>
      </c>
      <c r="AA467" s="14" t="s">
        <v>99</v>
      </c>
      <c r="AB467" s="14" t="s">
        <v>99</v>
      </c>
      <c r="AC467" s="14" t="s">
        <v>99</v>
      </c>
      <c r="AD467" s="14" t="s">
        <v>99</v>
      </c>
      <c r="AE467" s="14" t="s">
        <v>99</v>
      </c>
      <c r="AF467" s="14" t="s">
        <v>99</v>
      </c>
      <c r="AG467" s="14">
        <v>100.0</v>
      </c>
      <c r="AH467" s="14">
        <v>104.0</v>
      </c>
      <c r="AI467" s="14">
        <v>114.0</v>
      </c>
      <c r="AJ467" s="14">
        <v>0.0</v>
      </c>
      <c r="AK467" s="14">
        <v>70.0</v>
      </c>
      <c r="AL467" s="14" t="s">
        <v>1731</v>
      </c>
      <c r="AM467" s="14" t="s">
        <v>1594</v>
      </c>
      <c r="AN467" s="14" t="s">
        <v>8975</v>
      </c>
      <c r="AO467" s="14" t="s">
        <v>8976</v>
      </c>
      <c r="AP467" s="14" t="s">
        <v>99</v>
      </c>
      <c r="AQ467" s="14" t="s">
        <v>99</v>
      </c>
      <c r="AR467" s="14" t="s">
        <v>8977</v>
      </c>
      <c r="AS467" s="14" t="s">
        <v>8978</v>
      </c>
      <c r="AT467" s="14" t="s">
        <v>718</v>
      </c>
      <c r="AU467" s="14">
        <v>2005.0</v>
      </c>
      <c r="AV467" s="14">
        <v>59.0</v>
      </c>
      <c r="AW467" s="14">
        <v>1.0</v>
      </c>
      <c r="AX467" s="14" t="s">
        <v>99</v>
      </c>
      <c r="AY467" s="14" t="s">
        <v>99</v>
      </c>
      <c r="AZ467" s="14" t="s">
        <v>99</v>
      </c>
      <c r="BA467" s="14" t="s">
        <v>99</v>
      </c>
      <c r="BB467" s="14">
        <v>9.0</v>
      </c>
      <c r="BC467" s="14">
        <v>21.0</v>
      </c>
      <c r="BD467" s="14" t="s">
        <v>99</v>
      </c>
      <c r="BE467" s="14" t="s">
        <v>8979</v>
      </c>
      <c r="BF467" s="15" t="str">
        <f>HYPERLINK("http://dx.doi.org/10.1007/s10152-004-0202-6","http://dx.doi.org/10.1007/s10152-004-0202-6")</f>
        <v>http://dx.doi.org/10.1007/s10152-004-0202-6</v>
      </c>
      <c r="BG467" s="14" t="s">
        <v>99</v>
      </c>
      <c r="BH467" s="14" t="s">
        <v>99</v>
      </c>
      <c r="BI467" s="14">
        <v>13.0</v>
      </c>
      <c r="BJ467" s="14" t="s">
        <v>720</v>
      </c>
      <c r="BK467" s="14" t="s">
        <v>122</v>
      </c>
      <c r="BL467" s="14" t="s">
        <v>720</v>
      </c>
      <c r="BM467" s="14" t="s">
        <v>8980</v>
      </c>
      <c r="BN467" s="14" t="s">
        <v>99</v>
      </c>
      <c r="BO467" s="14" t="s">
        <v>238</v>
      </c>
      <c r="BP467" s="14" t="s">
        <v>99</v>
      </c>
      <c r="BQ467" s="14" t="s">
        <v>99</v>
      </c>
      <c r="BR467" s="14" t="s">
        <v>124</v>
      </c>
      <c r="BS467" s="14" t="s">
        <v>8981</v>
      </c>
      <c r="BT467" s="14" t="str">
        <f>HYPERLINK("https%3A%2F%2Fwww.webofscience.com%2Fwos%2Fwoscc%2Ffull-record%2FWOS:000228334500003","View Full Record in Web of Science")</f>
        <v>View Full Record in Web of Science</v>
      </c>
    </row>
    <row r="468" ht="12.75" customHeight="1">
      <c r="A468" s="14" t="s">
        <v>97</v>
      </c>
      <c r="B468" s="14" t="s">
        <v>8982</v>
      </c>
      <c r="C468" s="14" t="s">
        <v>99</v>
      </c>
      <c r="D468" s="14" t="s">
        <v>99</v>
      </c>
      <c r="E468" s="14" t="s">
        <v>99</v>
      </c>
      <c r="F468" s="14" t="s">
        <v>8982</v>
      </c>
      <c r="G468" s="14" t="s">
        <v>99</v>
      </c>
      <c r="H468" s="14" t="s">
        <v>99</v>
      </c>
      <c r="I468" s="14" t="s">
        <v>8983</v>
      </c>
      <c r="J468" s="14" t="s">
        <v>7335</v>
      </c>
      <c r="K468" s="14" t="s">
        <v>99</v>
      </c>
      <c r="L468" s="14" t="s">
        <v>99</v>
      </c>
      <c r="M468" s="14" t="s">
        <v>103</v>
      </c>
      <c r="N468" s="14" t="s">
        <v>104</v>
      </c>
      <c r="O468" s="14" t="s">
        <v>99</v>
      </c>
      <c r="P468" s="14" t="s">
        <v>99</v>
      </c>
      <c r="Q468" s="14" t="s">
        <v>99</v>
      </c>
      <c r="R468" s="14" t="s">
        <v>99</v>
      </c>
      <c r="S468" s="14" t="s">
        <v>99</v>
      </c>
      <c r="T468" s="14" t="s">
        <v>8984</v>
      </c>
      <c r="U468" s="14" t="s">
        <v>8985</v>
      </c>
      <c r="V468" s="14" t="s">
        <v>8986</v>
      </c>
      <c r="W468" s="14" t="s">
        <v>8987</v>
      </c>
      <c r="X468" s="14" t="s">
        <v>7065</v>
      </c>
      <c r="Y468" s="14" t="s">
        <v>8988</v>
      </c>
      <c r="Z468" s="14" t="s">
        <v>8989</v>
      </c>
      <c r="AA468" s="14" t="s">
        <v>8990</v>
      </c>
      <c r="AB468" s="14" t="s">
        <v>8991</v>
      </c>
      <c r="AC468" s="14" t="s">
        <v>99</v>
      </c>
      <c r="AD468" s="14" t="s">
        <v>99</v>
      </c>
      <c r="AE468" s="14" t="s">
        <v>99</v>
      </c>
      <c r="AF468" s="14" t="s">
        <v>99</v>
      </c>
      <c r="AG468" s="14">
        <v>62.0</v>
      </c>
      <c r="AH468" s="14">
        <v>41.0</v>
      </c>
      <c r="AI468" s="14">
        <v>50.0</v>
      </c>
      <c r="AJ468" s="14">
        <v>1.0</v>
      </c>
      <c r="AK468" s="14">
        <v>13.0</v>
      </c>
      <c r="AL468" s="14" t="s">
        <v>1731</v>
      </c>
      <c r="AM468" s="14" t="s">
        <v>1594</v>
      </c>
      <c r="AN468" s="14" t="s">
        <v>3585</v>
      </c>
      <c r="AO468" s="14" t="s">
        <v>7351</v>
      </c>
      <c r="AP468" s="14" t="s">
        <v>7352</v>
      </c>
      <c r="AQ468" s="14" t="s">
        <v>99</v>
      </c>
      <c r="AR468" s="14" t="s">
        <v>7353</v>
      </c>
      <c r="AS468" s="14" t="s">
        <v>7354</v>
      </c>
      <c r="AT468" s="14" t="s">
        <v>280</v>
      </c>
      <c r="AU468" s="14">
        <v>2005.0</v>
      </c>
      <c r="AV468" s="14">
        <v>26.0</v>
      </c>
      <c r="AW468" s="14">
        <v>1.0</v>
      </c>
      <c r="AX468" s="14" t="s">
        <v>99</v>
      </c>
      <c r="AY468" s="14" t="s">
        <v>99</v>
      </c>
      <c r="AZ468" s="14" t="s">
        <v>99</v>
      </c>
      <c r="BA468" s="14" t="s">
        <v>99</v>
      </c>
      <c r="BB468" s="14">
        <v>127.0</v>
      </c>
      <c r="BC468" s="14">
        <v>145.0</v>
      </c>
      <c r="BD468" s="14" t="s">
        <v>99</v>
      </c>
      <c r="BE468" s="14" t="s">
        <v>8992</v>
      </c>
      <c r="BF468" s="15" t="str">
        <f>HYPERLINK("http://dx.doi.org/10.1007/s10764-005-0011-z","http://dx.doi.org/10.1007/s10764-005-0011-z")</f>
        <v>http://dx.doi.org/10.1007/s10764-005-0011-z</v>
      </c>
      <c r="BG468" s="14" t="s">
        <v>99</v>
      </c>
      <c r="BH468" s="14" t="s">
        <v>99</v>
      </c>
      <c r="BI468" s="14">
        <v>19.0</v>
      </c>
      <c r="BJ468" s="14" t="s">
        <v>121</v>
      </c>
      <c r="BK468" s="14" t="s">
        <v>122</v>
      </c>
      <c r="BL468" s="14" t="s">
        <v>121</v>
      </c>
      <c r="BM468" s="14" t="s">
        <v>8993</v>
      </c>
      <c r="BN468" s="14" t="s">
        <v>99</v>
      </c>
      <c r="BO468" s="14" t="s">
        <v>99</v>
      </c>
      <c r="BP468" s="14" t="s">
        <v>99</v>
      </c>
      <c r="BQ468" s="14" t="s">
        <v>99</v>
      </c>
      <c r="BR468" s="14" t="s">
        <v>124</v>
      </c>
      <c r="BS468" s="14" t="s">
        <v>8994</v>
      </c>
      <c r="BT468" s="14" t="str">
        <f>HYPERLINK("https%3A%2F%2Fwww.webofscience.com%2Fwos%2Fwoscc%2Ffull-record%2FWOS:000227362900006","View Full Record in Web of Science")</f>
        <v>View Full Record in Web of Science</v>
      </c>
    </row>
    <row r="469" ht="12.75" customHeight="1">
      <c r="A469" s="14" t="s">
        <v>97</v>
      </c>
      <c r="B469" s="14" t="s">
        <v>8995</v>
      </c>
      <c r="C469" s="14" t="s">
        <v>99</v>
      </c>
      <c r="D469" s="14" t="s">
        <v>99</v>
      </c>
      <c r="E469" s="14" t="s">
        <v>99</v>
      </c>
      <c r="F469" s="14" t="s">
        <v>8995</v>
      </c>
      <c r="G469" s="14" t="s">
        <v>99</v>
      </c>
      <c r="H469" s="14" t="s">
        <v>99</v>
      </c>
      <c r="I469" s="14" t="s">
        <v>8996</v>
      </c>
      <c r="J469" s="14" t="s">
        <v>8997</v>
      </c>
      <c r="K469" s="14" t="s">
        <v>99</v>
      </c>
      <c r="L469" s="14" t="s">
        <v>99</v>
      </c>
      <c r="M469" s="14" t="s">
        <v>103</v>
      </c>
      <c r="N469" s="14" t="s">
        <v>104</v>
      </c>
      <c r="O469" s="14" t="s">
        <v>99</v>
      </c>
      <c r="P469" s="14" t="s">
        <v>99</v>
      </c>
      <c r="Q469" s="14" t="s">
        <v>99</v>
      </c>
      <c r="R469" s="14" t="s">
        <v>99</v>
      </c>
      <c r="S469" s="14" t="s">
        <v>99</v>
      </c>
      <c r="T469" s="14" t="s">
        <v>8998</v>
      </c>
      <c r="U469" s="14" t="s">
        <v>8999</v>
      </c>
      <c r="V469" s="14" t="s">
        <v>9000</v>
      </c>
      <c r="W469" s="14" t="s">
        <v>9001</v>
      </c>
      <c r="X469" s="14" t="s">
        <v>9002</v>
      </c>
      <c r="Y469" s="14" t="s">
        <v>9003</v>
      </c>
      <c r="Z469" s="14" t="s">
        <v>9004</v>
      </c>
      <c r="AA469" s="14" t="s">
        <v>9005</v>
      </c>
      <c r="AB469" s="14" t="s">
        <v>9006</v>
      </c>
      <c r="AC469" s="14" t="s">
        <v>99</v>
      </c>
      <c r="AD469" s="14" t="s">
        <v>99</v>
      </c>
      <c r="AE469" s="14" t="s">
        <v>99</v>
      </c>
      <c r="AF469" s="14" t="s">
        <v>99</v>
      </c>
      <c r="AG469" s="14">
        <v>31.0</v>
      </c>
      <c r="AH469" s="14">
        <v>10.0</v>
      </c>
      <c r="AI469" s="14">
        <v>12.0</v>
      </c>
      <c r="AJ469" s="14">
        <v>0.0</v>
      </c>
      <c r="AK469" s="14">
        <v>11.0</v>
      </c>
      <c r="AL469" s="14" t="s">
        <v>5890</v>
      </c>
      <c r="AM469" s="14" t="s">
        <v>9007</v>
      </c>
      <c r="AN469" s="14" t="s">
        <v>9008</v>
      </c>
      <c r="AO469" s="14" t="s">
        <v>9009</v>
      </c>
      <c r="AP469" s="14" t="s">
        <v>9010</v>
      </c>
      <c r="AQ469" s="14" t="s">
        <v>99</v>
      </c>
      <c r="AR469" s="14" t="s">
        <v>9011</v>
      </c>
      <c r="AS469" s="14" t="s">
        <v>9012</v>
      </c>
      <c r="AT469" s="14" t="s">
        <v>99</v>
      </c>
      <c r="AU469" s="14">
        <v>2005.0</v>
      </c>
      <c r="AV469" s="14">
        <v>27.0</v>
      </c>
      <c r="AW469" s="14">
        <v>2.0</v>
      </c>
      <c r="AX469" s="14" t="s">
        <v>99</v>
      </c>
      <c r="AY469" s="14" t="s">
        <v>99</v>
      </c>
      <c r="AZ469" s="14" t="s">
        <v>99</v>
      </c>
      <c r="BA469" s="14" t="s">
        <v>99</v>
      </c>
      <c r="BB469" s="14">
        <v>143.0</v>
      </c>
      <c r="BC469" s="14">
        <v>149.0</v>
      </c>
      <c r="BD469" s="14" t="s">
        <v>99</v>
      </c>
      <c r="BE469" s="14" t="s">
        <v>9013</v>
      </c>
      <c r="BF469" s="15" t="str">
        <f>HYPERLINK("http://dx.doi.org/10.1071/RJ05012","http://dx.doi.org/10.1071/RJ05012")</f>
        <v>http://dx.doi.org/10.1071/RJ05012</v>
      </c>
      <c r="BG469" s="14" t="s">
        <v>99</v>
      </c>
      <c r="BH469" s="14" t="s">
        <v>99</v>
      </c>
      <c r="BI469" s="14">
        <v>7.0</v>
      </c>
      <c r="BJ469" s="14" t="s">
        <v>259</v>
      </c>
      <c r="BK469" s="14" t="s">
        <v>122</v>
      </c>
      <c r="BL469" s="14" t="s">
        <v>260</v>
      </c>
      <c r="BM469" s="14" t="s">
        <v>9014</v>
      </c>
      <c r="BN469" s="14" t="s">
        <v>99</v>
      </c>
      <c r="BO469" s="14" t="s">
        <v>238</v>
      </c>
      <c r="BP469" s="14" t="s">
        <v>99</v>
      </c>
      <c r="BQ469" s="14" t="s">
        <v>99</v>
      </c>
      <c r="BR469" s="14" t="s">
        <v>124</v>
      </c>
      <c r="BS469" s="14" t="s">
        <v>9015</v>
      </c>
      <c r="BT469" s="14" t="str">
        <f>HYPERLINK("https%3A%2F%2Fwww.webofscience.com%2Fwos%2Fwoscc%2Ffull-record%2FWOS:000233430700007","View Full Record in Web of Science")</f>
        <v>View Full Record in Web of Science</v>
      </c>
    </row>
    <row r="470" ht="12.75" customHeight="1">
      <c r="A470" s="14" t="s">
        <v>97</v>
      </c>
      <c r="B470" s="14" t="s">
        <v>9016</v>
      </c>
      <c r="C470" s="14" t="s">
        <v>99</v>
      </c>
      <c r="D470" s="14" t="s">
        <v>99</v>
      </c>
      <c r="E470" s="14" t="s">
        <v>99</v>
      </c>
      <c r="F470" s="14" t="s">
        <v>9016</v>
      </c>
      <c r="G470" s="14" t="s">
        <v>99</v>
      </c>
      <c r="H470" s="14" t="s">
        <v>99</v>
      </c>
      <c r="I470" s="14" t="s">
        <v>9017</v>
      </c>
      <c r="J470" s="14" t="s">
        <v>6872</v>
      </c>
      <c r="K470" s="14" t="s">
        <v>99</v>
      </c>
      <c r="L470" s="14" t="s">
        <v>99</v>
      </c>
      <c r="M470" s="14" t="s">
        <v>103</v>
      </c>
      <c r="N470" s="14" t="s">
        <v>104</v>
      </c>
      <c r="O470" s="14" t="s">
        <v>99</v>
      </c>
      <c r="P470" s="14" t="s">
        <v>99</v>
      </c>
      <c r="Q470" s="14" t="s">
        <v>99</v>
      </c>
      <c r="R470" s="14" t="s">
        <v>99</v>
      </c>
      <c r="S470" s="14" t="s">
        <v>99</v>
      </c>
      <c r="T470" s="14" t="s">
        <v>9018</v>
      </c>
      <c r="U470" s="14" t="s">
        <v>9019</v>
      </c>
      <c r="V470" s="14" t="s">
        <v>9020</v>
      </c>
      <c r="W470" s="14" t="s">
        <v>9021</v>
      </c>
      <c r="X470" s="14" t="s">
        <v>9022</v>
      </c>
      <c r="Y470" s="14" t="s">
        <v>9023</v>
      </c>
      <c r="Z470" s="14" t="s">
        <v>9024</v>
      </c>
      <c r="AA470" s="14" t="s">
        <v>99</v>
      </c>
      <c r="AB470" s="14" t="s">
        <v>99</v>
      </c>
      <c r="AC470" s="14" t="s">
        <v>99</v>
      </c>
      <c r="AD470" s="14" t="s">
        <v>99</v>
      </c>
      <c r="AE470" s="14" t="s">
        <v>99</v>
      </c>
      <c r="AF470" s="14" t="s">
        <v>99</v>
      </c>
      <c r="AG470" s="14">
        <v>38.0</v>
      </c>
      <c r="AH470" s="14">
        <v>49.0</v>
      </c>
      <c r="AI470" s="14">
        <v>65.0</v>
      </c>
      <c r="AJ470" s="14">
        <v>0.0</v>
      </c>
      <c r="AK470" s="14">
        <v>38.0</v>
      </c>
      <c r="AL470" s="14" t="s">
        <v>341</v>
      </c>
      <c r="AM470" s="14" t="s">
        <v>342</v>
      </c>
      <c r="AN470" s="14" t="s">
        <v>343</v>
      </c>
      <c r="AO470" s="14" t="s">
        <v>6884</v>
      </c>
      <c r="AP470" s="14" t="s">
        <v>6885</v>
      </c>
      <c r="AQ470" s="14" t="s">
        <v>99</v>
      </c>
      <c r="AR470" s="14" t="s">
        <v>6872</v>
      </c>
      <c r="AS470" s="14" t="s">
        <v>259</v>
      </c>
      <c r="AT470" s="14" t="s">
        <v>935</v>
      </c>
      <c r="AU470" s="14">
        <v>2005.0</v>
      </c>
      <c r="AV470" s="14">
        <v>86.0</v>
      </c>
      <c r="AW470" s="14">
        <v>1.0</v>
      </c>
      <c r="AX470" s="14" t="s">
        <v>99</v>
      </c>
      <c r="AY470" s="14" t="s">
        <v>99</v>
      </c>
      <c r="AZ470" s="14" t="s">
        <v>99</v>
      </c>
      <c r="BA470" s="14" t="s">
        <v>99</v>
      </c>
      <c r="BB470" s="14">
        <v>26.0</v>
      </c>
      <c r="BC470" s="14">
        <v>33.0</v>
      </c>
      <c r="BD470" s="14" t="s">
        <v>99</v>
      </c>
      <c r="BE470" s="14" t="s">
        <v>9025</v>
      </c>
      <c r="BF470" s="15" t="str">
        <f>HYPERLINK("http://dx.doi.org/10.1890/03-0564","http://dx.doi.org/10.1890/03-0564")</f>
        <v>http://dx.doi.org/10.1890/03-0564</v>
      </c>
      <c r="BG470" s="14" t="s">
        <v>99</v>
      </c>
      <c r="BH470" s="14" t="s">
        <v>99</v>
      </c>
      <c r="BI470" s="14">
        <v>8.0</v>
      </c>
      <c r="BJ470" s="14" t="s">
        <v>259</v>
      </c>
      <c r="BK470" s="14" t="s">
        <v>122</v>
      </c>
      <c r="BL470" s="14" t="s">
        <v>260</v>
      </c>
      <c r="BM470" s="14" t="s">
        <v>9026</v>
      </c>
      <c r="BN470" s="14" t="s">
        <v>99</v>
      </c>
      <c r="BO470" s="14" t="s">
        <v>99</v>
      </c>
      <c r="BP470" s="14" t="s">
        <v>99</v>
      </c>
      <c r="BQ470" s="14" t="s">
        <v>99</v>
      </c>
      <c r="BR470" s="14" t="s">
        <v>124</v>
      </c>
      <c r="BS470" s="14" t="s">
        <v>9027</v>
      </c>
      <c r="BT470" s="14" t="str">
        <f>HYPERLINK("https%3A%2F%2Fwww.webofscience.com%2Fwos%2Fwoscc%2Ffull-record%2FWOS:000226791700004","View Full Record in Web of Science")</f>
        <v>View Full Record in Web of Science</v>
      </c>
    </row>
    <row r="471" ht="12.75" customHeight="1">
      <c r="A471" s="14" t="s">
        <v>97</v>
      </c>
      <c r="B471" s="14" t="s">
        <v>9028</v>
      </c>
      <c r="C471" s="14" t="s">
        <v>99</v>
      </c>
      <c r="D471" s="14" t="s">
        <v>99</v>
      </c>
      <c r="E471" s="14" t="s">
        <v>99</v>
      </c>
      <c r="F471" s="14" t="s">
        <v>9028</v>
      </c>
      <c r="G471" s="14" t="s">
        <v>99</v>
      </c>
      <c r="H471" s="14" t="s">
        <v>99</v>
      </c>
      <c r="I471" s="14" t="s">
        <v>9029</v>
      </c>
      <c r="J471" s="14" t="s">
        <v>9030</v>
      </c>
      <c r="K471" s="14" t="s">
        <v>99</v>
      </c>
      <c r="L471" s="14" t="s">
        <v>99</v>
      </c>
      <c r="M471" s="14" t="s">
        <v>103</v>
      </c>
      <c r="N471" s="14" t="s">
        <v>104</v>
      </c>
      <c r="O471" s="14" t="s">
        <v>99</v>
      </c>
      <c r="P471" s="14" t="s">
        <v>99</v>
      </c>
      <c r="Q471" s="14" t="s">
        <v>99</v>
      </c>
      <c r="R471" s="14" t="s">
        <v>99</v>
      </c>
      <c r="S471" s="14" t="s">
        <v>99</v>
      </c>
      <c r="T471" s="14" t="s">
        <v>9031</v>
      </c>
      <c r="U471" s="14" t="s">
        <v>9032</v>
      </c>
      <c r="V471" s="14" t="s">
        <v>9033</v>
      </c>
      <c r="W471" s="14" t="s">
        <v>9034</v>
      </c>
      <c r="X471" s="14" t="s">
        <v>9035</v>
      </c>
      <c r="Y471" s="14" t="s">
        <v>9036</v>
      </c>
      <c r="Z471" s="14" t="s">
        <v>9037</v>
      </c>
      <c r="AA471" s="14" t="s">
        <v>99</v>
      </c>
      <c r="AB471" s="14" t="s">
        <v>99</v>
      </c>
      <c r="AC471" s="14" t="s">
        <v>99</v>
      </c>
      <c r="AD471" s="14" t="s">
        <v>99</v>
      </c>
      <c r="AE471" s="14" t="s">
        <v>99</v>
      </c>
      <c r="AF471" s="14" t="s">
        <v>99</v>
      </c>
      <c r="AG471" s="14">
        <v>58.0</v>
      </c>
      <c r="AH471" s="14">
        <v>118.0</v>
      </c>
      <c r="AI471" s="14">
        <v>136.0</v>
      </c>
      <c r="AJ471" s="14">
        <v>1.0</v>
      </c>
      <c r="AK471" s="14">
        <v>54.0</v>
      </c>
      <c r="AL471" s="14" t="s">
        <v>1593</v>
      </c>
      <c r="AM471" s="14" t="s">
        <v>2726</v>
      </c>
      <c r="AN471" s="14" t="s">
        <v>4668</v>
      </c>
      <c r="AO471" s="14" t="s">
        <v>9038</v>
      </c>
      <c r="AP471" s="14" t="s">
        <v>9039</v>
      </c>
      <c r="AQ471" s="14" t="s">
        <v>99</v>
      </c>
      <c r="AR471" s="14" t="s">
        <v>9040</v>
      </c>
      <c r="AS471" s="14" t="s">
        <v>9041</v>
      </c>
      <c r="AT471" s="14" t="s">
        <v>935</v>
      </c>
      <c r="AU471" s="14">
        <v>2005.0</v>
      </c>
      <c r="AV471" s="14">
        <v>21.0</v>
      </c>
      <c r="AW471" s="14" t="s">
        <v>99</v>
      </c>
      <c r="AX471" s="14">
        <v>1.0</v>
      </c>
      <c r="AY471" s="14" t="s">
        <v>99</v>
      </c>
      <c r="AZ471" s="14" t="s">
        <v>99</v>
      </c>
      <c r="BA471" s="14" t="s">
        <v>99</v>
      </c>
      <c r="BB471" s="14">
        <v>9.0</v>
      </c>
      <c r="BC471" s="14">
        <v>19.0</v>
      </c>
      <c r="BD471" s="14" t="s">
        <v>99</v>
      </c>
      <c r="BE471" s="14" t="s">
        <v>9042</v>
      </c>
      <c r="BF471" s="15" t="str">
        <f>HYPERLINK("http://dx.doi.org/10.1017/S0266467404001683","http://dx.doi.org/10.1017/S0266467404001683")</f>
        <v>http://dx.doi.org/10.1017/S0266467404001683</v>
      </c>
      <c r="BG471" s="14" t="s">
        <v>99</v>
      </c>
      <c r="BH471" s="14" t="s">
        <v>99</v>
      </c>
      <c r="BI471" s="14">
        <v>11.0</v>
      </c>
      <c r="BJ471" s="14" t="s">
        <v>259</v>
      </c>
      <c r="BK471" s="14" t="s">
        <v>122</v>
      </c>
      <c r="BL471" s="14" t="s">
        <v>260</v>
      </c>
      <c r="BM471" s="14" t="s">
        <v>9043</v>
      </c>
      <c r="BN471" s="14" t="s">
        <v>99</v>
      </c>
      <c r="BO471" s="14" t="s">
        <v>99</v>
      </c>
      <c r="BP471" s="14" t="s">
        <v>99</v>
      </c>
      <c r="BQ471" s="14" t="s">
        <v>99</v>
      </c>
      <c r="BR471" s="14" t="s">
        <v>124</v>
      </c>
      <c r="BS471" s="14" t="s">
        <v>9044</v>
      </c>
      <c r="BT471" s="14" t="str">
        <f>HYPERLINK("https%3A%2F%2Fwww.webofscience.com%2Fwos%2Fwoscc%2Ffull-record%2FWOS:000227083400002","View Full Record in Web of Science")</f>
        <v>View Full Record in Web of Science</v>
      </c>
    </row>
    <row r="472" ht="12.75" customHeight="1">
      <c r="A472" s="14" t="s">
        <v>97</v>
      </c>
      <c r="B472" s="14" t="s">
        <v>8899</v>
      </c>
      <c r="C472" s="14" t="s">
        <v>99</v>
      </c>
      <c r="D472" s="14" t="s">
        <v>99</v>
      </c>
      <c r="E472" s="14" t="s">
        <v>99</v>
      </c>
      <c r="F472" s="14" t="s">
        <v>8899</v>
      </c>
      <c r="G472" s="14" t="s">
        <v>99</v>
      </c>
      <c r="H472" s="14" t="s">
        <v>99</v>
      </c>
      <c r="I472" s="14" t="s">
        <v>9045</v>
      </c>
      <c r="J472" s="14" t="s">
        <v>749</v>
      </c>
      <c r="K472" s="14" t="s">
        <v>99</v>
      </c>
      <c r="L472" s="14" t="s">
        <v>99</v>
      </c>
      <c r="M472" s="14" t="s">
        <v>103</v>
      </c>
      <c r="N472" s="14" t="s">
        <v>104</v>
      </c>
      <c r="O472" s="14" t="s">
        <v>99</v>
      </c>
      <c r="P472" s="14" t="s">
        <v>99</v>
      </c>
      <c r="Q472" s="14" t="s">
        <v>99</v>
      </c>
      <c r="R472" s="14" t="s">
        <v>99</v>
      </c>
      <c r="S472" s="14" t="s">
        <v>99</v>
      </c>
      <c r="T472" s="14" t="s">
        <v>9046</v>
      </c>
      <c r="U472" s="14" t="s">
        <v>9047</v>
      </c>
      <c r="V472" s="14" t="s">
        <v>9048</v>
      </c>
      <c r="W472" s="14" t="s">
        <v>8905</v>
      </c>
      <c r="X472" s="14" t="s">
        <v>5515</v>
      </c>
      <c r="Y472" s="14" t="s">
        <v>8906</v>
      </c>
      <c r="Z472" s="14" t="s">
        <v>8907</v>
      </c>
      <c r="AA472" s="14" t="s">
        <v>8908</v>
      </c>
      <c r="AB472" s="14" t="s">
        <v>99</v>
      </c>
      <c r="AC472" s="14" t="s">
        <v>99</v>
      </c>
      <c r="AD472" s="14" t="s">
        <v>99</v>
      </c>
      <c r="AE472" s="14" t="s">
        <v>99</v>
      </c>
      <c r="AF472" s="14" t="s">
        <v>99</v>
      </c>
      <c r="AG472" s="14">
        <v>40.0</v>
      </c>
      <c r="AH472" s="14">
        <v>51.0</v>
      </c>
      <c r="AI472" s="14">
        <v>57.0</v>
      </c>
      <c r="AJ472" s="14">
        <v>0.0</v>
      </c>
      <c r="AK472" s="14">
        <v>27.0</v>
      </c>
      <c r="AL472" s="14" t="s">
        <v>762</v>
      </c>
      <c r="AM472" s="14" t="s">
        <v>763</v>
      </c>
      <c r="AN472" s="14" t="s">
        <v>764</v>
      </c>
      <c r="AO472" s="14" t="s">
        <v>765</v>
      </c>
      <c r="AP472" s="14" t="s">
        <v>99</v>
      </c>
      <c r="AQ472" s="14" t="s">
        <v>99</v>
      </c>
      <c r="AR472" s="14" t="s">
        <v>767</v>
      </c>
      <c r="AS472" s="14" t="s">
        <v>768</v>
      </c>
      <c r="AT472" s="14" t="s">
        <v>99</v>
      </c>
      <c r="AU472" s="14">
        <v>2005.0</v>
      </c>
      <c r="AV472" s="14">
        <v>286.0</v>
      </c>
      <c r="AW472" s="14" t="s">
        <v>99</v>
      </c>
      <c r="AX472" s="14" t="s">
        <v>99</v>
      </c>
      <c r="AY472" s="14" t="s">
        <v>99</v>
      </c>
      <c r="AZ472" s="14" t="s">
        <v>99</v>
      </c>
      <c r="BA472" s="14" t="s">
        <v>99</v>
      </c>
      <c r="BB472" s="14">
        <v>13.0</v>
      </c>
      <c r="BC472" s="14">
        <v>19.0</v>
      </c>
      <c r="BD472" s="14" t="s">
        <v>99</v>
      </c>
      <c r="BE472" s="14" t="s">
        <v>9049</v>
      </c>
      <c r="BF472" s="15" t="str">
        <f>HYPERLINK("http://dx.doi.org/10.3354/meps286013","http://dx.doi.org/10.3354/meps286013")</f>
        <v>http://dx.doi.org/10.3354/meps286013</v>
      </c>
      <c r="BG472" s="14" t="s">
        <v>99</v>
      </c>
      <c r="BH472" s="14" t="s">
        <v>99</v>
      </c>
      <c r="BI472" s="14">
        <v>7.0</v>
      </c>
      <c r="BJ472" s="14" t="s">
        <v>301</v>
      </c>
      <c r="BK472" s="14" t="s">
        <v>122</v>
      </c>
      <c r="BL472" s="14" t="s">
        <v>303</v>
      </c>
      <c r="BM472" s="14" t="s">
        <v>9050</v>
      </c>
      <c r="BN472" s="14" t="s">
        <v>99</v>
      </c>
      <c r="BO472" s="14" t="s">
        <v>238</v>
      </c>
      <c r="BP472" s="14" t="s">
        <v>99</v>
      </c>
      <c r="BQ472" s="14" t="s">
        <v>99</v>
      </c>
      <c r="BR472" s="14" t="s">
        <v>124</v>
      </c>
      <c r="BS472" s="14" t="s">
        <v>9051</v>
      </c>
      <c r="BT472" s="14" t="str">
        <f>HYPERLINK("https%3A%2F%2Fwww.webofscience.com%2Fwos%2Fwoscc%2Ffull-record%2FWOS:000227440700002","View Full Record in Web of Science")</f>
        <v>View Full Record in Web of Science</v>
      </c>
    </row>
    <row r="473" ht="12.75" customHeight="1">
      <c r="A473" s="14" t="s">
        <v>97</v>
      </c>
      <c r="B473" s="14" t="s">
        <v>9052</v>
      </c>
      <c r="C473" s="14" t="s">
        <v>99</v>
      </c>
      <c r="D473" s="14" t="s">
        <v>99</v>
      </c>
      <c r="E473" s="14" t="s">
        <v>99</v>
      </c>
      <c r="F473" s="14" t="s">
        <v>9052</v>
      </c>
      <c r="G473" s="14" t="s">
        <v>99</v>
      </c>
      <c r="H473" s="14" t="s">
        <v>99</v>
      </c>
      <c r="I473" s="14" t="s">
        <v>9053</v>
      </c>
      <c r="J473" s="14" t="s">
        <v>532</v>
      </c>
      <c r="K473" s="14" t="s">
        <v>99</v>
      </c>
      <c r="L473" s="14" t="s">
        <v>99</v>
      </c>
      <c r="M473" s="14" t="s">
        <v>103</v>
      </c>
      <c r="N473" s="14" t="s">
        <v>104</v>
      </c>
      <c r="O473" s="14" t="s">
        <v>99</v>
      </c>
      <c r="P473" s="14" t="s">
        <v>99</v>
      </c>
      <c r="Q473" s="14" t="s">
        <v>99</v>
      </c>
      <c r="R473" s="14" t="s">
        <v>99</v>
      </c>
      <c r="S473" s="14" t="s">
        <v>99</v>
      </c>
      <c r="T473" s="14" t="s">
        <v>9054</v>
      </c>
      <c r="U473" s="14" t="s">
        <v>9055</v>
      </c>
      <c r="V473" s="14" t="s">
        <v>9056</v>
      </c>
      <c r="W473" s="14" t="s">
        <v>9057</v>
      </c>
      <c r="X473" s="14" t="s">
        <v>9058</v>
      </c>
      <c r="Y473" s="14" t="s">
        <v>9059</v>
      </c>
      <c r="Z473" s="14" t="s">
        <v>9060</v>
      </c>
      <c r="AA473" s="14" t="s">
        <v>9061</v>
      </c>
      <c r="AB473" s="14" t="s">
        <v>9062</v>
      </c>
      <c r="AC473" s="14" t="s">
        <v>99</v>
      </c>
      <c r="AD473" s="14" t="s">
        <v>99</v>
      </c>
      <c r="AE473" s="14" t="s">
        <v>99</v>
      </c>
      <c r="AF473" s="14" t="s">
        <v>99</v>
      </c>
      <c r="AG473" s="14">
        <v>85.0</v>
      </c>
      <c r="AH473" s="14">
        <v>251.0</v>
      </c>
      <c r="AI473" s="14">
        <v>277.0</v>
      </c>
      <c r="AJ473" s="14">
        <v>3.0</v>
      </c>
      <c r="AK473" s="14">
        <v>172.0</v>
      </c>
      <c r="AL473" s="14" t="s">
        <v>341</v>
      </c>
      <c r="AM473" s="14" t="s">
        <v>342</v>
      </c>
      <c r="AN473" s="14" t="s">
        <v>343</v>
      </c>
      <c r="AO473" s="14" t="s">
        <v>545</v>
      </c>
      <c r="AP473" s="14" t="s">
        <v>546</v>
      </c>
      <c r="AQ473" s="14" t="s">
        <v>99</v>
      </c>
      <c r="AR473" s="14" t="s">
        <v>547</v>
      </c>
      <c r="AS473" s="14" t="s">
        <v>548</v>
      </c>
      <c r="AT473" s="14" t="s">
        <v>1058</v>
      </c>
      <c r="AU473" s="14">
        <v>2004.0</v>
      </c>
      <c r="AV473" s="14">
        <v>41.0</v>
      </c>
      <c r="AW473" s="14">
        <v>6.0</v>
      </c>
      <c r="AX473" s="14" t="s">
        <v>99</v>
      </c>
      <c r="AY473" s="14" t="s">
        <v>99</v>
      </c>
      <c r="AZ473" s="14" t="s">
        <v>99</v>
      </c>
      <c r="BA473" s="14" t="s">
        <v>99</v>
      </c>
      <c r="BB473" s="14">
        <v>1065.0</v>
      </c>
      <c r="BC473" s="14">
        <v>1079.0</v>
      </c>
      <c r="BD473" s="14" t="s">
        <v>99</v>
      </c>
      <c r="BE473" s="14" t="s">
        <v>9063</v>
      </c>
      <c r="BF473" s="15" t="str">
        <f>HYPERLINK("http://dx.doi.org/10.1111/j.0021-8901.2004.00960.x","http://dx.doi.org/10.1111/j.0021-8901.2004.00960.x")</f>
        <v>http://dx.doi.org/10.1111/j.0021-8901.2004.00960.x</v>
      </c>
      <c r="BG473" s="14" t="s">
        <v>99</v>
      </c>
      <c r="BH473" s="14" t="s">
        <v>99</v>
      </c>
      <c r="BI473" s="14">
        <v>15.0</v>
      </c>
      <c r="BJ473" s="14" t="s">
        <v>550</v>
      </c>
      <c r="BK473" s="14" t="s">
        <v>122</v>
      </c>
      <c r="BL473" s="14" t="s">
        <v>352</v>
      </c>
      <c r="BM473" s="14" t="s">
        <v>9064</v>
      </c>
      <c r="BN473" s="14" t="s">
        <v>99</v>
      </c>
      <c r="BO473" s="14" t="s">
        <v>238</v>
      </c>
      <c r="BP473" s="14" t="s">
        <v>99</v>
      </c>
      <c r="BQ473" s="14" t="s">
        <v>99</v>
      </c>
      <c r="BR473" s="14" t="s">
        <v>124</v>
      </c>
      <c r="BS473" s="14" t="s">
        <v>9065</v>
      </c>
      <c r="BT473" s="14" t="str">
        <f>HYPERLINK("https%3A%2F%2Fwww.webofscience.com%2Fwos%2Fwoscc%2Ffull-record%2FWOS:000225632800006","View Full Record in Web of Science")</f>
        <v>View Full Record in Web of Science</v>
      </c>
    </row>
    <row r="474" ht="12.75" customHeight="1">
      <c r="A474" s="14" t="s">
        <v>97</v>
      </c>
      <c r="B474" s="14" t="s">
        <v>9066</v>
      </c>
      <c r="C474" s="14" t="s">
        <v>99</v>
      </c>
      <c r="D474" s="14" t="s">
        <v>99</v>
      </c>
      <c r="E474" s="14" t="s">
        <v>99</v>
      </c>
      <c r="F474" s="14" t="s">
        <v>9066</v>
      </c>
      <c r="G474" s="14" t="s">
        <v>99</v>
      </c>
      <c r="H474" s="14" t="s">
        <v>99</v>
      </c>
      <c r="I474" s="14" t="s">
        <v>9067</v>
      </c>
      <c r="J474" s="14" t="s">
        <v>9068</v>
      </c>
      <c r="K474" s="14" t="s">
        <v>99</v>
      </c>
      <c r="L474" s="14" t="s">
        <v>99</v>
      </c>
      <c r="M474" s="14" t="s">
        <v>103</v>
      </c>
      <c r="N474" s="14" t="s">
        <v>104</v>
      </c>
      <c r="O474" s="14" t="s">
        <v>99</v>
      </c>
      <c r="P474" s="14" t="s">
        <v>99</v>
      </c>
      <c r="Q474" s="14" t="s">
        <v>99</v>
      </c>
      <c r="R474" s="14" t="s">
        <v>99</v>
      </c>
      <c r="S474" s="14" t="s">
        <v>99</v>
      </c>
      <c r="T474" s="14" t="s">
        <v>99</v>
      </c>
      <c r="U474" s="14" t="s">
        <v>9069</v>
      </c>
      <c r="V474" s="14" t="s">
        <v>9070</v>
      </c>
      <c r="W474" s="14" t="s">
        <v>9071</v>
      </c>
      <c r="X474" s="14" t="s">
        <v>9072</v>
      </c>
      <c r="Y474" s="14" t="s">
        <v>9073</v>
      </c>
      <c r="Z474" s="14" t="s">
        <v>9074</v>
      </c>
      <c r="AA474" s="14" t="s">
        <v>9075</v>
      </c>
      <c r="AB474" s="14" t="s">
        <v>9076</v>
      </c>
      <c r="AC474" s="14" t="s">
        <v>99</v>
      </c>
      <c r="AD474" s="14" t="s">
        <v>99</v>
      </c>
      <c r="AE474" s="14" t="s">
        <v>99</v>
      </c>
      <c r="AF474" s="14" t="s">
        <v>99</v>
      </c>
      <c r="AG474" s="14">
        <v>89.0</v>
      </c>
      <c r="AH474" s="14">
        <v>66.0</v>
      </c>
      <c r="AI474" s="14">
        <v>80.0</v>
      </c>
      <c r="AJ474" s="14">
        <v>0.0</v>
      </c>
      <c r="AK474" s="14">
        <v>79.0</v>
      </c>
      <c r="AL474" s="14" t="s">
        <v>4621</v>
      </c>
      <c r="AM474" s="14" t="s">
        <v>4622</v>
      </c>
      <c r="AN474" s="14" t="s">
        <v>4623</v>
      </c>
      <c r="AO474" s="14" t="s">
        <v>9077</v>
      </c>
      <c r="AP474" s="14" t="s">
        <v>9078</v>
      </c>
      <c r="AQ474" s="14" t="s">
        <v>99</v>
      </c>
      <c r="AR474" s="14" t="s">
        <v>9068</v>
      </c>
      <c r="AS474" s="14" t="s">
        <v>9079</v>
      </c>
      <c r="AT474" s="14" t="s">
        <v>1058</v>
      </c>
      <c r="AU474" s="14">
        <v>2004.0</v>
      </c>
      <c r="AV474" s="14">
        <v>75.0</v>
      </c>
      <c r="AW474" s="14">
        <v>4.0</v>
      </c>
      <c r="AX474" s="14" t="s">
        <v>99</v>
      </c>
      <c r="AY474" s="14" t="s">
        <v>99</v>
      </c>
      <c r="AZ474" s="14" t="s">
        <v>99</v>
      </c>
      <c r="BA474" s="14" t="s">
        <v>99</v>
      </c>
      <c r="BB474" s="14">
        <v>295.0</v>
      </c>
      <c r="BC474" s="14">
        <v>308.0</v>
      </c>
      <c r="BD474" s="14" t="s">
        <v>99</v>
      </c>
      <c r="BE474" s="14" t="s">
        <v>9080</v>
      </c>
      <c r="BF474" s="15" t="str">
        <f>HYPERLINK("http://dx.doi.org/10.2989/00306520409485458","http://dx.doi.org/10.2989/00306520409485458")</f>
        <v>http://dx.doi.org/10.2989/00306520409485458</v>
      </c>
      <c r="BG474" s="14" t="s">
        <v>99</v>
      </c>
      <c r="BH474" s="14" t="s">
        <v>99</v>
      </c>
      <c r="BI474" s="14">
        <v>14.0</v>
      </c>
      <c r="BJ474" s="14" t="s">
        <v>1183</v>
      </c>
      <c r="BK474" s="14" t="s">
        <v>122</v>
      </c>
      <c r="BL474" s="14" t="s">
        <v>121</v>
      </c>
      <c r="BM474" s="14" t="s">
        <v>9081</v>
      </c>
      <c r="BN474" s="14" t="s">
        <v>99</v>
      </c>
      <c r="BO474" s="14" t="s">
        <v>99</v>
      </c>
      <c r="BP474" s="14" t="s">
        <v>99</v>
      </c>
      <c r="BQ474" s="14" t="s">
        <v>99</v>
      </c>
      <c r="BR474" s="14" t="s">
        <v>124</v>
      </c>
      <c r="BS474" s="14" t="s">
        <v>9082</v>
      </c>
      <c r="BT474" s="14" t="str">
        <f>HYPERLINK("https%3A%2F%2Fwww.webofscience.com%2Fwos%2Fwoscc%2Ffull-record%2FWOS:000226678100020","View Full Record in Web of Science")</f>
        <v>View Full Record in Web of Science</v>
      </c>
    </row>
    <row r="475" ht="12.75" customHeight="1">
      <c r="A475" s="14" t="s">
        <v>97</v>
      </c>
      <c r="B475" s="14" t="s">
        <v>9083</v>
      </c>
      <c r="C475" s="14" t="s">
        <v>99</v>
      </c>
      <c r="D475" s="14" t="s">
        <v>99</v>
      </c>
      <c r="E475" s="14" t="s">
        <v>99</v>
      </c>
      <c r="F475" s="14" t="s">
        <v>9083</v>
      </c>
      <c r="G475" s="14" t="s">
        <v>99</v>
      </c>
      <c r="H475" s="14" t="s">
        <v>99</v>
      </c>
      <c r="I475" s="14" t="s">
        <v>9084</v>
      </c>
      <c r="J475" s="14" t="s">
        <v>9085</v>
      </c>
      <c r="K475" s="14" t="s">
        <v>99</v>
      </c>
      <c r="L475" s="14" t="s">
        <v>99</v>
      </c>
      <c r="M475" s="14" t="s">
        <v>103</v>
      </c>
      <c r="N475" s="14" t="s">
        <v>104</v>
      </c>
      <c r="O475" s="14" t="s">
        <v>99</v>
      </c>
      <c r="P475" s="14" t="s">
        <v>99</v>
      </c>
      <c r="Q475" s="14" t="s">
        <v>99</v>
      </c>
      <c r="R475" s="14" t="s">
        <v>99</v>
      </c>
      <c r="S475" s="14" t="s">
        <v>99</v>
      </c>
      <c r="T475" s="14" t="s">
        <v>9086</v>
      </c>
      <c r="U475" s="14" t="s">
        <v>9087</v>
      </c>
      <c r="V475" s="14" t="s">
        <v>9088</v>
      </c>
      <c r="W475" s="14" t="s">
        <v>9089</v>
      </c>
      <c r="X475" s="14" t="s">
        <v>9090</v>
      </c>
      <c r="Y475" s="14" t="s">
        <v>9091</v>
      </c>
      <c r="Z475" s="14" t="s">
        <v>9092</v>
      </c>
      <c r="AA475" s="14" t="s">
        <v>99</v>
      </c>
      <c r="AB475" s="14" t="s">
        <v>99</v>
      </c>
      <c r="AC475" s="14" t="s">
        <v>99</v>
      </c>
      <c r="AD475" s="14" t="s">
        <v>99</v>
      </c>
      <c r="AE475" s="14" t="s">
        <v>99</v>
      </c>
      <c r="AF475" s="14" t="s">
        <v>99</v>
      </c>
      <c r="AG475" s="14">
        <v>46.0</v>
      </c>
      <c r="AH475" s="14">
        <v>626.0</v>
      </c>
      <c r="AI475" s="14">
        <v>763.0</v>
      </c>
      <c r="AJ475" s="14">
        <v>5.0</v>
      </c>
      <c r="AK475" s="14">
        <v>307.0</v>
      </c>
      <c r="AL475" s="14" t="s">
        <v>2234</v>
      </c>
      <c r="AM475" s="14" t="s">
        <v>2235</v>
      </c>
      <c r="AN475" s="14" t="s">
        <v>2236</v>
      </c>
      <c r="AO475" s="14" t="s">
        <v>9093</v>
      </c>
      <c r="AP475" s="14" t="s">
        <v>99</v>
      </c>
      <c r="AQ475" s="14" t="s">
        <v>99</v>
      </c>
      <c r="AR475" s="14" t="s">
        <v>9094</v>
      </c>
      <c r="AS475" s="14" t="s">
        <v>9095</v>
      </c>
      <c r="AT475" s="14" t="s">
        <v>348</v>
      </c>
      <c r="AU475" s="14">
        <v>2004.0</v>
      </c>
      <c r="AV475" s="14">
        <v>59.0</v>
      </c>
      <c r="AW475" s="14">
        <v>3.0</v>
      </c>
      <c r="AX475" s="14" t="s">
        <v>99</v>
      </c>
      <c r="AY475" s="14" t="s">
        <v>99</v>
      </c>
      <c r="AZ475" s="14" t="s">
        <v>99</v>
      </c>
      <c r="BA475" s="14" t="s">
        <v>99</v>
      </c>
      <c r="BB475" s="14">
        <v>309.0</v>
      </c>
      <c r="BC475" s="14">
        <v>315.0</v>
      </c>
      <c r="BD475" s="14" t="s">
        <v>99</v>
      </c>
      <c r="BE475" s="14" t="s">
        <v>9096</v>
      </c>
      <c r="BF475" s="15" t="str">
        <f>HYPERLINK("http://dx.doi.org/10.1016/S0147-6513(03)00141-6","http://dx.doi.org/10.1016/S0147-6513(03)00141-6")</f>
        <v>http://dx.doi.org/10.1016/S0147-6513(03)00141-6</v>
      </c>
      <c r="BG475" s="14" t="s">
        <v>99</v>
      </c>
      <c r="BH475" s="14" t="s">
        <v>99</v>
      </c>
      <c r="BI475" s="14">
        <v>7.0</v>
      </c>
      <c r="BJ475" s="14" t="s">
        <v>9097</v>
      </c>
      <c r="BK475" s="14" t="s">
        <v>122</v>
      </c>
      <c r="BL475" s="14" t="s">
        <v>9098</v>
      </c>
      <c r="BM475" s="14" t="s">
        <v>9099</v>
      </c>
      <c r="BN475" s="14">
        <v>1.538827E7</v>
      </c>
      <c r="BO475" s="14" t="s">
        <v>99</v>
      </c>
      <c r="BP475" s="14" t="s">
        <v>99</v>
      </c>
      <c r="BQ475" s="14" t="s">
        <v>99</v>
      </c>
      <c r="BR475" s="14" t="s">
        <v>124</v>
      </c>
      <c r="BS475" s="14" t="s">
        <v>9100</v>
      </c>
      <c r="BT475" s="14" t="str">
        <f>HYPERLINK("https%3A%2F%2Fwww.webofscience.com%2Fwos%2Fwoscc%2Ffull-record%2FWOS:000224318700004","View Full Record in Web of Science")</f>
        <v>View Full Record in Web of Science</v>
      </c>
    </row>
    <row r="476" ht="12.75" customHeight="1">
      <c r="A476" s="14" t="s">
        <v>97</v>
      </c>
      <c r="B476" s="14" t="s">
        <v>9101</v>
      </c>
      <c r="C476" s="14" t="s">
        <v>99</v>
      </c>
      <c r="D476" s="14" t="s">
        <v>99</v>
      </c>
      <c r="E476" s="14" t="s">
        <v>99</v>
      </c>
      <c r="F476" s="14" t="s">
        <v>9101</v>
      </c>
      <c r="G476" s="14" t="s">
        <v>99</v>
      </c>
      <c r="H476" s="14" t="s">
        <v>99</v>
      </c>
      <c r="I476" s="14" t="s">
        <v>9102</v>
      </c>
      <c r="J476" s="14" t="s">
        <v>851</v>
      </c>
      <c r="K476" s="14" t="s">
        <v>99</v>
      </c>
      <c r="L476" s="14" t="s">
        <v>99</v>
      </c>
      <c r="M476" s="14" t="s">
        <v>103</v>
      </c>
      <c r="N476" s="14" t="s">
        <v>104</v>
      </c>
      <c r="O476" s="14" t="s">
        <v>99</v>
      </c>
      <c r="P476" s="14" t="s">
        <v>99</v>
      </c>
      <c r="Q476" s="14" t="s">
        <v>99</v>
      </c>
      <c r="R476" s="14" t="s">
        <v>99</v>
      </c>
      <c r="S476" s="14" t="s">
        <v>99</v>
      </c>
      <c r="T476" s="14" t="s">
        <v>9103</v>
      </c>
      <c r="U476" s="14" t="s">
        <v>9104</v>
      </c>
      <c r="V476" s="14" t="s">
        <v>9105</v>
      </c>
      <c r="W476" s="14" t="s">
        <v>9106</v>
      </c>
      <c r="X476" s="14" t="s">
        <v>9107</v>
      </c>
      <c r="Y476" s="14" t="s">
        <v>9108</v>
      </c>
      <c r="Z476" s="14" t="s">
        <v>9109</v>
      </c>
      <c r="AA476" s="14" t="s">
        <v>9110</v>
      </c>
      <c r="AB476" s="14" t="s">
        <v>9111</v>
      </c>
      <c r="AC476" s="14" t="s">
        <v>99</v>
      </c>
      <c r="AD476" s="14" t="s">
        <v>99</v>
      </c>
      <c r="AE476" s="14" t="s">
        <v>99</v>
      </c>
      <c r="AF476" s="14" t="s">
        <v>99</v>
      </c>
      <c r="AG476" s="14">
        <v>56.0</v>
      </c>
      <c r="AH476" s="14">
        <v>92.0</v>
      </c>
      <c r="AI476" s="14">
        <v>110.0</v>
      </c>
      <c r="AJ476" s="14">
        <v>0.0</v>
      </c>
      <c r="AK476" s="14">
        <v>108.0</v>
      </c>
      <c r="AL476" s="14" t="s">
        <v>341</v>
      </c>
      <c r="AM476" s="14" t="s">
        <v>342</v>
      </c>
      <c r="AN476" s="14" t="s">
        <v>343</v>
      </c>
      <c r="AO476" s="14" t="s">
        <v>864</v>
      </c>
      <c r="AP476" s="14" t="s">
        <v>865</v>
      </c>
      <c r="AQ476" s="14" t="s">
        <v>99</v>
      </c>
      <c r="AR476" s="14" t="s">
        <v>866</v>
      </c>
      <c r="AS476" s="14" t="s">
        <v>867</v>
      </c>
      <c r="AT476" s="14" t="s">
        <v>348</v>
      </c>
      <c r="AU476" s="14">
        <v>2004.0</v>
      </c>
      <c r="AV476" s="14">
        <v>13.0</v>
      </c>
      <c r="AW476" s="14">
        <v>6.0</v>
      </c>
      <c r="AX476" s="14" t="s">
        <v>99</v>
      </c>
      <c r="AY476" s="14" t="s">
        <v>99</v>
      </c>
      <c r="AZ476" s="14" t="s">
        <v>99</v>
      </c>
      <c r="BA476" s="14" t="s">
        <v>99</v>
      </c>
      <c r="BB476" s="14">
        <v>553.0</v>
      </c>
      <c r="BC476" s="14">
        <v>565.0</v>
      </c>
      <c r="BD476" s="14" t="s">
        <v>99</v>
      </c>
      <c r="BE476" s="14" t="s">
        <v>9112</v>
      </c>
      <c r="BF476" s="15" t="str">
        <f>HYPERLINK("http://dx.doi.org/10.1111/j.1466-822X.2004.00105.x","http://dx.doi.org/10.1111/j.1466-822X.2004.00105.x")</f>
        <v>http://dx.doi.org/10.1111/j.1466-822X.2004.00105.x</v>
      </c>
      <c r="BG476" s="14" t="s">
        <v>99</v>
      </c>
      <c r="BH476" s="14" t="s">
        <v>99</v>
      </c>
      <c r="BI476" s="14">
        <v>13.0</v>
      </c>
      <c r="BJ476" s="14" t="s">
        <v>869</v>
      </c>
      <c r="BK476" s="14" t="s">
        <v>122</v>
      </c>
      <c r="BL476" s="14" t="s">
        <v>870</v>
      </c>
      <c r="BM476" s="14" t="s">
        <v>9113</v>
      </c>
      <c r="BN476" s="14" t="s">
        <v>99</v>
      </c>
      <c r="BO476" s="14" t="s">
        <v>99</v>
      </c>
      <c r="BP476" s="14" t="s">
        <v>99</v>
      </c>
      <c r="BQ476" s="14" t="s">
        <v>99</v>
      </c>
      <c r="BR476" s="14" t="s">
        <v>124</v>
      </c>
      <c r="BS476" s="14" t="s">
        <v>9114</v>
      </c>
      <c r="BT476" s="14" t="str">
        <f>HYPERLINK("https%3A%2F%2Fwww.webofscience.com%2Fwos%2Fwoscc%2Ffull-record%2FWOS:000224648000008","View Full Record in Web of Science")</f>
        <v>View Full Record in Web of Science</v>
      </c>
    </row>
    <row r="477" ht="12.75" customHeight="1">
      <c r="A477" s="14" t="s">
        <v>97</v>
      </c>
      <c r="B477" s="14" t="s">
        <v>9115</v>
      </c>
      <c r="C477" s="14" t="s">
        <v>99</v>
      </c>
      <c r="D477" s="14" t="s">
        <v>99</v>
      </c>
      <c r="E477" s="14" t="s">
        <v>99</v>
      </c>
      <c r="F477" s="14" t="s">
        <v>9115</v>
      </c>
      <c r="G477" s="14" t="s">
        <v>99</v>
      </c>
      <c r="H477" s="14" t="s">
        <v>99</v>
      </c>
      <c r="I477" s="14" t="s">
        <v>9116</v>
      </c>
      <c r="J477" s="14" t="s">
        <v>4268</v>
      </c>
      <c r="K477" s="14" t="s">
        <v>99</v>
      </c>
      <c r="L477" s="14" t="s">
        <v>99</v>
      </c>
      <c r="M477" s="14" t="s">
        <v>103</v>
      </c>
      <c r="N477" s="14" t="s">
        <v>104</v>
      </c>
      <c r="O477" s="14" t="s">
        <v>99</v>
      </c>
      <c r="P477" s="14" t="s">
        <v>99</v>
      </c>
      <c r="Q477" s="14" t="s">
        <v>99</v>
      </c>
      <c r="R477" s="14" t="s">
        <v>99</v>
      </c>
      <c r="S477" s="14" t="s">
        <v>99</v>
      </c>
      <c r="T477" s="14" t="s">
        <v>99</v>
      </c>
      <c r="U477" s="14" t="s">
        <v>9117</v>
      </c>
      <c r="V477" s="14" t="s">
        <v>9118</v>
      </c>
      <c r="W477" s="14" t="s">
        <v>9119</v>
      </c>
      <c r="X477" s="14" t="s">
        <v>9120</v>
      </c>
      <c r="Y477" s="14" t="s">
        <v>9121</v>
      </c>
      <c r="Z477" s="14" t="s">
        <v>9122</v>
      </c>
      <c r="AA477" s="14" t="s">
        <v>99</v>
      </c>
      <c r="AB477" s="14" t="s">
        <v>99</v>
      </c>
      <c r="AC477" s="14" t="s">
        <v>99</v>
      </c>
      <c r="AD477" s="14" t="s">
        <v>99</v>
      </c>
      <c r="AE477" s="14" t="s">
        <v>99</v>
      </c>
      <c r="AF477" s="14" t="s">
        <v>99</v>
      </c>
      <c r="AG477" s="14">
        <v>46.0</v>
      </c>
      <c r="AH477" s="14">
        <v>60.0</v>
      </c>
      <c r="AI477" s="14">
        <v>75.0</v>
      </c>
      <c r="AJ477" s="14">
        <v>0.0</v>
      </c>
      <c r="AK477" s="14">
        <v>30.0</v>
      </c>
      <c r="AL477" s="14" t="s">
        <v>2073</v>
      </c>
      <c r="AM477" s="14" t="s">
        <v>274</v>
      </c>
      <c r="AN477" s="14" t="s">
        <v>2074</v>
      </c>
      <c r="AO477" s="14" t="s">
        <v>4281</v>
      </c>
      <c r="AP477" s="14" t="s">
        <v>4282</v>
      </c>
      <c r="AQ477" s="14" t="s">
        <v>99</v>
      </c>
      <c r="AR477" s="14" t="s">
        <v>4283</v>
      </c>
      <c r="AS477" s="14" t="s">
        <v>4284</v>
      </c>
      <c r="AT477" s="14" t="s">
        <v>348</v>
      </c>
      <c r="AU477" s="14">
        <v>2004.0</v>
      </c>
      <c r="AV477" s="14">
        <v>59.0</v>
      </c>
      <c r="AW477" s="14">
        <v>3.0</v>
      </c>
      <c r="AX477" s="14" t="s">
        <v>99</v>
      </c>
      <c r="AY477" s="14" t="s">
        <v>99</v>
      </c>
      <c r="AZ477" s="14" t="s">
        <v>99</v>
      </c>
      <c r="BA477" s="14" t="s">
        <v>99</v>
      </c>
      <c r="BB477" s="14">
        <v>565.0</v>
      </c>
      <c r="BC477" s="14">
        <v>582.0</v>
      </c>
      <c r="BD477" s="14" t="s">
        <v>99</v>
      </c>
      <c r="BE477" s="14" t="s">
        <v>9123</v>
      </c>
      <c r="BF477" s="15" t="str">
        <f>HYPERLINK("http://dx.doi.org/10.1016/j.jaridenv.2004.03.022","http://dx.doi.org/10.1016/j.jaridenv.2004.03.022")</f>
        <v>http://dx.doi.org/10.1016/j.jaridenv.2004.03.022</v>
      </c>
      <c r="BG477" s="14" t="s">
        <v>99</v>
      </c>
      <c r="BH477" s="14" t="s">
        <v>99</v>
      </c>
      <c r="BI477" s="14">
        <v>18.0</v>
      </c>
      <c r="BJ477" s="14" t="s">
        <v>423</v>
      </c>
      <c r="BK477" s="14" t="s">
        <v>122</v>
      </c>
      <c r="BL477" s="14" t="s">
        <v>260</v>
      </c>
      <c r="BM477" s="14" t="s">
        <v>9124</v>
      </c>
      <c r="BN477" s="14" t="s">
        <v>99</v>
      </c>
      <c r="BO477" s="14" t="s">
        <v>354</v>
      </c>
      <c r="BP477" s="14" t="s">
        <v>99</v>
      </c>
      <c r="BQ477" s="14" t="s">
        <v>99</v>
      </c>
      <c r="BR477" s="14" t="s">
        <v>124</v>
      </c>
      <c r="BS477" s="14" t="s">
        <v>9125</v>
      </c>
      <c r="BT477" s="14" t="str">
        <f>HYPERLINK("https%3A%2F%2Fwww.webofscience.com%2Fwos%2Fwoscc%2Ffull-record%2FWOS:000223909700008","View Full Record in Web of Science")</f>
        <v>View Full Record in Web of Science</v>
      </c>
    </row>
    <row r="478" ht="12.75" customHeight="1">
      <c r="A478" s="14" t="s">
        <v>97</v>
      </c>
      <c r="B478" s="14" t="s">
        <v>9126</v>
      </c>
      <c r="C478" s="14" t="s">
        <v>99</v>
      </c>
      <c r="D478" s="14" t="s">
        <v>99</v>
      </c>
      <c r="E478" s="14" t="s">
        <v>99</v>
      </c>
      <c r="F478" s="14" t="s">
        <v>9126</v>
      </c>
      <c r="G478" s="14" t="s">
        <v>99</v>
      </c>
      <c r="H478" s="14" t="s">
        <v>99</v>
      </c>
      <c r="I478" s="14" t="s">
        <v>9127</v>
      </c>
      <c r="J478" s="14" t="s">
        <v>9128</v>
      </c>
      <c r="K478" s="14" t="s">
        <v>99</v>
      </c>
      <c r="L478" s="14" t="s">
        <v>99</v>
      </c>
      <c r="M478" s="14" t="s">
        <v>103</v>
      </c>
      <c r="N478" s="14" t="s">
        <v>104</v>
      </c>
      <c r="O478" s="14" t="s">
        <v>99</v>
      </c>
      <c r="P478" s="14" t="s">
        <v>99</v>
      </c>
      <c r="Q478" s="14" t="s">
        <v>99</v>
      </c>
      <c r="R478" s="14" t="s">
        <v>99</v>
      </c>
      <c r="S478" s="14" t="s">
        <v>99</v>
      </c>
      <c r="T478" s="14" t="s">
        <v>9129</v>
      </c>
      <c r="U478" s="14" t="s">
        <v>9130</v>
      </c>
      <c r="V478" s="14" t="s">
        <v>9131</v>
      </c>
      <c r="W478" s="14" t="s">
        <v>9132</v>
      </c>
      <c r="X478" s="14" t="s">
        <v>9133</v>
      </c>
      <c r="Y478" s="14" t="s">
        <v>9134</v>
      </c>
      <c r="Z478" s="14" t="s">
        <v>9135</v>
      </c>
      <c r="AA478" s="14" t="s">
        <v>9136</v>
      </c>
      <c r="AB478" s="14" t="s">
        <v>9137</v>
      </c>
      <c r="AC478" s="14" t="s">
        <v>99</v>
      </c>
      <c r="AD478" s="14" t="s">
        <v>99</v>
      </c>
      <c r="AE478" s="14" t="s">
        <v>99</v>
      </c>
      <c r="AF478" s="14" t="s">
        <v>99</v>
      </c>
      <c r="AG478" s="14">
        <v>30.0</v>
      </c>
      <c r="AH478" s="14">
        <v>292.0</v>
      </c>
      <c r="AI478" s="14">
        <v>330.0</v>
      </c>
      <c r="AJ478" s="14">
        <v>1.0</v>
      </c>
      <c r="AK478" s="14">
        <v>109.0</v>
      </c>
      <c r="AL478" s="14" t="s">
        <v>341</v>
      </c>
      <c r="AM478" s="14" t="s">
        <v>342</v>
      </c>
      <c r="AN478" s="14" t="s">
        <v>343</v>
      </c>
      <c r="AO478" s="14" t="s">
        <v>9138</v>
      </c>
      <c r="AP478" s="14" t="s">
        <v>9139</v>
      </c>
      <c r="AQ478" s="14" t="s">
        <v>99</v>
      </c>
      <c r="AR478" s="14" t="s">
        <v>9140</v>
      </c>
      <c r="AS478" s="14" t="s">
        <v>9141</v>
      </c>
      <c r="AT478" s="14" t="s">
        <v>2372</v>
      </c>
      <c r="AU478" s="14">
        <v>2004.0</v>
      </c>
      <c r="AV478" s="14">
        <v>18.0</v>
      </c>
      <c r="AW478" s="14">
        <v>5.0</v>
      </c>
      <c r="AX478" s="14" t="s">
        <v>99</v>
      </c>
      <c r="AY478" s="14" t="s">
        <v>99</v>
      </c>
      <c r="AZ478" s="14" t="s">
        <v>99</v>
      </c>
      <c r="BA478" s="14" t="s">
        <v>99</v>
      </c>
      <c r="BB478" s="14">
        <v>625.0</v>
      </c>
      <c r="BC478" s="14">
        <v>630.0</v>
      </c>
      <c r="BD478" s="14" t="s">
        <v>99</v>
      </c>
      <c r="BE478" s="14" t="s">
        <v>9142</v>
      </c>
      <c r="BF478" s="15" t="str">
        <f>HYPERLINK("http://dx.doi.org/10.1111/j.0269-8463.2004.00903.x","http://dx.doi.org/10.1111/j.0269-8463.2004.00903.x")</f>
        <v>http://dx.doi.org/10.1111/j.0269-8463.2004.00903.x</v>
      </c>
      <c r="BG478" s="14" t="s">
        <v>99</v>
      </c>
      <c r="BH478" s="14" t="s">
        <v>99</v>
      </c>
      <c r="BI478" s="14">
        <v>6.0</v>
      </c>
      <c r="BJ478" s="14" t="s">
        <v>259</v>
      </c>
      <c r="BK478" s="14" t="s">
        <v>122</v>
      </c>
      <c r="BL478" s="14" t="s">
        <v>260</v>
      </c>
      <c r="BM478" s="14" t="s">
        <v>9143</v>
      </c>
      <c r="BN478" s="14" t="s">
        <v>99</v>
      </c>
      <c r="BO478" s="14" t="s">
        <v>6574</v>
      </c>
      <c r="BP478" s="14" t="s">
        <v>99</v>
      </c>
      <c r="BQ478" s="14" t="s">
        <v>99</v>
      </c>
      <c r="BR478" s="14" t="s">
        <v>124</v>
      </c>
      <c r="BS478" s="14" t="s">
        <v>9144</v>
      </c>
      <c r="BT478" s="14" t="str">
        <f>HYPERLINK("https%3A%2F%2Fwww.webofscience.com%2Fwos%2Fwoscc%2Ffull-record%2FWOS:000224000900001","View Full Record in Web of Science")</f>
        <v>View Full Record in Web of Science</v>
      </c>
    </row>
    <row r="479" ht="12.75" customHeight="1">
      <c r="A479" s="14" t="s">
        <v>97</v>
      </c>
      <c r="B479" s="14" t="s">
        <v>9145</v>
      </c>
      <c r="C479" s="14" t="s">
        <v>99</v>
      </c>
      <c r="D479" s="14" t="s">
        <v>99</v>
      </c>
      <c r="E479" s="14" t="s">
        <v>99</v>
      </c>
      <c r="F479" s="14" t="s">
        <v>9145</v>
      </c>
      <c r="G479" s="14" t="s">
        <v>99</v>
      </c>
      <c r="H479" s="14" t="s">
        <v>99</v>
      </c>
      <c r="I479" s="14" t="s">
        <v>9146</v>
      </c>
      <c r="J479" s="14" t="s">
        <v>2332</v>
      </c>
      <c r="K479" s="14" t="s">
        <v>99</v>
      </c>
      <c r="L479" s="14" t="s">
        <v>99</v>
      </c>
      <c r="M479" s="14" t="s">
        <v>103</v>
      </c>
      <c r="N479" s="14" t="s">
        <v>104</v>
      </c>
      <c r="O479" s="14" t="s">
        <v>99</v>
      </c>
      <c r="P479" s="14" t="s">
        <v>99</v>
      </c>
      <c r="Q479" s="14" t="s">
        <v>99</v>
      </c>
      <c r="R479" s="14" t="s">
        <v>99</v>
      </c>
      <c r="S479" s="14" t="s">
        <v>99</v>
      </c>
      <c r="T479" s="14" t="s">
        <v>9147</v>
      </c>
      <c r="U479" s="14" t="s">
        <v>9148</v>
      </c>
      <c r="V479" s="14" t="s">
        <v>9149</v>
      </c>
      <c r="W479" s="14" t="s">
        <v>9150</v>
      </c>
      <c r="X479" s="14" t="s">
        <v>9151</v>
      </c>
      <c r="Y479" s="14" t="s">
        <v>9152</v>
      </c>
      <c r="Z479" s="14" t="s">
        <v>9153</v>
      </c>
      <c r="AA479" s="14" t="s">
        <v>99</v>
      </c>
      <c r="AB479" s="14" t="s">
        <v>99</v>
      </c>
      <c r="AC479" s="14" t="s">
        <v>99</v>
      </c>
      <c r="AD479" s="14" t="s">
        <v>99</v>
      </c>
      <c r="AE479" s="14" t="s">
        <v>99</v>
      </c>
      <c r="AF479" s="14" t="s">
        <v>99</v>
      </c>
      <c r="AG479" s="14">
        <v>56.0</v>
      </c>
      <c r="AH479" s="14">
        <v>125.0</v>
      </c>
      <c r="AI479" s="14">
        <v>143.0</v>
      </c>
      <c r="AJ479" s="14">
        <v>1.0</v>
      </c>
      <c r="AK479" s="14">
        <v>28.0</v>
      </c>
      <c r="AL479" s="14" t="s">
        <v>493</v>
      </c>
      <c r="AM479" s="14" t="s">
        <v>494</v>
      </c>
      <c r="AN479" s="14" t="s">
        <v>495</v>
      </c>
      <c r="AO479" s="14" t="s">
        <v>2345</v>
      </c>
      <c r="AP479" s="14" t="s">
        <v>2346</v>
      </c>
      <c r="AQ479" s="14" t="s">
        <v>99</v>
      </c>
      <c r="AR479" s="14" t="s">
        <v>2347</v>
      </c>
      <c r="AS479" s="14" t="s">
        <v>2348</v>
      </c>
      <c r="AT479" s="14" t="s">
        <v>2372</v>
      </c>
      <c r="AU479" s="14">
        <v>2004.0</v>
      </c>
      <c r="AV479" s="14">
        <v>14.0</v>
      </c>
      <c r="AW479" s="14">
        <v>3.0</v>
      </c>
      <c r="AX479" s="14" t="s">
        <v>99</v>
      </c>
      <c r="AY479" s="14" t="s">
        <v>99</v>
      </c>
      <c r="AZ479" s="14" t="s">
        <v>99</v>
      </c>
      <c r="BA479" s="14" t="s">
        <v>99</v>
      </c>
      <c r="BB479" s="14">
        <v>245.0</v>
      </c>
      <c r="BC479" s="14">
        <v>258.0</v>
      </c>
      <c r="BD479" s="14" t="s">
        <v>99</v>
      </c>
      <c r="BE479" s="14" t="s">
        <v>9154</v>
      </c>
      <c r="BF479" s="15" t="str">
        <f>HYPERLINK("http://dx.doi.org/10.1016/j.gloenvcha.2004.04.008","http://dx.doi.org/10.1016/j.gloenvcha.2004.04.008")</f>
        <v>http://dx.doi.org/10.1016/j.gloenvcha.2004.04.008</v>
      </c>
      <c r="BG479" s="14" t="s">
        <v>99</v>
      </c>
      <c r="BH479" s="14" t="s">
        <v>99</v>
      </c>
      <c r="BI479" s="14">
        <v>14.0</v>
      </c>
      <c r="BJ479" s="14" t="s">
        <v>2350</v>
      </c>
      <c r="BK479" s="14" t="s">
        <v>122</v>
      </c>
      <c r="BL479" s="14" t="s">
        <v>2351</v>
      </c>
      <c r="BM479" s="14" t="s">
        <v>9155</v>
      </c>
      <c r="BN479" s="14" t="s">
        <v>99</v>
      </c>
      <c r="BO479" s="14" t="s">
        <v>99</v>
      </c>
      <c r="BP479" s="14" t="s">
        <v>99</v>
      </c>
      <c r="BQ479" s="14" t="s">
        <v>99</v>
      </c>
      <c r="BR479" s="14" t="s">
        <v>124</v>
      </c>
      <c r="BS479" s="14" t="s">
        <v>9156</v>
      </c>
      <c r="BT479" s="14" t="str">
        <f>HYPERLINK("https%3A%2F%2Fwww.webofscience.com%2Fwos%2Fwoscc%2Ffull-record%2FWOS:000223884300006","View Full Record in Web of Science")</f>
        <v>View Full Record in Web of Science</v>
      </c>
    </row>
    <row r="480" ht="12.75" customHeight="1">
      <c r="A480" s="14" t="s">
        <v>97</v>
      </c>
      <c r="B480" s="14" t="s">
        <v>9157</v>
      </c>
      <c r="C480" s="14" t="s">
        <v>99</v>
      </c>
      <c r="D480" s="14" t="s">
        <v>99</v>
      </c>
      <c r="E480" s="14" t="s">
        <v>99</v>
      </c>
      <c r="F480" s="14" t="s">
        <v>9157</v>
      </c>
      <c r="G480" s="14" t="s">
        <v>99</v>
      </c>
      <c r="H480" s="14" t="s">
        <v>99</v>
      </c>
      <c r="I480" s="14" t="s">
        <v>9158</v>
      </c>
      <c r="J480" s="14" t="s">
        <v>328</v>
      </c>
      <c r="K480" s="14" t="s">
        <v>99</v>
      </c>
      <c r="L480" s="14" t="s">
        <v>99</v>
      </c>
      <c r="M480" s="14" t="s">
        <v>103</v>
      </c>
      <c r="N480" s="14" t="s">
        <v>104</v>
      </c>
      <c r="O480" s="14" t="s">
        <v>99</v>
      </c>
      <c r="P480" s="14" t="s">
        <v>99</v>
      </c>
      <c r="Q480" s="14" t="s">
        <v>99</v>
      </c>
      <c r="R480" s="14" t="s">
        <v>99</v>
      </c>
      <c r="S480" s="14" t="s">
        <v>99</v>
      </c>
      <c r="T480" s="14" t="s">
        <v>9159</v>
      </c>
      <c r="U480" s="14" t="s">
        <v>9160</v>
      </c>
      <c r="V480" s="14" t="s">
        <v>9161</v>
      </c>
      <c r="W480" s="14" t="s">
        <v>9162</v>
      </c>
      <c r="X480" s="14" t="s">
        <v>9163</v>
      </c>
      <c r="Y480" s="14" t="s">
        <v>9164</v>
      </c>
      <c r="Z480" s="14" t="s">
        <v>9165</v>
      </c>
      <c r="AA480" s="14" t="s">
        <v>9166</v>
      </c>
      <c r="AB480" s="14" t="s">
        <v>9167</v>
      </c>
      <c r="AC480" s="14" t="s">
        <v>99</v>
      </c>
      <c r="AD480" s="14" t="s">
        <v>99</v>
      </c>
      <c r="AE480" s="14" t="s">
        <v>99</v>
      </c>
      <c r="AF480" s="14" t="s">
        <v>99</v>
      </c>
      <c r="AG480" s="14">
        <v>69.0</v>
      </c>
      <c r="AH480" s="14">
        <v>551.0</v>
      </c>
      <c r="AI480" s="14">
        <v>646.0</v>
      </c>
      <c r="AJ480" s="14">
        <v>3.0</v>
      </c>
      <c r="AK480" s="14">
        <v>202.0</v>
      </c>
      <c r="AL480" s="14" t="s">
        <v>341</v>
      </c>
      <c r="AM480" s="14" t="s">
        <v>342</v>
      </c>
      <c r="AN480" s="14" t="s">
        <v>343</v>
      </c>
      <c r="AO480" s="14" t="s">
        <v>344</v>
      </c>
      <c r="AP480" s="14" t="s">
        <v>345</v>
      </c>
      <c r="AQ480" s="14" t="s">
        <v>99</v>
      </c>
      <c r="AR480" s="14" t="s">
        <v>346</v>
      </c>
      <c r="AS480" s="14" t="s">
        <v>347</v>
      </c>
      <c r="AT480" s="14" t="s">
        <v>421</v>
      </c>
      <c r="AU480" s="14">
        <v>2004.0</v>
      </c>
      <c r="AV480" s="14">
        <v>10.0</v>
      </c>
      <c r="AW480" s="14">
        <v>9.0</v>
      </c>
      <c r="AX480" s="14" t="s">
        <v>99</v>
      </c>
      <c r="AY480" s="14" t="s">
        <v>99</v>
      </c>
      <c r="AZ480" s="14" t="s">
        <v>99</v>
      </c>
      <c r="BA480" s="14" t="s">
        <v>99</v>
      </c>
      <c r="BB480" s="14">
        <v>1618.0</v>
      </c>
      <c r="BC480" s="14">
        <v>1626.0</v>
      </c>
      <c r="BD480" s="14" t="s">
        <v>99</v>
      </c>
      <c r="BE480" s="14" t="s">
        <v>9168</v>
      </c>
      <c r="BF480" s="15" t="str">
        <f>HYPERLINK("http://dx.doi.org/10.1111/j.1365-2486.2004.00828.x","http://dx.doi.org/10.1111/j.1365-2486.2004.00828.x")</f>
        <v>http://dx.doi.org/10.1111/j.1365-2486.2004.00828.x</v>
      </c>
      <c r="BG480" s="14" t="s">
        <v>99</v>
      </c>
      <c r="BH480" s="14" t="s">
        <v>99</v>
      </c>
      <c r="BI480" s="14">
        <v>9.0</v>
      </c>
      <c r="BJ480" s="14" t="s">
        <v>351</v>
      </c>
      <c r="BK480" s="14" t="s">
        <v>122</v>
      </c>
      <c r="BL480" s="14" t="s">
        <v>352</v>
      </c>
      <c r="BM480" s="14" t="s">
        <v>9169</v>
      </c>
      <c r="BN480" s="14" t="s">
        <v>99</v>
      </c>
      <c r="BO480" s="14" t="s">
        <v>99</v>
      </c>
      <c r="BP480" s="14" t="s">
        <v>99</v>
      </c>
      <c r="BQ480" s="14" t="s">
        <v>99</v>
      </c>
      <c r="BR480" s="14" t="s">
        <v>124</v>
      </c>
      <c r="BS480" s="14" t="s">
        <v>9170</v>
      </c>
      <c r="BT480" s="14" t="str">
        <f>HYPERLINK("https%3A%2F%2Fwww.webofscience.com%2Fwos%2Fwoscc%2Ffull-record%2FWOS:000223817000017","View Full Record in Web of Science")</f>
        <v>View Full Record in Web of Science</v>
      </c>
    </row>
    <row r="481" ht="12.75" customHeight="1">
      <c r="A481" s="14" t="s">
        <v>97</v>
      </c>
      <c r="B481" s="14" t="s">
        <v>9171</v>
      </c>
      <c r="C481" s="14" t="s">
        <v>99</v>
      </c>
      <c r="D481" s="14" t="s">
        <v>99</v>
      </c>
      <c r="E481" s="14" t="s">
        <v>99</v>
      </c>
      <c r="F481" s="14" t="s">
        <v>9171</v>
      </c>
      <c r="G481" s="14" t="s">
        <v>99</v>
      </c>
      <c r="H481" s="14" t="s">
        <v>99</v>
      </c>
      <c r="I481" s="14" t="s">
        <v>9172</v>
      </c>
      <c r="J481" s="14" t="s">
        <v>2142</v>
      </c>
      <c r="K481" s="14" t="s">
        <v>99</v>
      </c>
      <c r="L481" s="14" t="s">
        <v>99</v>
      </c>
      <c r="M481" s="14" t="s">
        <v>103</v>
      </c>
      <c r="N481" s="14" t="s">
        <v>104</v>
      </c>
      <c r="O481" s="14" t="s">
        <v>99</v>
      </c>
      <c r="P481" s="14" t="s">
        <v>99</v>
      </c>
      <c r="Q481" s="14" t="s">
        <v>99</v>
      </c>
      <c r="R481" s="14" t="s">
        <v>99</v>
      </c>
      <c r="S481" s="14" t="s">
        <v>99</v>
      </c>
      <c r="T481" s="14" t="s">
        <v>9173</v>
      </c>
      <c r="U481" s="14" t="s">
        <v>9174</v>
      </c>
      <c r="V481" s="14" t="s">
        <v>9175</v>
      </c>
      <c r="W481" s="14" t="s">
        <v>9176</v>
      </c>
      <c r="X481" s="14" t="s">
        <v>9177</v>
      </c>
      <c r="Y481" s="14" t="s">
        <v>9178</v>
      </c>
      <c r="Z481" s="14" t="s">
        <v>9179</v>
      </c>
      <c r="AA481" s="14" t="s">
        <v>9180</v>
      </c>
      <c r="AB481" s="14" t="s">
        <v>99</v>
      </c>
      <c r="AC481" s="14" t="s">
        <v>99</v>
      </c>
      <c r="AD481" s="14" t="s">
        <v>99</v>
      </c>
      <c r="AE481" s="14" t="s">
        <v>99</v>
      </c>
      <c r="AF481" s="14" t="s">
        <v>99</v>
      </c>
      <c r="AG481" s="14">
        <v>54.0</v>
      </c>
      <c r="AH481" s="14">
        <v>58.0</v>
      </c>
      <c r="AI481" s="14">
        <v>64.0</v>
      </c>
      <c r="AJ481" s="14">
        <v>2.0</v>
      </c>
      <c r="AK481" s="14">
        <v>43.0</v>
      </c>
      <c r="AL481" s="14" t="s">
        <v>341</v>
      </c>
      <c r="AM481" s="14" t="s">
        <v>342</v>
      </c>
      <c r="AN481" s="14" t="s">
        <v>343</v>
      </c>
      <c r="AO481" s="14" t="s">
        <v>2155</v>
      </c>
      <c r="AP481" s="14" t="s">
        <v>2156</v>
      </c>
      <c r="AQ481" s="14" t="s">
        <v>99</v>
      </c>
      <c r="AR481" s="14" t="s">
        <v>2157</v>
      </c>
      <c r="AS481" s="14" t="s">
        <v>2158</v>
      </c>
      <c r="AT481" s="14" t="s">
        <v>474</v>
      </c>
      <c r="AU481" s="14">
        <v>2004.0</v>
      </c>
      <c r="AV481" s="14">
        <v>18.0</v>
      </c>
      <c r="AW481" s="14">
        <v>4.0</v>
      </c>
      <c r="AX481" s="14" t="s">
        <v>99</v>
      </c>
      <c r="AY481" s="14" t="s">
        <v>99</v>
      </c>
      <c r="AZ481" s="14" t="s">
        <v>99</v>
      </c>
      <c r="BA481" s="14" t="s">
        <v>99</v>
      </c>
      <c r="BB481" s="14">
        <v>1052.0</v>
      </c>
      <c r="BC481" s="14">
        <v>1062.0</v>
      </c>
      <c r="BD481" s="14" t="s">
        <v>99</v>
      </c>
      <c r="BE481" s="14" t="s">
        <v>9181</v>
      </c>
      <c r="BF481" s="15" t="str">
        <f>HYPERLINK("http://dx.doi.org/10.1111/j.1523-1739.2004.00199.x","http://dx.doi.org/10.1111/j.1523-1739.2004.00199.x")</f>
        <v>http://dx.doi.org/10.1111/j.1523-1739.2004.00199.x</v>
      </c>
      <c r="BG481" s="14" t="s">
        <v>99</v>
      </c>
      <c r="BH481" s="14" t="s">
        <v>99</v>
      </c>
      <c r="BI481" s="14">
        <v>11.0</v>
      </c>
      <c r="BJ481" s="14" t="s">
        <v>351</v>
      </c>
      <c r="BK481" s="14" t="s">
        <v>122</v>
      </c>
      <c r="BL481" s="14" t="s">
        <v>352</v>
      </c>
      <c r="BM481" s="14" t="s">
        <v>9182</v>
      </c>
      <c r="BN481" s="14" t="s">
        <v>99</v>
      </c>
      <c r="BO481" s="14" t="s">
        <v>99</v>
      </c>
      <c r="BP481" s="14" t="s">
        <v>99</v>
      </c>
      <c r="BQ481" s="14" t="s">
        <v>99</v>
      </c>
      <c r="BR481" s="14" t="s">
        <v>124</v>
      </c>
      <c r="BS481" s="14" t="s">
        <v>9183</v>
      </c>
      <c r="BT481" s="14" t="str">
        <f>HYPERLINK("https%3A%2F%2Fwww.webofscience.com%2Fwos%2Fwoscc%2Ffull-record%2FWOS:000222979400026","View Full Record in Web of Science")</f>
        <v>View Full Record in Web of Science</v>
      </c>
    </row>
    <row r="482" ht="12.75" customHeight="1">
      <c r="A482" s="14" t="s">
        <v>97</v>
      </c>
      <c r="B482" s="14" t="s">
        <v>9184</v>
      </c>
      <c r="C482" s="14" t="s">
        <v>99</v>
      </c>
      <c r="D482" s="14" t="s">
        <v>99</v>
      </c>
      <c r="E482" s="14" t="s">
        <v>99</v>
      </c>
      <c r="F482" s="14" t="s">
        <v>9184</v>
      </c>
      <c r="G482" s="14" t="s">
        <v>99</v>
      </c>
      <c r="H482" s="14" t="s">
        <v>99</v>
      </c>
      <c r="I482" s="14" t="s">
        <v>9185</v>
      </c>
      <c r="J482" s="14" t="s">
        <v>2566</v>
      </c>
      <c r="K482" s="14" t="s">
        <v>99</v>
      </c>
      <c r="L482" s="14" t="s">
        <v>99</v>
      </c>
      <c r="M482" s="14" t="s">
        <v>103</v>
      </c>
      <c r="N482" s="14" t="s">
        <v>104</v>
      </c>
      <c r="O482" s="14" t="s">
        <v>99</v>
      </c>
      <c r="P482" s="14" t="s">
        <v>99</v>
      </c>
      <c r="Q482" s="14" t="s">
        <v>99</v>
      </c>
      <c r="R482" s="14" t="s">
        <v>99</v>
      </c>
      <c r="S482" s="14" t="s">
        <v>99</v>
      </c>
      <c r="T482" s="14" t="s">
        <v>99</v>
      </c>
      <c r="U482" s="14" t="s">
        <v>9186</v>
      </c>
      <c r="V482" s="14" t="s">
        <v>9187</v>
      </c>
      <c r="W482" s="14" t="s">
        <v>9188</v>
      </c>
      <c r="X482" s="14" t="s">
        <v>9189</v>
      </c>
      <c r="Y482" s="14" t="s">
        <v>9190</v>
      </c>
      <c r="Z482" s="14" t="s">
        <v>9191</v>
      </c>
      <c r="AA482" s="14" t="s">
        <v>9192</v>
      </c>
      <c r="AB482" s="14" t="s">
        <v>9193</v>
      </c>
      <c r="AC482" s="14" t="s">
        <v>99</v>
      </c>
      <c r="AD482" s="14" t="s">
        <v>99</v>
      </c>
      <c r="AE482" s="14" t="s">
        <v>99</v>
      </c>
      <c r="AF482" s="14" t="s">
        <v>99</v>
      </c>
      <c r="AG482" s="14">
        <v>51.0</v>
      </c>
      <c r="AH482" s="14">
        <v>1770.0</v>
      </c>
      <c r="AI482" s="14">
        <v>2101.0</v>
      </c>
      <c r="AJ482" s="14">
        <v>8.0</v>
      </c>
      <c r="AK482" s="14">
        <v>1323.0</v>
      </c>
      <c r="AL482" s="14" t="s">
        <v>1243</v>
      </c>
      <c r="AM482" s="14" t="s">
        <v>789</v>
      </c>
      <c r="AN482" s="14" t="s">
        <v>1244</v>
      </c>
      <c r="AO482" s="14" t="s">
        <v>2578</v>
      </c>
      <c r="AP482" s="14" t="s">
        <v>2579</v>
      </c>
      <c r="AQ482" s="14" t="s">
        <v>99</v>
      </c>
      <c r="AR482" s="14" t="s">
        <v>2566</v>
      </c>
      <c r="AS482" s="14" t="s">
        <v>2580</v>
      </c>
      <c r="AT482" s="14" t="s">
        <v>9194</v>
      </c>
      <c r="AU482" s="14">
        <v>2004.0</v>
      </c>
      <c r="AV482" s="14">
        <v>305.0</v>
      </c>
      <c r="AW482" s="14">
        <v>5682.0</v>
      </c>
      <c r="AX482" s="14" t="s">
        <v>99</v>
      </c>
      <c r="AY482" s="14" t="s">
        <v>99</v>
      </c>
      <c r="AZ482" s="14" t="s">
        <v>99</v>
      </c>
      <c r="BA482" s="14" t="s">
        <v>99</v>
      </c>
      <c r="BB482" s="14">
        <v>362.0</v>
      </c>
      <c r="BC482" s="14">
        <v>366.0</v>
      </c>
      <c r="BD482" s="14" t="s">
        <v>99</v>
      </c>
      <c r="BE482" s="14" t="s">
        <v>9195</v>
      </c>
      <c r="BF482" s="15" t="str">
        <f>HYPERLINK("http://dx.doi.org/10.1126/science.1097329","http://dx.doi.org/10.1126/science.1097329")</f>
        <v>http://dx.doi.org/10.1126/science.1097329</v>
      </c>
      <c r="BG482" s="14" t="s">
        <v>99</v>
      </c>
      <c r="BH482" s="14" t="s">
        <v>99</v>
      </c>
      <c r="BI482" s="14">
        <v>5.0</v>
      </c>
      <c r="BJ482" s="14" t="s">
        <v>799</v>
      </c>
      <c r="BK482" s="14" t="s">
        <v>122</v>
      </c>
      <c r="BL482" s="14" t="s">
        <v>801</v>
      </c>
      <c r="BM482" s="14" t="s">
        <v>9196</v>
      </c>
      <c r="BN482" s="14">
        <v>1.5256664E7</v>
      </c>
      <c r="BO482" s="14" t="s">
        <v>99</v>
      </c>
      <c r="BP482" s="14" t="s">
        <v>99</v>
      </c>
      <c r="BQ482" s="14" t="s">
        <v>99</v>
      </c>
      <c r="BR482" s="14" t="s">
        <v>124</v>
      </c>
      <c r="BS482" s="14" t="s">
        <v>9197</v>
      </c>
      <c r="BT482" s="14" t="str">
        <f>HYPERLINK("https%3A%2F%2Fwww.webofscience.com%2Fwos%2Fwoscc%2Ffull-record%2FWOS:000222662400029","View Full Record in Web of Science")</f>
        <v>View Full Record in Web of Science</v>
      </c>
    </row>
    <row r="483" ht="12.75" customHeight="1">
      <c r="A483" s="14" t="s">
        <v>97</v>
      </c>
      <c r="B483" s="14" t="s">
        <v>9198</v>
      </c>
      <c r="C483" s="14" t="s">
        <v>99</v>
      </c>
      <c r="D483" s="14" t="s">
        <v>99</v>
      </c>
      <c r="E483" s="14" t="s">
        <v>99</v>
      </c>
      <c r="F483" s="14" t="s">
        <v>9198</v>
      </c>
      <c r="G483" s="14" t="s">
        <v>99</v>
      </c>
      <c r="H483" s="14" t="s">
        <v>99</v>
      </c>
      <c r="I483" s="14" t="s">
        <v>9199</v>
      </c>
      <c r="J483" s="14" t="s">
        <v>3413</v>
      </c>
      <c r="K483" s="14" t="s">
        <v>99</v>
      </c>
      <c r="L483" s="14" t="s">
        <v>99</v>
      </c>
      <c r="M483" s="14" t="s">
        <v>103</v>
      </c>
      <c r="N483" s="14" t="s">
        <v>104</v>
      </c>
      <c r="O483" s="14" t="s">
        <v>99</v>
      </c>
      <c r="P483" s="14" t="s">
        <v>99</v>
      </c>
      <c r="Q483" s="14" t="s">
        <v>99</v>
      </c>
      <c r="R483" s="14" t="s">
        <v>99</v>
      </c>
      <c r="S483" s="14" t="s">
        <v>99</v>
      </c>
      <c r="T483" s="14" t="s">
        <v>9200</v>
      </c>
      <c r="U483" s="14" t="s">
        <v>9201</v>
      </c>
      <c r="V483" s="14" t="s">
        <v>9202</v>
      </c>
      <c r="W483" s="14" t="s">
        <v>9203</v>
      </c>
      <c r="X483" s="14" t="s">
        <v>7201</v>
      </c>
      <c r="Y483" s="14" t="s">
        <v>9204</v>
      </c>
      <c r="Z483" s="14" t="s">
        <v>9205</v>
      </c>
      <c r="AA483" s="14" t="s">
        <v>99</v>
      </c>
      <c r="AB483" s="14" t="s">
        <v>9206</v>
      </c>
      <c r="AC483" s="14" t="s">
        <v>99</v>
      </c>
      <c r="AD483" s="14" t="s">
        <v>99</v>
      </c>
      <c r="AE483" s="14" t="s">
        <v>99</v>
      </c>
      <c r="AF483" s="14" t="s">
        <v>99</v>
      </c>
      <c r="AG483" s="14">
        <v>49.0</v>
      </c>
      <c r="AH483" s="14">
        <v>47.0</v>
      </c>
      <c r="AI483" s="14">
        <v>60.0</v>
      </c>
      <c r="AJ483" s="14">
        <v>2.0</v>
      </c>
      <c r="AK483" s="14">
        <v>70.0</v>
      </c>
      <c r="AL483" s="14" t="s">
        <v>1033</v>
      </c>
      <c r="AM483" s="14" t="s">
        <v>442</v>
      </c>
      <c r="AN483" s="14" t="s">
        <v>1034</v>
      </c>
      <c r="AO483" s="14" t="s">
        <v>3425</v>
      </c>
      <c r="AP483" s="14" t="s">
        <v>99</v>
      </c>
      <c r="AQ483" s="14" t="s">
        <v>99</v>
      </c>
      <c r="AR483" s="14" t="s">
        <v>3427</v>
      </c>
      <c r="AS483" s="14" t="s">
        <v>3428</v>
      </c>
      <c r="AT483" s="14" t="s">
        <v>3233</v>
      </c>
      <c r="AU483" s="14">
        <v>2004.0</v>
      </c>
      <c r="AV483" s="14">
        <v>174.0</v>
      </c>
      <c r="AW483" s="14">
        <v>4.0</v>
      </c>
      <c r="AX483" s="14" t="s">
        <v>99</v>
      </c>
      <c r="AY483" s="14" t="s">
        <v>99</v>
      </c>
      <c r="AZ483" s="14" t="s">
        <v>99</v>
      </c>
      <c r="BA483" s="14" t="s">
        <v>99</v>
      </c>
      <c r="BB483" s="14">
        <v>347.0</v>
      </c>
      <c r="BC483" s="14">
        <v>357.0</v>
      </c>
      <c r="BD483" s="14" t="s">
        <v>99</v>
      </c>
      <c r="BE483" s="14" t="s">
        <v>9207</v>
      </c>
      <c r="BF483" s="15" t="str">
        <f>HYPERLINK("http://dx.doi.org/10.1016/j.ecolmodel.2003.07.012","http://dx.doi.org/10.1016/j.ecolmodel.2003.07.012")</f>
        <v>http://dx.doi.org/10.1016/j.ecolmodel.2003.07.012</v>
      </c>
      <c r="BG483" s="14" t="s">
        <v>99</v>
      </c>
      <c r="BH483" s="14" t="s">
        <v>99</v>
      </c>
      <c r="BI483" s="14">
        <v>11.0</v>
      </c>
      <c r="BJ483" s="14" t="s">
        <v>259</v>
      </c>
      <c r="BK483" s="14" t="s">
        <v>122</v>
      </c>
      <c r="BL483" s="14" t="s">
        <v>260</v>
      </c>
      <c r="BM483" s="14" t="s">
        <v>9208</v>
      </c>
      <c r="BN483" s="14" t="s">
        <v>99</v>
      </c>
      <c r="BO483" s="14" t="s">
        <v>99</v>
      </c>
      <c r="BP483" s="14" t="s">
        <v>99</v>
      </c>
      <c r="BQ483" s="14" t="s">
        <v>99</v>
      </c>
      <c r="BR483" s="14" t="s">
        <v>124</v>
      </c>
      <c r="BS483" s="14" t="s">
        <v>9209</v>
      </c>
      <c r="BT483" s="14" t="str">
        <f>HYPERLINK("https%3A%2F%2Fwww.webofscience.com%2Fwos%2Fwoscc%2Ffull-record%2FWOS:000221284100002","View Full Record in Web of Science")</f>
        <v>View Full Record in Web of Science</v>
      </c>
    </row>
    <row r="484" ht="12.75" customHeight="1">
      <c r="A484" s="14" t="s">
        <v>97</v>
      </c>
      <c r="B484" s="14" t="s">
        <v>9210</v>
      </c>
      <c r="C484" s="14" t="s">
        <v>99</v>
      </c>
      <c r="D484" s="14" t="s">
        <v>99</v>
      </c>
      <c r="E484" s="14" t="s">
        <v>99</v>
      </c>
      <c r="F484" s="14" t="s">
        <v>9210</v>
      </c>
      <c r="G484" s="14" t="s">
        <v>99</v>
      </c>
      <c r="H484" s="14" t="s">
        <v>99</v>
      </c>
      <c r="I484" s="14" t="s">
        <v>9211</v>
      </c>
      <c r="J484" s="14" t="s">
        <v>9212</v>
      </c>
      <c r="K484" s="14" t="s">
        <v>99</v>
      </c>
      <c r="L484" s="14" t="s">
        <v>99</v>
      </c>
      <c r="M484" s="14" t="s">
        <v>103</v>
      </c>
      <c r="N484" s="14" t="s">
        <v>104</v>
      </c>
      <c r="O484" s="14" t="s">
        <v>99</v>
      </c>
      <c r="P484" s="14" t="s">
        <v>99</v>
      </c>
      <c r="Q484" s="14" t="s">
        <v>99</v>
      </c>
      <c r="R484" s="14" t="s">
        <v>99</v>
      </c>
      <c r="S484" s="14" t="s">
        <v>99</v>
      </c>
      <c r="T484" s="14" t="s">
        <v>99</v>
      </c>
      <c r="U484" s="14" t="s">
        <v>9213</v>
      </c>
      <c r="V484" s="14" t="s">
        <v>9214</v>
      </c>
      <c r="W484" s="14" t="s">
        <v>9215</v>
      </c>
      <c r="X484" s="14" t="s">
        <v>9216</v>
      </c>
      <c r="Y484" s="14" t="s">
        <v>9217</v>
      </c>
      <c r="Z484" s="14" t="s">
        <v>7872</v>
      </c>
      <c r="AA484" s="14" t="s">
        <v>9218</v>
      </c>
      <c r="AB484" s="14" t="s">
        <v>9219</v>
      </c>
      <c r="AC484" s="14" t="s">
        <v>99</v>
      </c>
      <c r="AD484" s="14" t="s">
        <v>99</v>
      </c>
      <c r="AE484" s="14" t="s">
        <v>99</v>
      </c>
      <c r="AF484" s="14" t="s">
        <v>99</v>
      </c>
      <c r="AG484" s="14">
        <v>55.0</v>
      </c>
      <c r="AH484" s="14">
        <v>48.0</v>
      </c>
      <c r="AI484" s="14">
        <v>61.0</v>
      </c>
      <c r="AJ484" s="14">
        <v>1.0</v>
      </c>
      <c r="AK484" s="14">
        <v>29.0</v>
      </c>
      <c r="AL484" s="14" t="s">
        <v>8747</v>
      </c>
      <c r="AM484" s="14" t="s">
        <v>8709</v>
      </c>
      <c r="AN484" s="14" t="s">
        <v>8748</v>
      </c>
      <c r="AO484" s="14" t="s">
        <v>9220</v>
      </c>
      <c r="AP484" s="14" t="s">
        <v>9221</v>
      </c>
      <c r="AQ484" s="14" t="s">
        <v>99</v>
      </c>
      <c r="AR484" s="14" t="s">
        <v>9222</v>
      </c>
      <c r="AS484" s="14" t="s">
        <v>9223</v>
      </c>
      <c r="AT484" s="14" t="s">
        <v>616</v>
      </c>
      <c r="AU484" s="14">
        <v>2004.0</v>
      </c>
      <c r="AV484" s="14">
        <v>82.0</v>
      </c>
      <c r="AW484" s="14">
        <v>6.0</v>
      </c>
      <c r="AX484" s="14" t="s">
        <v>99</v>
      </c>
      <c r="AY484" s="14" t="s">
        <v>99</v>
      </c>
      <c r="AZ484" s="14" t="s">
        <v>99</v>
      </c>
      <c r="BA484" s="14" t="s">
        <v>99</v>
      </c>
      <c r="BB484" s="14">
        <v>851.0</v>
      </c>
      <c r="BC484" s="14">
        <v>858.0</v>
      </c>
      <c r="BD484" s="14" t="s">
        <v>99</v>
      </c>
      <c r="BE484" s="14" t="s">
        <v>9224</v>
      </c>
      <c r="BF484" s="15" t="str">
        <f>HYPERLINK("http://dx.doi.org/10.1139/Z04-064","http://dx.doi.org/10.1139/Z04-064")</f>
        <v>http://dx.doi.org/10.1139/Z04-064</v>
      </c>
      <c r="BG484" s="14" t="s">
        <v>99</v>
      </c>
      <c r="BH484" s="14" t="s">
        <v>99</v>
      </c>
      <c r="BI484" s="14">
        <v>8.0</v>
      </c>
      <c r="BJ484" s="14" t="s">
        <v>121</v>
      </c>
      <c r="BK484" s="14" t="s">
        <v>122</v>
      </c>
      <c r="BL484" s="14" t="s">
        <v>121</v>
      </c>
      <c r="BM484" s="14" t="s">
        <v>9225</v>
      </c>
      <c r="BN484" s="14" t="s">
        <v>99</v>
      </c>
      <c r="BO484" s="14" t="s">
        <v>425</v>
      </c>
      <c r="BP484" s="14" t="s">
        <v>99</v>
      </c>
      <c r="BQ484" s="14" t="s">
        <v>99</v>
      </c>
      <c r="BR484" s="14" t="s">
        <v>124</v>
      </c>
      <c r="BS484" s="14" t="s">
        <v>9226</v>
      </c>
      <c r="BT484" s="14" t="str">
        <f>HYPERLINK("https%3A%2F%2Fwww.webofscience.com%2Fwos%2Fwoscc%2Ffull-record%2FWOS:000223983200003","View Full Record in Web of Science")</f>
        <v>View Full Record in Web of Science</v>
      </c>
    </row>
    <row r="485" ht="12.75" customHeight="1">
      <c r="A485" s="14" t="s">
        <v>97</v>
      </c>
      <c r="B485" s="14" t="s">
        <v>9227</v>
      </c>
      <c r="C485" s="14" t="s">
        <v>99</v>
      </c>
      <c r="D485" s="14" t="s">
        <v>99</v>
      </c>
      <c r="E485" s="14" t="s">
        <v>99</v>
      </c>
      <c r="F485" s="14" t="s">
        <v>9227</v>
      </c>
      <c r="G485" s="14" t="s">
        <v>99</v>
      </c>
      <c r="H485" s="14" t="s">
        <v>99</v>
      </c>
      <c r="I485" s="14" t="s">
        <v>9228</v>
      </c>
      <c r="J485" s="14" t="s">
        <v>3355</v>
      </c>
      <c r="K485" s="14" t="s">
        <v>99</v>
      </c>
      <c r="L485" s="14" t="s">
        <v>99</v>
      </c>
      <c r="M485" s="14" t="s">
        <v>103</v>
      </c>
      <c r="N485" s="14" t="s">
        <v>104</v>
      </c>
      <c r="O485" s="14" t="s">
        <v>99</v>
      </c>
      <c r="P485" s="14" t="s">
        <v>99</v>
      </c>
      <c r="Q485" s="14" t="s">
        <v>99</v>
      </c>
      <c r="R485" s="14" t="s">
        <v>99</v>
      </c>
      <c r="S485" s="14" t="s">
        <v>99</v>
      </c>
      <c r="T485" s="14" t="s">
        <v>99</v>
      </c>
      <c r="U485" s="14" t="s">
        <v>9229</v>
      </c>
      <c r="V485" s="14" t="s">
        <v>9230</v>
      </c>
      <c r="W485" s="14" t="s">
        <v>9231</v>
      </c>
      <c r="X485" s="14" t="s">
        <v>9232</v>
      </c>
      <c r="Y485" s="14" t="s">
        <v>9233</v>
      </c>
      <c r="Z485" s="14" t="s">
        <v>9234</v>
      </c>
      <c r="AA485" s="14" t="s">
        <v>8355</v>
      </c>
      <c r="AB485" s="14" t="s">
        <v>8356</v>
      </c>
      <c r="AC485" s="14" t="s">
        <v>99</v>
      </c>
      <c r="AD485" s="14" t="s">
        <v>99</v>
      </c>
      <c r="AE485" s="14" t="s">
        <v>99</v>
      </c>
      <c r="AF485" s="14" t="s">
        <v>99</v>
      </c>
      <c r="AG485" s="14">
        <v>83.0</v>
      </c>
      <c r="AH485" s="14">
        <v>207.0</v>
      </c>
      <c r="AI485" s="14">
        <v>232.0</v>
      </c>
      <c r="AJ485" s="14">
        <v>0.0</v>
      </c>
      <c r="AK485" s="14">
        <v>94.0</v>
      </c>
      <c r="AL485" s="14" t="s">
        <v>341</v>
      </c>
      <c r="AM485" s="14" t="s">
        <v>342</v>
      </c>
      <c r="AN485" s="14" t="s">
        <v>343</v>
      </c>
      <c r="AO485" s="14" t="s">
        <v>3367</v>
      </c>
      <c r="AP485" s="14" t="s">
        <v>3368</v>
      </c>
      <c r="AQ485" s="14" t="s">
        <v>99</v>
      </c>
      <c r="AR485" s="14" t="s">
        <v>3355</v>
      </c>
      <c r="AS485" s="14" t="s">
        <v>3369</v>
      </c>
      <c r="AT485" s="14" t="s">
        <v>616</v>
      </c>
      <c r="AU485" s="14">
        <v>2004.0</v>
      </c>
      <c r="AV485" s="14">
        <v>27.0</v>
      </c>
      <c r="AW485" s="14">
        <v>3.0</v>
      </c>
      <c r="AX485" s="14" t="s">
        <v>99</v>
      </c>
      <c r="AY485" s="14" t="s">
        <v>99</v>
      </c>
      <c r="AZ485" s="14" t="s">
        <v>99</v>
      </c>
      <c r="BA485" s="14" t="s">
        <v>99</v>
      </c>
      <c r="BB485" s="14">
        <v>366.0</v>
      </c>
      <c r="BC485" s="14">
        <v>380.0</v>
      </c>
      <c r="BD485" s="14" t="s">
        <v>99</v>
      </c>
      <c r="BE485" s="14" t="s">
        <v>9235</v>
      </c>
      <c r="BF485" s="15" t="str">
        <f>HYPERLINK("http://dx.doi.org/10.1111/j.0906-7590.2004.03823.x","http://dx.doi.org/10.1111/j.0906-7590.2004.03823.x")</f>
        <v>http://dx.doi.org/10.1111/j.0906-7590.2004.03823.x</v>
      </c>
      <c r="BG485" s="14" t="s">
        <v>99</v>
      </c>
      <c r="BH485" s="14" t="s">
        <v>99</v>
      </c>
      <c r="BI485" s="14">
        <v>15.0</v>
      </c>
      <c r="BJ485" s="14" t="s">
        <v>550</v>
      </c>
      <c r="BK485" s="14" t="s">
        <v>122</v>
      </c>
      <c r="BL485" s="14" t="s">
        <v>352</v>
      </c>
      <c r="BM485" s="14" t="s">
        <v>9236</v>
      </c>
      <c r="BN485" s="14" t="s">
        <v>99</v>
      </c>
      <c r="BO485" s="14" t="s">
        <v>99</v>
      </c>
      <c r="BP485" s="14" t="s">
        <v>99</v>
      </c>
      <c r="BQ485" s="14" t="s">
        <v>99</v>
      </c>
      <c r="BR485" s="14" t="s">
        <v>124</v>
      </c>
      <c r="BS485" s="14" t="s">
        <v>9237</v>
      </c>
      <c r="BT485" s="14" t="str">
        <f>HYPERLINK("https%3A%2F%2Fwww.webofscience.com%2Fwos%2Fwoscc%2Ffull-record%2FWOS:000221421200010","View Full Record in Web of Science")</f>
        <v>View Full Record in Web of Science</v>
      </c>
    </row>
    <row r="486" ht="12.75" customHeight="1">
      <c r="A486" s="14" t="s">
        <v>97</v>
      </c>
      <c r="B486" s="14" t="s">
        <v>9238</v>
      </c>
      <c r="C486" s="14" t="s">
        <v>99</v>
      </c>
      <c r="D486" s="14" t="s">
        <v>99</v>
      </c>
      <c r="E486" s="14" t="s">
        <v>99</v>
      </c>
      <c r="F486" s="14" t="s">
        <v>9238</v>
      </c>
      <c r="G486" s="14" t="s">
        <v>99</v>
      </c>
      <c r="H486" s="14" t="s">
        <v>99</v>
      </c>
      <c r="I486" s="14" t="s">
        <v>9239</v>
      </c>
      <c r="J486" s="14" t="s">
        <v>5603</v>
      </c>
      <c r="K486" s="14" t="s">
        <v>99</v>
      </c>
      <c r="L486" s="14" t="s">
        <v>99</v>
      </c>
      <c r="M486" s="14" t="s">
        <v>103</v>
      </c>
      <c r="N486" s="14" t="s">
        <v>104</v>
      </c>
      <c r="O486" s="14" t="s">
        <v>99</v>
      </c>
      <c r="P486" s="14" t="s">
        <v>99</v>
      </c>
      <c r="Q486" s="14" t="s">
        <v>99</v>
      </c>
      <c r="R486" s="14" t="s">
        <v>99</v>
      </c>
      <c r="S486" s="14" t="s">
        <v>99</v>
      </c>
      <c r="T486" s="14" t="s">
        <v>9240</v>
      </c>
      <c r="U486" s="14" t="s">
        <v>9241</v>
      </c>
      <c r="V486" s="14" t="s">
        <v>9242</v>
      </c>
      <c r="W486" s="14" t="s">
        <v>9243</v>
      </c>
      <c r="X486" s="14" t="s">
        <v>9244</v>
      </c>
      <c r="Y486" s="14" t="s">
        <v>9245</v>
      </c>
      <c r="Z486" s="14" t="s">
        <v>9246</v>
      </c>
      <c r="AA486" s="14" t="s">
        <v>9247</v>
      </c>
      <c r="AB486" s="14" t="s">
        <v>9248</v>
      </c>
      <c r="AC486" s="14" t="s">
        <v>99</v>
      </c>
      <c r="AD486" s="14" t="s">
        <v>99</v>
      </c>
      <c r="AE486" s="14" t="s">
        <v>99</v>
      </c>
      <c r="AF486" s="14" t="s">
        <v>99</v>
      </c>
      <c r="AG486" s="14">
        <v>64.0</v>
      </c>
      <c r="AH486" s="14">
        <v>49.0</v>
      </c>
      <c r="AI486" s="14">
        <v>53.0</v>
      </c>
      <c r="AJ486" s="14">
        <v>0.0</v>
      </c>
      <c r="AK486" s="14">
        <v>38.0</v>
      </c>
      <c r="AL486" s="14" t="s">
        <v>441</v>
      </c>
      <c r="AM486" s="14" t="s">
        <v>442</v>
      </c>
      <c r="AN486" s="14" t="s">
        <v>443</v>
      </c>
      <c r="AO486" s="14" t="s">
        <v>5616</v>
      </c>
      <c r="AP486" s="14" t="s">
        <v>5617</v>
      </c>
      <c r="AQ486" s="14" t="s">
        <v>99</v>
      </c>
      <c r="AR486" s="14" t="s">
        <v>5618</v>
      </c>
      <c r="AS486" s="14" t="s">
        <v>5619</v>
      </c>
      <c r="AT486" s="14" t="s">
        <v>640</v>
      </c>
      <c r="AU486" s="14">
        <v>2004.0</v>
      </c>
      <c r="AV486" s="14">
        <v>102.0</v>
      </c>
      <c r="AW486" s="14">
        <v>3.0</v>
      </c>
      <c r="AX486" s="14" t="s">
        <v>99</v>
      </c>
      <c r="AY486" s="14" t="s">
        <v>99</v>
      </c>
      <c r="AZ486" s="14" t="s">
        <v>99</v>
      </c>
      <c r="BA486" s="14" t="s">
        <v>99</v>
      </c>
      <c r="BB486" s="14">
        <v>263.0</v>
      </c>
      <c r="BC486" s="14">
        <v>277.0</v>
      </c>
      <c r="BD486" s="14" t="s">
        <v>99</v>
      </c>
      <c r="BE486" s="14" t="s">
        <v>9249</v>
      </c>
      <c r="BF486" s="15" t="str">
        <f>HYPERLINK("http://dx.doi.org/10.1016/j.agee.2003.09.014","http://dx.doi.org/10.1016/j.agee.2003.09.014")</f>
        <v>http://dx.doi.org/10.1016/j.agee.2003.09.014</v>
      </c>
      <c r="BG486" s="14" t="s">
        <v>99</v>
      </c>
      <c r="BH486" s="14" t="s">
        <v>99</v>
      </c>
      <c r="BI486" s="14">
        <v>15.0</v>
      </c>
      <c r="BJ486" s="14" t="s">
        <v>5622</v>
      </c>
      <c r="BK486" s="14" t="s">
        <v>122</v>
      </c>
      <c r="BL486" s="14" t="s">
        <v>5623</v>
      </c>
      <c r="BM486" s="14" t="s">
        <v>9250</v>
      </c>
      <c r="BN486" s="14" t="s">
        <v>99</v>
      </c>
      <c r="BO486" s="14" t="s">
        <v>99</v>
      </c>
      <c r="BP486" s="14" t="s">
        <v>99</v>
      </c>
      <c r="BQ486" s="14" t="s">
        <v>99</v>
      </c>
      <c r="BR486" s="14" t="s">
        <v>124</v>
      </c>
      <c r="BS486" s="14" t="s">
        <v>9251</v>
      </c>
      <c r="BT486" s="14" t="str">
        <f>HYPERLINK("https%3A%2F%2Fwww.webofscience.com%2Fwos%2Fwoscc%2Ffull-record%2FWOS:000220873500003","View Full Record in Web of Science")</f>
        <v>View Full Record in Web of Science</v>
      </c>
    </row>
    <row r="487" ht="12.75" customHeight="1">
      <c r="A487" s="14" t="s">
        <v>97</v>
      </c>
      <c r="B487" s="14" t="s">
        <v>9252</v>
      </c>
      <c r="C487" s="14" t="s">
        <v>99</v>
      </c>
      <c r="D487" s="14" t="s">
        <v>99</v>
      </c>
      <c r="E487" s="14" t="s">
        <v>99</v>
      </c>
      <c r="F487" s="14" t="s">
        <v>9252</v>
      </c>
      <c r="G487" s="14" t="s">
        <v>99</v>
      </c>
      <c r="H487" s="14" t="s">
        <v>99</v>
      </c>
      <c r="I487" s="14" t="s">
        <v>9253</v>
      </c>
      <c r="J487" s="14" t="s">
        <v>1102</v>
      </c>
      <c r="K487" s="14" t="s">
        <v>99</v>
      </c>
      <c r="L487" s="14" t="s">
        <v>99</v>
      </c>
      <c r="M487" s="14" t="s">
        <v>103</v>
      </c>
      <c r="N487" s="14" t="s">
        <v>104</v>
      </c>
      <c r="O487" s="14" t="s">
        <v>99</v>
      </c>
      <c r="P487" s="14" t="s">
        <v>99</v>
      </c>
      <c r="Q487" s="14" t="s">
        <v>99</v>
      </c>
      <c r="R487" s="14" t="s">
        <v>99</v>
      </c>
      <c r="S487" s="14" t="s">
        <v>99</v>
      </c>
      <c r="T487" s="14" t="s">
        <v>9254</v>
      </c>
      <c r="U487" s="14" t="s">
        <v>9255</v>
      </c>
      <c r="V487" s="14" t="s">
        <v>9256</v>
      </c>
      <c r="W487" s="14" t="s">
        <v>9257</v>
      </c>
      <c r="X487" s="14" t="s">
        <v>9258</v>
      </c>
      <c r="Y487" s="14" t="s">
        <v>9259</v>
      </c>
      <c r="Z487" s="14" t="s">
        <v>9260</v>
      </c>
      <c r="AA487" s="14" t="s">
        <v>9261</v>
      </c>
      <c r="AB487" s="14" t="s">
        <v>99</v>
      </c>
      <c r="AC487" s="14" t="s">
        <v>99</v>
      </c>
      <c r="AD487" s="14" t="s">
        <v>99</v>
      </c>
      <c r="AE487" s="14" t="s">
        <v>99</v>
      </c>
      <c r="AF487" s="14" t="s">
        <v>99</v>
      </c>
      <c r="AG487" s="14">
        <v>54.0</v>
      </c>
      <c r="AH487" s="14">
        <v>222.0</v>
      </c>
      <c r="AI487" s="14">
        <v>239.0</v>
      </c>
      <c r="AJ487" s="14">
        <v>0.0</v>
      </c>
      <c r="AK487" s="14">
        <v>52.0</v>
      </c>
      <c r="AL487" s="14" t="s">
        <v>493</v>
      </c>
      <c r="AM487" s="14" t="s">
        <v>468</v>
      </c>
      <c r="AN487" s="14" t="s">
        <v>635</v>
      </c>
      <c r="AO487" s="14" t="s">
        <v>1112</v>
      </c>
      <c r="AP487" s="14" t="s">
        <v>99</v>
      </c>
      <c r="AQ487" s="14" t="s">
        <v>99</v>
      </c>
      <c r="AR487" s="14" t="s">
        <v>1114</v>
      </c>
      <c r="AS487" s="14" t="s">
        <v>1115</v>
      </c>
      <c r="AT487" s="14" t="s">
        <v>640</v>
      </c>
      <c r="AU487" s="14">
        <v>2004.0</v>
      </c>
      <c r="AV487" s="14">
        <v>117.0</v>
      </c>
      <c r="AW487" s="14">
        <v>3.0</v>
      </c>
      <c r="AX487" s="14" t="s">
        <v>99</v>
      </c>
      <c r="AY487" s="14" t="s">
        <v>99</v>
      </c>
      <c r="AZ487" s="14" t="s">
        <v>99</v>
      </c>
      <c r="BA487" s="14" t="s">
        <v>99</v>
      </c>
      <c r="BB487" s="14">
        <v>271.0</v>
      </c>
      <c r="BC487" s="14">
        <v>283.0</v>
      </c>
      <c r="BD487" s="14" t="s">
        <v>99</v>
      </c>
      <c r="BE487" s="14" t="s">
        <v>9262</v>
      </c>
      <c r="BF487" s="15" t="str">
        <f>HYPERLINK("http://dx.doi.org/10.1016/j.biocon.2003.12.007","http://dx.doi.org/10.1016/j.biocon.2003.12.007")</f>
        <v>http://dx.doi.org/10.1016/j.biocon.2003.12.007</v>
      </c>
      <c r="BG487" s="14" t="s">
        <v>99</v>
      </c>
      <c r="BH487" s="14" t="s">
        <v>99</v>
      </c>
      <c r="BI487" s="14">
        <v>13.0</v>
      </c>
      <c r="BJ487" s="14" t="s">
        <v>351</v>
      </c>
      <c r="BK487" s="14" t="s">
        <v>122</v>
      </c>
      <c r="BL487" s="14" t="s">
        <v>352</v>
      </c>
      <c r="BM487" s="14" t="s">
        <v>9263</v>
      </c>
      <c r="BN487" s="14" t="s">
        <v>99</v>
      </c>
      <c r="BO487" s="14" t="s">
        <v>99</v>
      </c>
      <c r="BP487" s="14" t="s">
        <v>99</v>
      </c>
      <c r="BQ487" s="14" t="s">
        <v>99</v>
      </c>
      <c r="BR487" s="14" t="s">
        <v>124</v>
      </c>
      <c r="BS487" s="14" t="s">
        <v>9264</v>
      </c>
      <c r="BT487" s="14" t="str">
        <f>HYPERLINK("https%3A%2F%2Fwww.webofscience.com%2Fwos%2Fwoscc%2Ffull-record%2FWOS:000220702900006","View Full Record in Web of Science")</f>
        <v>View Full Record in Web of Science</v>
      </c>
    </row>
    <row r="488" ht="12.75" customHeight="1">
      <c r="A488" s="14" t="s">
        <v>97</v>
      </c>
      <c r="B488" s="14" t="s">
        <v>9265</v>
      </c>
      <c r="C488" s="14" t="s">
        <v>99</v>
      </c>
      <c r="D488" s="14" t="s">
        <v>99</v>
      </c>
      <c r="E488" s="14" t="s">
        <v>99</v>
      </c>
      <c r="F488" s="14" t="s">
        <v>9265</v>
      </c>
      <c r="G488" s="14" t="s">
        <v>99</v>
      </c>
      <c r="H488" s="14" t="s">
        <v>99</v>
      </c>
      <c r="I488" s="14" t="s">
        <v>9266</v>
      </c>
      <c r="J488" s="14" t="s">
        <v>5708</v>
      </c>
      <c r="K488" s="14" t="s">
        <v>99</v>
      </c>
      <c r="L488" s="14" t="s">
        <v>99</v>
      </c>
      <c r="M488" s="14" t="s">
        <v>103</v>
      </c>
      <c r="N488" s="14" t="s">
        <v>104</v>
      </c>
      <c r="O488" s="14" t="s">
        <v>99</v>
      </c>
      <c r="P488" s="14" t="s">
        <v>99</v>
      </c>
      <c r="Q488" s="14" t="s">
        <v>99</v>
      </c>
      <c r="R488" s="14" t="s">
        <v>99</v>
      </c>
      <c r="S488" s="14" t="s">
        <v>99</v>
      </c>
      <c r="T488" s="14" t="s">
        <v>9267</v>
      </c>
      <c r="U488" s="14" t="s">
        <v>9268</v>
      </c>
      <c r="V488" s="14" t="s">
        <v>9269</v>
      </c>
      <c r="W488" s="14" t="s">
        <v>9270</v>
      </c>
      <c r="X488" s="14" t="s">
        <v>9271</v>
      </c>
      <c r="Y488" s="14" t="s">
        <v>9272</v>
      </c>
      <c r="Z488" s="14" t="s">
        <v>9273</v>
      </c>
      <c r="AA488" s="14" t="s">
        <v>99</v>
      </c>
      <c r="AB488" s="14" t="s">
        <v>9274</v>
      </c>
      <c r="AC488" s="14" t="s">
        <v>99</v>
      </c>
      <c r="AD488" s="14" t="s">
        <v>99</v>
      </c>
      <c r="AE488" s="14" t="s">
        <v>99</v>
      </c>
      <c r="AF488" s="14" t="s">
        <v>99</v>
      </c>
      <c r="AG488" s="14">
        <v>42.0</v>
      </c>
      <c r="AH488" s="14">
        <v>54.0</v>
      </c>
      <c r="AI488" s="14">
        <v>70.0</v>
      </c>
      <c r="AJ488" s="14">
        <v>1.0</v>
      </c>
      <c r="AK488" s="14">
        <v>43.0</v>
      </c>
      <c r="AL488" s="14" t="s">
        <v>9275</v>
      </c>
      <c r="AM488" s="14" t="s">
        <v>468</v>
      </c>
      <c r="AN488" s="14" t="s">
        <v>9276</v>
      </c>
      <c r="AO488" s="14" t="s">
        <v>5719</v>
      </c>
      <c r="AP488" s="14" t="s">
        <v>99</v>
      </c>
      <c r="AQ488" s="14" t="s">
        <v>99</v>
      </c>
      <c r="AR488" s="14" t="s">
        <v>5721</v>
      </c>
      <c r="AS488" s="14" t="s">
        <v>5722</v>
      </c>
      <c r="AT488" s="14" t="s">
        <v>1485</v>
      </c>
      <c r="AU488" s="14">
        <v>2004.0</v>
      </c>
      <c r="AV488" s="14">
        <v>42.0</v>
      </c>
      <c r="AW488" s="14">
        <v>1.0</v>
      </c>
      <c r="AX488" s="14" t="s">
        <v>99</v>
      </c>
      <c r="AY488" s="14" t="s">
        <v>99</v>
      </c>
      <c r="AZ488" s="14" t="s">
        <v>99</v>
      </c>
      <c r="BA488" s="14" t="s">
        <v>99</v>
      </c>
      <c r="BB488" s="14">
        <v>23.0</v>
      </c>
      <c r="BC488" s="14">
        <v>31.0</v>
      </c>
      <c r="BD488" s="14" t="s">
        <v>99</v>
      </c>
      <c r="BE488" s="14" t="s">
        <v>9277</v>
      </c>
      <c r="BF488" s="15" t="str">
        <f>HYPERLINK("http://dx.doi.org/10.1111/j.0141-6707.2004.00441.x","http://dx.doi.org/10.1111/j.0141-6707.2004.00441.x")</f>
        <v>http://dx.doi.org/10.1111/j.0141-6707.2004.00441.x</v>
      </c>
      <c r="BG488" s="14" t="s">
        <v>99</v>
      </c>
      <c r="BH488" s="14" t="s">
        <v>99</v>
      </c>
      <c r="BI488" s="14">
        <v>9.0</v>
      </c>
      <c r="BJ488" s="14" t="s">
        <v>259</v>
      </c>
      <c r="BK488" s="14" t="s">
        <v>122</v>
      </c>
      <c r="BL488" s="14" t="s">
        <v>260</v>
      </c>
      <c r="BM488" s="14" t="s">
        <v>9278</v>
      </c>
      <c r="BN488" s="14" t="s">
        <v>99</v>
      </c>
      <c r="BO488" s="14" t="s">
        <v>99</v>
      </c>
      <c r="BP488" s="14" t="s">
        <v>99</v>
      </c>
      <c r="BQ488" s="14" t="s">
        <v>99</v>
      </c>
      <c r="BR488" s="14" t="s">
        <v>124</v>
      </c>
      <c r="BS488" s="14" t="s">
        <v>9279</v>
      </c>
      <c r="BT488" s="14" t="str">
        <f>HYPERLINK("https%3A%2F%2Fwww.webofscience.com%2Fwos%2Fwoscc%2Ffull-record%2FWOS:000220627900003","View Full Record in Web of Science")</f>
        <v>View Full Record in Web of Science</v>
      </c>
    </row>
    <row r="489" ht="12.75" customHeight="1">
      <c r="A489" s="14" t="s">
        <v>97</v>
      </c>
      <c r="B489" s="14" t="s">
        <v>9280</v>
      </c>
      <c r="C489" s="14" t="s">
        <v>99</v>
      </c>
      <c r="D489" s="14" t="s">
        <v>99</v>
      </c>
      <c r="E489" s="14" t="s">
        <v>99</v>
      </c>
      <c r="F489" s="14" t="s">
        <v>9280</v>
      </c>
      <c r="G489" s="14" t="s">
        <v>99</v>
      </c>
      <c r="H489" s="14" t="s">
        <v>99</v>
      </c>
      <c r="I489" s="14" t="s">
        <v>9281</v>
      </c>
      <c r="J489" s="14" t="s">
        <v>430</v>
      </c>
      <c r="K489" s="14" t="s">
        <v>99</v>
      </c>
      <c r="L489" s="14" t="s">
        <v>99</v>
      </c>
      <c r="M489" s="14" t="s">
        <v>103</v>
      </c>
      <c r="N489" s="14" t="s">
        <v>104</v>
      </c>
      <c r="O489" s="14" t="s">
        <v>99</v>
      </c>
      <c r="P489" s="14" t="s">
        <v>99</v>
      </c>
      <c r="Q489" s="14" t="s">
        <v>99</v>
      </c>
      <c r="R489" s="14" t="s">
        <v>99</v>
      </c>
      <c r="S489" s="14" t="s">
        <v>99</v>
      </c>
      <c r="T489" s="14" t="s">
        <v>9282</v>
      </c>
      <c r="U489" s="14" t="s">
        <v>9283</v>
      </c>
      <c r="V489" s="14" t="s">
        <v>9284</v>
      </c>
      <c r="W489" s="14" t="s">
        <v>9285</v>
      </c>
      <c r="X489" s="14" t="s">
        <v>9286</v>
      </c>
      <c r="Y489" s="14" t="s">
        <v>9287</v>
      </c>
      <c r="Z489" s="14" t="s">
        <v>9288</v>
      </c>
      <c r="AA489" s="14" t="s">
        <v>9289</v>
      </c>
      <c r="AB489" s="14" t="s">
        <v>99</v>
      </c>
      <c r="AC489" s="14" t="s">
        <v>99</v>
      </c>
      <c r="AD489" s="14" t="s">
        <v>99</v>
      </c>
      <c r="AE489" s="14" t="s">
        <v>99</v>
      </c>
      <c r="AF489" s="14" t="s">
        <v>99</v>
      </c>
      <c r="AG489" s="14">
        <v>32.0</v>
      </c>
      <c r="AH489" s="14">
        <v>52.0</v>
      </c>
      <c r="AI489" s="14">
        <v>57.0</v>
      </c>
      <c r="AJ489" s="14">
        <v>0.0</v>
      </c>
      <c r="AK489" s="14">
        <v>24.0</v>
      </c>
      <c r="AL489" s="14" t="s">
        <v>441</v>
      </c>
      <c r="AM489" s="14" t="s">
        <v>442</v>
      </c>
      <c r="AN489" s="14" t="s">
        <v>443</v>
      </c>
      <c r="AO489" s="14" t="s">
        <v>444</v>
      </c>
      <c r="AP489" s="14" t="s">
        <v>445</v>
      </c>
      <c r="AQ489" s="14" t="s">
        <v>99</v>
      </c>
      <c r="AR489" s="14" t="s">
        <v>446</v>
      </c>
      <c r="AS489" s="14" t="s">
        <v>447</v>
      </c>
      <c r="AT489" s="14" t="s">
        <v>9290</v>
      </c>
      <c r="AU489" s="14">
        <v>2004.0</v>
      </c>
      <c r="AV489" s="14">
        <v>187.0</v>
      </c>
      <c r="AW489" s="14" t="s">
        <v>7889</v>
      </c>
      <c r="AX489" s="14" t="s">
        <v>99</v>
      </c>
      <c r="AY489" s="14" t="s">
        <v>99</v>
      </c>
      <c r="AZ489" s="14" t="s">
        <v>99</v>
      </c>
      <c r="BA489" s="14" t="s">
        <v>99</v>
      </c>
      <c r="BB489" s="14">
        <v>213.0</v>
      </c>
      <c r="BC489" s="14">
        <v>223.0</v>
      </c>
      <c r="BD489" s="14" t="s">
        <v>99</v>
      </c>
      <c r="BE489" s="14" t="s">
        <v>9291</v>
      </c>
      <c r="BF489" s="15" t="str">
        <f>HYPERLINK("http://dx.doi.org/10.1016/S0378-1127(03)00333-5","http://dx.doi.org/10.1016/S0378-1127(03)00333-5")</f>
        <v>http://dx.doi.org/10.1016/S0378-1127(03)00333-5</v>
      </c>
      <c r="BG489" s="14" t="s">
        <v>99</v>
      </c>
      <c r="BH489" s="14" t="s">
        <v>99</v>
      </c>
      <c r="BI489" s="14">
        <v>11.0</v>
      </c>
      <c r="BJ489" s="14" t="s">
        <v>281</v>
      </c>
      <c r="BK489" s="14" t="s">
        <v>122</v>
      </c>
      <c r="BL489" s="14" t="s">
        <v>281</v>
      </c>
      <c r="BM489" s="14" t="s">
        <v>9292</v>
      </c>
      <c r="BN489" s="14" t="s">
        <v>99</v>
      </c>
      <c r="BO489" s="14" t="s">
        <v>99</v>
      </c>
      <c r="BP489" s="14" t="s">
        <v>99</v>
      </c>
      <c r="BQ489" s="14" t="s">
        <v>99</v>
      </c>
      <c r="BR489" s="14" t="s">
        <v>124</v>
      </c>
      <c r="BS489" s="14" t="s">
        <v>9293</v>
      </c>
      <c r="BT489" s="14" t="str">
        <f>HYPERLINK("https%3A%2F%2Fwww.webofscience.com%2Fwos%2Fwoscc%2Ffull-record%2FWOS:000187914900007","View Full Record in Web of Science")</f>
        <v>View Full Record in Web of Science</v>
      </c>
    </row>
    <row r="490" ht="12.75" customHeight="1">
      <c r="A490" s="14" t="s">
        <v>97</v>
      </c>
      <c r="B490" s="14" t="s">
        <v>9294</v>
      </c>
      <c r="C490" s="14" t="s">
        <v>99</v>
      </c>
      <c r="D490" s="14" t="s">
        <v>99</v>
      </c>
      <c r="E490" s="14" t="s">
        <v>99</v>
      </c>
      <c r="F490" s="14" t="s">
        <v>9294</v>
      </c>
      <c r="G490" s="14" t="s">
        <v>99</v>
      </c>
      <c r="H490" s="14" t="s">
        <v>99</v>
      </c>
      <c r="I490" s="14" t="s">
        <v>9295</v>
      </c>
      <c r="J490" s="14" t="s">
        <v>900</v>
      </c>
      <c r="K490" s="14" t="s">
        <v>99</v>
      </c>
      <c r="L490" s="14" t="s">
        <v>99</v>
      </c>
      <c r="M490" s="14" t="s">
        <v>103</v>
      </c>
      <c r="N490" s="14" t="s">
        <v>104</v>
      </c>
      <c r="O490" s="14" t="s">
        <v>99</v>
      </c>
      <c r="P490" s="14" t="s">
        <v>99</v>
      </c>
      <c r="Q490" s="14" t="s">
        <v>99</v>
      </c>
      <c r="R490" s="14" t="s">
        <v>99</v>
      </c>
      <c r="S490" s="14" t="s">
        <v>99</v>
      </c>
      <c r="T490" s="14" t="s">
        <v>99</v>
      </c>
      <c r="U490" s="14" t="s">
        <v>9296</v>
      </c>
      <c r="V490" s="14" t="s">
        <v>9297</v>
      </c>
      <c r="W490" s="14" t="s">
        <v>9298</v>
      </c>
      <c r="X490" s="14" t="s">
        <v>9299</v>
      </c>
      <c r="Y490" s="14" t="s">
        <v>9300</v>
      </c>
      <c r="Z490" s="14" t="s">
        <v>9301</v>
      </c>
      <c r="AA490" s="14" t="s">
        <v>9302</v>
      </c>
      <c r="AB490" s="14" t="s">
        <v>9303</v>
      </c>
      <c r="AC490" s="14" t="s">
        <v>9304</v>
      </c>
      <c r="AD490" s="14" t="s">
        <v>9305</v>
      </c>
      <c r="AE490" s="14" t="s">
        <v>99</v>
      </c>
      <c r="AF490" s="14" t="s">
        <v>99</v>
      </c>
      <c r="AG490" s="14">
        <v>30.0</v>
      </c>
      <c r="AH490" s="14">
        <v>5476.0</v>
      </c>
      <c r="AI490" s="14">
        <v>6619.0</v>
      </c>
      <c r="AJ490" s="14">
        <v>46.0</v>
      </c>
      <c r="AK490" s="14">
        <v>6063.0</v>
      </c>
      <c r="AL490" s="14" t="s">
        <v>909</v>
      </c>
      <c r="AM490" s="14" t="s">
        <v>910</v>
      </c>
      <c r="AN490" s="14" t="s">
        <v>911</v>
      </c>
      <c r="AO490" s="14" t="s">
        <v>912</v>
      </c>
      <c r="AP490" s="14" t="s">
        <v>913</v>
      </c>
      <c r="AQ490" s="14" t="s">
        <v>99</v>
      </c>
      <c r="AR490" s="14" t="s">
        <v>900</v>
      </c>
      <c r="AS490" s="14" t="s">
        <v>914</v>
      </c>
      <c r="AT490" s="14" t="s">
        <v>9306</v>
      </c>
      <c r="AU490" s="14">
        <v>2004.0</v>
      </c>
      <c r="AV490" s="14">
        <v>427.0</v>
      </c>
      <c r="AW490" s="14">
        <v>6970.0</v>
      </c>
      <c r="AX490" s="14" t="s">
        <v>99</v>
      </c>
      <c r="AY490" s="14" t="s">
        <v>99</v>
      </c>
      <c r="AZ490" s="14" t="s">
        <v>99</v>
      </c>
      <c r="BA490" s="14" t="s">
        <v>99</v>
      </c>
      <c r="BB490" s="14">
        <v>145.0</v>
      </c>
      <c r="BC490" s="14">
        <v>148.0</v>
      </c>
      <c r="BD490" s="14" t="s">
        <v>99</v>
      </c>
      <c r="BE490" s="14" t="s">
        <v>9307</v>
      </c>
      <c r="BF490" s="15" t="str">
        <f>HYPERLINK("http://dx.doi.org/10.1038/nature02121","http://dx.doi.org/10.1038/nature02121")</f>
        <v>http://dx.doi.org/10.1038/nature02121</v>
      </c>
      <c r="BG490" s="14" t="s">
        <v>99</v>
      </c>
      <c r="BH490" s="14" t="s">
        <v>99</v>
      </c>
      <c r="BI490" s="14">
        <v>4.0</v>
      </c>
      <c r="BJ490" s="14" t="s">
        <v>799</v>
      </c>
      <c r="BK490" s="14" t="s">
        <v>122</v>
      </c>
      <c r="BL490" s="14" t="s">
        <v>801</v>
      </c>
      <c r="BM490" s="14" t="s">
        <v>9308</v>
      </c>
      <c r="BN490" s="14">
        <v>1.4712274E7</v>
      </c>
      <c r="BO490" s="14" t="s">
        <v>238</v>
      </c>
      <c r="BP490" s="14" t="s">
        <v>99</v>
      </c>
      <c r="BQ490" s="14" t="s">
        <v>99</v>
      </c>
      <c r="BR490" s="14" t="s">
        <v>124</v>
      </c>
      <c r="BS490" s="14" t="s">
        <v>9309</v>
      </c>
      <c r="BT490" s="14" t="str">
        <f>HYPERLINK("https%3A%2F%2Fwww.webofscience.com%2Fwos%2Fwoscc%2Ffull-record%2FWOS:000187863900033","View Full Record in Web of Science")</f>
        <v>View Full Record in Web of Science</v>
      </c>
    </row>
    <row r="491" ht="12.75" customHeight="1">
      <c r="A491" s="14" t="s">
        <v>97</v>
      </c>
      <c r="B491" s="14" t="s">
        <v>9310</v>
      </c>
      <c r="C491" s="14" t="s">
        <v>99</v>
      </c>
      <c r="D491" s="14" t="s">
        <v>99</v>
      </c>
      <c r="E491" s="14" t="s">
        <v>99</v>
      </c>
      <c r="F491" s="14" t="s">
        <v>9310</v>
      </c>
      <c r="G491" s="14" t="s">
        <v>99</v>
      </c>
      <c r="H491" s="14" t="s">
        <v>99</v>
      </c>
      <c r="I491" s="14" t="s">
        <v>9311</v>
      </c>
      <c r="J491" s="14" t="s">
        <v>9312</v>
      </c>
      <c r="K491" s="14" t="s">
        <v>99</v>
      </c>
      <c r="L491" s="14" t="s">
        <v>99</v>
      </c>
      <c r="M491" s="14" t="s">
        <v>103</v>
      </c>
      <c r="N491" s="14" t="s">
        <v>104</v>
      </c>
      <c r="O491" s="14" t="s">
        <v>99</v>
      </c>
      <c r="P491" s="14" t="s">
        <v>99</v>
      </c>
      <c r="Q491" s="14" t="s">
        <v>99</v>
      </c>
      <c r="R491" s="14" t="s">
        <v>99</v>
      </c>
      <c r="S491" s="14" t="s">
        <v>99</v>
      </c>
      <c r="T491" s="14" t="s">
        <v>9313</v>
      </c>
      <c r="U491" s="14" t="s">
        <v>9314</v>
      </c>
      <c r="V491" s="14" t="s">
        <v>9315</v>
      </c>
      <c r="W491" s="14" t="s">
        <v>9316</v>
      </c>
      <c r="X491" s="14" t="s">
        <v>9317</v>
      </c>
      <c r="Y491" s="14" t="s">
        <v>9318</v>
      </c>
      <c r="Z491" s="14" t="s">
        <v>99</v>
      </c>
      <c r="AA491" s="14" t="s">
        <v>99</v>
      </c>
      <c r="AB491" s="14" t="s">
        <v>9319</v>
      </c>
      <c r="AC491" s="14" t="s">
        <v>99</v>
      </c>
      <c r="AD491" s="14" t="s">
        <v>99</v>
      </c>
      <c r="AE491" s="14" t="s">
        <v>99</v>
      </c>
      <c r="AF491" s="14" t="s">
        <v>99</v>
      </c>
      <c r="AG491" s="14">
        <v>38.0</v>
      </c>
      <c r="AH491" s="14">
        <v>58.0</v>
      </c>
      <c r="AI491" s="14">
        <v>76.0</v>
      </c>
      <c r="AJ491" s="14">
        <v>0.0</v>
      </c>
      <c r="AK491" s="14">
        <v>55.0</v>
      </c>
      <c r="AL491" s="14" t="s">
        <v>1731</v>
      </c>
      <c r="AM491" s="14" t="s">
        <v>1594</v>
      </c>
      <c r="AN491" s="14" t="s">
        <v>3585</v>
      </c>
      <c r="AO491" s="14" t="s">
        <v>9320</v>
      </c>
      <c r="AP491" s="14" t="s">
        <v>9321</v>
      </c>
      <c r="AQ491" s="14" t="s">
        <v>99</v>
      </c>
      <c r="AR491" s="14" t="s">
        <v>9322</v>
      </c>
      <c r="AS491" s="14" t="s">
        <v>9323</v>
      </c>
      <c r="AT491" s="14" t="s">
        <v>935</v>
      </c>
      <c r="AU491" s="14">
        <v>2004.0</v>
      </c>
      <c r="AV491" s="14">
        <v>31.0</v>
      </c>
      <c r="AW491" s="14">
        <v>1.0</v>
      </c>
      <c r="AX491" s="14" t="s">
        <v>99</v>
      </c>
      <c r="AY491" s="14" t="s">
        <v>99</v>
      </c>
      <c r="AZ491" s="14" t="s">
        <v>99</v>
      </c>
      <c r="BA491" s="14" t="s">
        <v>99</v>
      </c>
      <c r="BB491" s="14">
        <v>177.0</v>
      </c>
      <c r="BC491" s="14">
        <v>190.0</v>
      </c>
      <c r="BD491" s="14" t="s">
        <v>99</v>
      </c>
      <c r="BE491" s="14" t="s">
        <v>9324</v>
      </c>
      <c r="BF491" s="15" t="str">
        <f>HYPERLINK("http://dx.doi.org/10.1023/B:NHAZ.0000020259.58716.0d","http://dx.doi.org/10.1023/B:NHAZ.0000020259.58716.0d")</f>
        <v>http://dx.doi.org/10.1023/B:NHAZ.0000020259.58716.0d</v>
      </c>
      <c r="BG491" s="14" t="s">
        <v>99</v>
      </c>
      <c r="BH491" s="14" t="s">
        <v>99</v>
      </c>
      <c r="BI491" s="14">
        <v>14.0</v>
      </c>
      <c r="BJ491" s="14" t="s">
        <v>8246</v>
      </c>
      <c r="BK491" s="14" t="s">
        <v>122</v>
      </c>
      <c r="BL491" s="14" t="s">
        <v>8247</v>
      </c>
      <c r="BM491" s="14" t="s">
        <v>9325</v>
      </c>
      <c r="BN491" s="14" t="s">
        <v>99</v>
      </c>
      <c r="BO491" s="14" t="s">
        <v>99</v>
      </c>
      <c r="BP491" s="14" t="s">
        <v>99</v>
      </c>
      <c r="BQ491" s="14" t="s">
        <v>99</v>
      </c>
      <c r="BR491" s="14" t="s">
        <v>124</v>
      </c>
      <c r="BS491" s="14" t="s">
        <v>9326</v>
      </c>
      <c r="BT491" s="14" t="str">
        <f>HYPERLINK("https%3A%2F%2Fwww.webofscience.com%2Fwos%2Fwoscc%2Ffull-record%2FWOS:000220303700010","View Full Record in Web of Science")</f>
        <v>View Full Record in Web of Science</v>
      </c>
    </row>
    <row r="492" ht="12.75" customHeight="1">
      <c r="A492" s="14" t="s">
        <v>97</v>
      </c>
      <c r="B492" s="14" t="s">
        <v>9327</v>
      </c>
      <c r="C492" s="14" t="s">
        <v>99</v>
      </c>
      <c r="D492" s="14" t="s">
        <v>99</v>
      </c>
      <c r="E492" s="14" t="s">
        <v>99</v>
      </c>
      <c r="F492" s="14" t="s">
        <v>9327</v>
      </c>
      <c r="G492" s="14" t="s">
        <v>99</v>
      </c>
      <c r="H492" s="14" t="s">
        <v>99</v>
      </c>
      <c r="I492" s="14" t="s">
        <v>9328</v>
      </c>
      <c r="J492" s="14" t="s">
        <v>1102</v>
      </c>
      <c r="K492" s="14" t="s">
        <v>99</v>
      </c>
      <c r="L492" s="14" t="s">
        <v>99</v>
      </c>
      <c r="M492" s="14" t="s">
        <v>103</v>
      </c>
      <c r="N492" s="14" t="s">
        <v>104</v>
      </c>
      <c r="O492" s="14" t="s">
        <v>99</v>
      </c>
      <c r="P492" s="14" t="s">
        <v>99</v>
      </c>
      <c r="Q492" s="14" t="s">
        <v>99</v>
      </c>
      <c r="R492" s="14" t="s">
        <v>99</v>
      </c>
      <c r="S492" s="14" t="s">
        <v>99</v>
      </c>
      <c r="T492" s="14" t="s">
        <v>9329</v>
      </c>
      <c r="U492" s="14" t="s">
        <v>9330</v>
      </c>
      <c r="V492" s="14" t="s">
        <v>9331</v>
      </c>
      <c r="W492" s="14" t="s">
        <v>9332</v>
      </c>
      <c r="X492" s="14" t="s">
        <v>9333</v>
      </c>
      <c r="Y492" s="14" t="s">
        <v>9334</v>
      </c>
      <c r="Z492" s="14" t="s">
        <v>9335</v>
      </c>
      <c r="AA492" s="14" t="s">
        <v>9336</v>
      </c>
      <c r="AB492" s="14" t="s">
        <v>9337</v>
      </c>
      <c r="AC492" s="14" t="s">
        <v>99</v>
      </c>
      <c r="AD492" s="14" t="s">
        <v>99</v>
      </c>
      <c r="AE492" s="14" t="s">
        <v>99</v>
      </c>
      <c r="AF492" s="14" t="s">
        <v>99</v>
      </c>
      <c r="AG492" s="14">
        <v>35.0</v>
      </c>
      <c r="AH492" s="14">
        <v>205.0</v>
      </c>
      <c r="AI492" s="14">
        <v>254.0</v>
      </c>
      <c r="AJ492" s="14">
        <v>1.0</v>
      </c>
      <c r="AK492" s="14">
        <v>63.0</v>
      </c>
      <c r="AL492" s="14" t="s">
        <v>493</v>
      </c>
      <c r="AM492" s="14" t="s">
        <v>494</v>
      </c>
      <c r="AN492" s="14" t="s">
        <v>495</v>
      </c>
      <c r="AO492" s="14" t="s">
        <v>1112</v>
      </c>
      <c r="AP492" s="14" t="s">
        <v>1113</v>
      </c>
      <c r="AQ492" s="14" t="s">
        <v>99</v>
      </c>
      <c r="AR492" s="14" t="s">
        <v>1114</v>
      </c>
      <c r="AS492" s="14" t="s">
        <v>1115</v>
      </c>
      <c r="AT492" s="14" t="s">
        <v>1058</v>
      </c>
      <c r="AU492" s="14">
        <v>2003.0</v>
      </c>
      <c r="AV492" s="14">
        <v>114.0</v>
      </c>
      <c r="AW492" s="14">
        <v>3.0</v>
      </c>
      <c r="AX492" s="14" t="s">
        <v>99</v>
      </c>
      <c r="AY492" s="14" t="s">
        <v>99</v>
      </c>
      <c r="AZ492" s="14" t="s">
        <v>99</v>
      </c>
      <c r="BA492" s="14" t="s">
        <v>99</v>
      </c>
      <c r="BB492" s="14">
        <v>317.0</v>
      </c>
      <c r="BC492" s="14">
        <v>326.0</v>
      </c>
      <c r="BD492" s="14" t="s">
        <v>99</v>
      </c>
      <c r="BE492" s="14" t="s">
        <v>9338</v>
      </c>
      <c r="BF492" s="15" t="str">
        <f>HYPERLINK("http://dx.doi.org/10.1016/S0006-3207(03)00051-X","http://dx.doi.org/10.1016/S0006-3207(03)00051-X")</f>
        <v>http://dx.doi.org/10.1016/S0006-3207(03)00051-X</v>
      </c>
      <c r="BG492" s="14" t="s">
        <v>99</v>
      </c>
      <c r="BH492" s="14" t="s">
        <v>99</v>
      </c>
      <c r="BI492" s="14">
        <v>10.0</v>
      </c>
      <c r="BJ492" s="14" t="s">
        <v>351</v>
      </c>
      <c r="BK492" s="14" t="s">
        <v>122</v>
      </c>
      <c r="BL492" s="14" t="s">
        <v>352</v>
      </c>
      <c r="BM492" s="14" t="s">
        <v>9339</v>
      </c>
      <c r="BN492" s="14" t="s">
        <v>99</v>
      </c>
      <c r="BO492" s="14" t="s">
        <v>99</v>
      </c>
      <c r="BP492" s="14" t="s">
        <v>99</v>
      </c>
      <c r="BQ492" s="14" t="s">
        <v>99</v>
      </c>
      <c r="BR492" s="14" t="s">
        <v>124</v>
      </c>
      <c r="BS492" s="14" t="s">
        <v>9340</v>
      </c>
      <c r="BT492" s="14" t="str">
        <f>HYPERLINK("https%3A%2F%2Fwww.webofscience.com%2Fwos%2Fwoscc%2Ffull-record%2FWOS:000185371200002","View Full Record in Web of Science")</f>
        <v>View Full Record in Web of Science</v>
      </c>
    </row>
    <row r="493" ht="12.75" customHeight="1">
      <c r="A493" s="14" t="s">
        <v>97</v>
      </c>
      <c r="B493" s="14" t="s">
        <v>9341</v>
      </c>
      <c r="C493" s="14" t="s">
        <v>99</v>
      </c>
      <c r="D493" s="14" t="s">
        <v>99</v>
      </c>
      <c r="E493" s="14" t="s">
        <v>99</v>
      </c>
      <c r="F493" s="14" t="s">
        <v>9341</v>
      </c>
      <c r="G493" s="14" t="s">
        <v>99</v>
      </c>
      <c r="H493" s="14" t="s">
        <v>99</v>
      </c>
      <c r="I493" s="14" t="s">
        <v>9342</v>
      </c>
      <c r="J493" s="14" t="s">
        <v>9343</v>
      </c>
      <c r="K493" s="14" t="s">
        <v>99</v>
      </c>
      <c r="L493" s="14" t="s">
        <v>99</v>
      </c>
      <c r="M493" s="14" t="s">
        <v>103</v>
      </c>
      <c r="N493" s="14" t="s">
        <v>104</v>
      </c>
      <c r="O493" s="14" t="s">
        <v>99</v>
      </c>
      <c r="P493" s="14" t="s">
        <v>99</v>
      </c>
      <c r="Q493" s="14" t="s">
        <v>99</v>
      </c>
      <c r="R493" s="14" t="s">
        <v>99</v>
      </c>
      <c r="S493" s="14" t="s">
        <v>99</v>
      </c>
      <c r="T493" s="14" t="s">
        <v>9344</v>
      </c>
      <c r="U493" s="14" t="s">
        <v>9345</v>
      </c>
      <c r="V493" s="14" t="s">
        <v>9346</v>
      </c>
      <c r="W493" s="14" t="s">
        <v>9347</v>
      </c>
      <c r="X493" s="14" t="s">
        <v>9348</v>
      </c>
      <c r="Y493" s="14" t="s">
        <v>9349</v>
      </c>
      <c r="Z493" s="14" t="s">
        <v>99</v>
      </c>
      <c r="AA493" s="14" t="s">
        <v>9350</v>
      </c>
      <c r="AB493" s="14" t="s">
        <v>9351</v>
      </c>
      <c r="AC493" s="14" t="s">
        <v>99</v>
      </c>
      <c r="AD493" s="14" t="s">
        <v>99</v>
      </c>
      <c r="AE493" s="14" t="s">
        <v>99</v>
      </c>
      <c r="AF493" s="14" t="s">
        <v>99</v>
      </c>
      <c r="AG493" s="14">
        <v>80.0</v>
      </c>
      <c r="AH493" s="14">
        <v>33.0</v>
      </c>
      <c r="AI493" s="14">
        <v>45.0</v>
      </c>
      <c r="AJ493" s="14">
        <v>2.0</v>
      </c>
      <c r="AK493" s="14">
        <v>36.0</v>
      </c>
      <c r="AL493" s="14" t="s">
        <v>9352</v>
      </c>
      <c r="AM493" s="14" t="s">
        <v>1732</v>
      </c>
      <c r="AN493" s="14" t="s">
        <v>1733</v>
      </c>
      <c r="AO493" s="14" t="s">
        <v>9353</v>
      </c>
      <c r="AP493" s="14" t="s">
        <v>99</v>
      </c>
      <c r="AQ493" s="14" t="s">
        <v>99</v>
      </c>
      <c r="AR493" s="14" t="s">
        <v>9354</v>
      </c>
      <c r="AS493" s="14" t="s">
        <v>9355</v>
      </c>
      <c r="AT493" s="14" t="s">
        <v>9356</v>
      </c>
      <c r="AU493" s="14">
        <v>2003.0</v>
      </c>
      <c r="AV493" s="14">
        <v>88.0</v>
      </c>
      <c r="AW493" s="14" t="s">
        <v>8123</v>
      </c>
      <c r="AX493" s="14" t="s">
        <v>99</v>
      </c>
      <c r="AY493" s="14" t="s">
        <v>99</v>
      </c>
      <c r="AZ493" s="14" t="s">
        <v>99</v>
      </c>
      <c r="BA493" s="14" t="s">
        <v>99</v>
      </c>
      <c r="BB493" s="14">
        <v>53.0</v>
      </c>
      <c r="BC493" s="14">
        <v>101.0</v>
      </c>
      <c r="BD493" s="14" t="s">
        <v>99</v>
      </c>
      <c r="BE493" s="14" t="s">
        <v>9357</v>
      </c>
      <c r="BF493" s="15" t="str">
        <f>HYPERLINK("http://dx.doi.org/10.1023/A:1025548518991","http://dx.doi.org/10.1023/A:1025548518991")</f>
        <v>http://dx.doi.org/10.1023/A:1025548518991</v>
      </c>
      <c r="BG493" s="14" t="s">
        <v>99</v>
      </c>
      <c r="BH493" s="14" t="s">
        <v>99</v>
      </c>
      <c r="BI493" s="14">
        <v>49.0</v>
      </c>
      <c r="BJ493" s="14" t="s">
        <v>1041</v>
      </c>
      <c r="BK493" s="14" t="s">
        <v>122</v>
      </c>
      <c r="BL493" s="14" t="s">
        <v>260</v>
      </c>
      <c r="BM493" s="14" t="s">
        <v>9358</v>
      </c>
      <c r="BN493" s="14">
        <v>1.4570411E7</v>
      </c>
      <c r="BO493" s="14" t="s">
        <v>99</v>
      </c>
      <c r="BP493" s="14" t="s">
        <v>99</v>
      </c>
      <c r="BQ493" s="14" t="s">
        <v>99</v>
      </c>
      <c r="BR493" s="14" t="s">
        <v>124</v>
      </c>
      <c r="BS493" s="14" t="s">
        <v>9359</v>
      </c>
      <c r="BT493" s="14" t="str">
        <f>HYPERLINK("https%3A%2F%2Fwww.webofscience.com%2Fwos%2Fwoscc%2Ffull-record%2FWOS:000185100800004","View Full Record in Web of Science")</f>
        <v>View Full Record in Web of Science</v>
      </c>
    </row>
    <row r="494" ht="12.75" customHeight="1">
      <c r="A494" s="14" t="s">
        <v>97</v>
      </c>
      <c r="B494" s="14" t="s">
        <v>9360</v>
      </c>
      <c r="C494" s="14" t="s">
        <v>99</v>
      </c>
      <c r="D494" s="14" t="s">
        <v>99</v>
      </c>
      <c r="E494" s="14" t="s">
        <v>99</v>
      </c>
      <c r="F494" s="14" t="s">
        <v>9360</v>
      </c>
      <c r="G494" s="14" t="s">
        <v>99</v>
      </c>
      <c r="H494" s="14" t="s">
        <v>99</v>
      </c>
      <c r="I494" s="14" t="s">
        <v>9361</v>
      </c>
      <c r="J494" s="14" t="s">
        <v>4070</v>
      </c>
      <c r="K494" s="14" t="s">
        <v>99</v>
      </c>
      <c r="L494" s="14" t="s">
        <v>99</v>
      </c>
      <c r="M494" s="14" t="s">
        <v>103</v>
      </c>
      <c r="N494" s="14" t="s">
        <v>104</v>
      </c>
      <c r="O494" s="14" t="s">
        <v>99</v>
      </c>
      <c r="P494" s="14" t="s">
        <v>99</v>
      </c>
      <c r="Q494" s="14" t="s">
        <v>99</v>
      </c>
      <c r="R494" s="14" t="s">
        <v>99</v>
      </c>
      <c r="S494" s="14" t="s">
        <v>99</v>
      </c>
      <c r="T494" s="14" t="s">
        <v>9362</v>
      </c>
      <c r="U494" s="14" t="s">
        <v>9363</v>
      </c>
      <c r="V494" s="14" t="s">
        <v>9364</v>
      </c>
      <c r="W494" s="14" t="s">
        <v>9365</v>
      </c>
      <c r="X494" s="14" t="s">
        <v>7201</v>
      </c>
      <c r="Y494" s="14" t="s">
        <v>9366</v>
      </c>
      <c r="Z494" s="14" t="s">
        <v>9367</v>
      </c>
      <c r="AA494" s="14" t="s">
        <v>9368</v>
      </c>
      <c r="AB494" s="14" t="s">
        <v>9369</v>
      </c>
      <c r="AC494" s="14" t="s">
        <v>99</v>
      </c>
      <c r="AD494" s="14" t="s">
        <v>99</v>
      </c>
      <c r="AE494" s="14" t="s">
        <v>99</v>
      </c>
      <c r="AF494" s="14" t="s">
        <v>99</v>
      </c>
      <c r="AG494" s="14">
        <v>38.0</v>
      </c>
      <c r="AH494" s="14">
        <v>391.0</v>
      </c>
      <c r="AI494" s="14">
        <v>472.0</v>
      </c>
      <c r="AJ494" s="14">
        <v>0.0</v>
      </c>
      <c r="AK494" s="14">
        <v>245.0</v>
      </c>
      <c r="AL494" s="14" t="s">
        <v>1544</v>
      </c>
      <c r="AM494" s="14" t="s">
        <v>274</v>
      </c>
      <c r="AN494" s="14" t="s">
        <v>1545</v>
      </c>
      <c r="AO494" s="14" t="s">
        <v>4079</v>
      </c>
      <c r="AP494" s="14" t="s">
        <v>99</v>
      </c>
      <c r="AQ494" s="14" t="s">
        <v>99</v>
      </c>
      <c r="AR494" s="14" t="s">
        <v>4081</v>
      </c>
      <c r="AS494" s="14" t="s">
        <v>4082</v>
      </c>
      <c r="AT494" s="14" t="s">
        <v>9370</v>
      </c>
      <c r="AU494" s="14">
        <v>2003.0</v>
      </c>
      <c r="AV494" s="14">
        <v>270.0</v>
      </c>
      <c r="AW494" s="14">
        <v>1527.0</v>
      </c>
      <c r="AX494" s="14" t="s">
        <v>99</v>
      </c>
      <c r="AY494" s="14" t="s">
        <v>99</v>
      </c>
      <c r="AZ494" s="14" t="s">
        <v>99</v>
      </c>
      <c r="BA494" s="14" t="s">
        <v>99</v>
      </c>
      <c r="BB494" s="14">
        <v>1887.0</v>
      </c>
      <c r="BC494" s="14">
        <v>1892.0</v>
      </c>
      <c r="BD494" s="14" t="s">
        <v>99</v>
      </c>
      <c r="BE494" s="14" t="s">
        <v>9371</v>
      </c>
      <c r="BF494" s="15" t="str">
        <f>HYPERLINK("http://dx.doi.org/10.1098/rspb.2003.2464","http://dx.doi.org/10.1098/rspb.2003.2464")</f>
        <v>http://dx.doi.org/10.1098/rspb.2003.2464</v>
      </c>
      <c r="BG494" s="14" t="s">
        <v>99</v>
      </c>
      <c r="BH494" s="14" t="s">
        <v>99</v>
      </c>
      <c r="BI494" s="14">
        <v>6.0</v>
      </c>
      <c r="BJ494" s="14" t="s">
        <v>1552</v>
      </c>
      <c r="BK494" s="14" t="s">
        <v>122</v>
      </c>
      <c r="BL494" s="14" t="s">
        <v>1553</v>
      </c>
      <c r="BM494" s="14" t="s">
        <v>9372</v>
      </c>
      <c r="BN494" s="14">
        <v>1.4561301E7</v>
      </c>
      <c r="BO494" s="14" t="s">
        <v>425</v>
      </c>
      <c r="BP494" s="14" t="s">
        <v>99</v>
      </c>
      <c r="BQ494" s="14" t="s">
        <v>99</v>
      </c>
      <c r="BR494" s="14" t="s">
        <v>124</v>
      </c>
      <c r="BS494" s="14" t="s">
        <v>9373</v>
      </c>
      <c r="BT494" s="14" t="str">
        <f>HYPERLINK("https%3A%2F%2Fwww.webofscience.com%2Fwos%2Fwoscc%2Ffull-record%2FWOS:000185482500003","View Full Record in Web of Science")</f>
        <v>View Full Record in Web of Science</v>
      </c>
    </row>
    <row r="495" ht="12.75" customHeight="1">
      <c r="A495" s="14" t="s">
        <v>97</v>
      </c>
      <c r="B495" s="14" t="s">
        <v>9374</v>
      </c>
      <c r="C495" s="14" t="s">
        <v>99</v>
      </c>
      <c r="D495" s="14" t="s">
        <v>99</v>
      </c>
      <c r="E495" s="14" t="s">
        <v>99</v>
      </c>
      <c r="F495" s="14" t="s">
        <v>9374</v>
      </c>
      <c r="G495" s="14" t="s">
        <v>99</v>
      </c>
      <c r="H495" s="14" t="s">
        <v>99</v>
      </c>
      <c r="I495" s="14" t="s">
        <v>9375</v>
      </c>
      <c r="J495" s="14" t="s">
        <v>430</v>
      </c>
      <c r="K495" s="14" t="s">
        <v>99</v>
      </c>
      <c r="L495" s="14" t="s">
        <v>99</v>
      </c>
      <c r="M495" s="14" t="s">
        <v>103</v>
      </c>
      <c r="N495" s="14" t="s">
        <v>104</v>
      </c>
      <c r="O495" s="14" t="s">
        <v>99</v>
      </c>
      <c r="P495" s="14" t="s">
        <v>99</v>
      </c>
      <c r="Q495" s="14" t="s">
        <v>99</v>
      </c>
      <c r="R495" s="14" t="s">
        <v>99</v>
      </c>
      <c r="S495" s="14" t="s">
        <v>99</v>
      </c>
      <c r="T495" s="14" t="s">
        <v>9376</v>
      </c>
      <c r="U495" s="14" t="s">
        <v>9377</v>
      </c>
      <c r="V495" s="14" t="s">
        <v>9378</v>
      </c>
      <c r="W495" s="14" t="s">
        <v>9379</v>
      </c>
      <c r="X495" s="14" t="s">
        <v>9380</v>
      </c>
      <c r="Y495" s="14" t="s">
        <v>9381</v>
      </c>
      <c r="Z495" s="14" t="s">
        <v>99</v>
      </c>
      <c r="AA495" s="14" t="s">
        <v>99</v>
      </c>
      <c r="AB495" s="14" t="s">
        <v>99</v>
      </c>
      <c r="AC495" s="14" t="s">
        <v>99</v>
      </c>
      <c r="AD495" s="14" t="s">
        <v>99</v>
      </c>
      <c r="AE495" s="14" t="s">
        <v>99</v>
      </c>
      <c r="AF495" s="14" t="s">
        <v>99</v>
      </c>
      <c r="AG495" s="14">
        <v>28.0</v>
      </c>
      <c r="AH495" s="14">
        <v>14.0</v>
      </c>
      <c r="AI495" s="14">
        <v>16.0</v>
      </c>
      <c r="AJ495" s="14">
        <v>3.0</v>
      </c>
      <c r="AK495" s="14">
        <v>16.0</v>
      </c>
      <c r="AL495" s="14" t="s">
        <v>1033</v>
      </c>
      <c r="AM495" s="14" t="s">
        <v>442</v>
      </c>
      <c r="AN495" s="14" t="s">
        <v>1034</v>
      </c>
      <c r="AO495" s="14" t="s">
        <v>444</v>
      </c>
      <c r="AP495" s="14" t="s">
        <v>99</v>
      </c>
      <c r="AQ495" s="14" t="s">
        <v>99</v>
      </c>
      <c r="AR495" s="14" t="s">
        <v>446</v>
      </c>
      <c r="AS495" s="14" t="s">
        <v>447</v>
      </c>
      <c r="AT495" s="14" t="s">
        <v>6116</v>
      </c>
      <c r="AU495" s="14">
        <v>2003.0</v>
      </c>
      <c r="AV495" s="14">
        <v>182.0</v>
      </c>
      <c r="AW495" s="14" t="s">
        <v>8123</v>
      </c>
      <c r="AX495" s="14" t="s">
        <v>99</v>
      </c>
      <c r="AY495" s="14" t="s">
        <v>99</v>
      </c>
      <c r="AZ495" s="14" t="s">
        <v>99</v>
      </c>
      <c r="BA495" s="14" t="s">
        <v>99</v>
      </c>
      <c r="BB495" s="14">
        <v>103.0</v>
      </c>
      <c r="BC495" s="14">
        <v>116.0</v>
      </c>
      <c r="BD495" s="14" t="s">
        <v>99</v>
      </c>
      <c r="BE495" s="14" t="s">
        <v>9382</v>
      </c>
      <c r="BF495" s="15" t="str">
        <f>HYPERLINK("http://dx.doi.org/10.1016/S0378-1127(03)00012-4","http://dx.doi.org/10.1016/S0378-1127(03)00012-4")</f>
        <v>http://dx.doi.org/10.1016/S0378-1127(03)00012-4</v>
      </c>
      <c r="BG495" s="14" t="s">
        <v>99</v>
      </c>
      <c r="BH495" s="14" t="s">
        <v>99</v>
      </c>
      <c r="BI495" s="14">
        <v>14.0</v>
      </c>
      <c r="BJ495" s="14" t="s">
        <v>281</v>
      </c>
      <c r="BK495" s="14" t="s">
        <v>122</v>
      </c>
      <c r="BL495" s="14" t="s">
        <v>281</v>
      </c>
      <c r="BM495" s="14" t="s">
        <v>9383</v>
      </c>
      <c r="BN495" s="14" t="s">
        <v>99</v>
      </c>
      <c r="BO495" s="14" t="s">
        <v>99</v>
      </c>
      <c r="BP495" s="14" t="s">
        <v>99</v>
      </c>
      <c r="BQ495" s="14" t="s">
        <v>99</v>
      </c>
      <c r="BR495" s="14" t="s">
        <v>124</v>
      </c>
      <c r="BS495" s="14" t="s">
        <v>9384</v>
      </c>
      <c r="BT495" s="14" t="str">
        <f>HYPERLINK("https%3A%2F%2Fwww.webofscience.com%2Fwos%2Fwoscc%2Ffull-record%2FWOS:000185054900008","View Full Record in Web of Science")</f>
        <v>View Full Record in Web of Science</v>
      </c>
    </row>
    <row r="496" ht="12.75" customHeight="1">
      <c r="A496" s="14" t="s">
        <v>97</v>
      </c>
      <c r="B496" s="14" t="s">
        <v>9385</v>
      </c>
      <c r="C496" s="14" t="s">
        <v>99</v>
      </c>
      <c r="D496" s="14" t="s">
        <v>99</v>
      </c>
      <c r="E496" s="14" t="s">
        <v>99</v>
      </c>
      <c r="F496" s="14" t="s">
        <v>9385</v>
      </c>
      <c r="G496" s="14" t="s">
        <v>99</v>
      </c>
      <c r="H496" s="14" t="s">
        <v>99</v>
      </c>
      <c r="I496" s="14" t="s">
        <v>9386</v>
      </c>
      <c r="J496" s="14" t="s">
        <v>1721</v>
      </c>
      <c r="K496" s="14" t="s">
        <v>99</v>
      </c>
      <c r="L496" s="14" t="s">
        <v>99</v>
      </c>
      <c r="M496" s="14" t="s">
        <v>103</v>
      </c>
      <c r="N496" s="14" t="s">
        <v>104</v>
      </c>
      <c r="O496" s="14" t="s">
        <v>99</v>
      </c>
      <c r="P496" s="14" t="s">
        <v>99</v>
      </c>
      <c r="Q496" s="14" t="s">
        <v>99</v>
      </c>
      <c r="R496" s="14" t="s">
        <v>99</v>
      </c>
      <c r="S496" s="14" t="s">
        <v>99</v>
      </c>
      <c r="T496" s="14" t="s">
        <v>9387</v>
      </c>
      <c r="U496" s="14" t="s">
        <v>9388</v>
      </c>
      <c r="V496" s="14" t="s">
        <v>9389</v>
      </c>
      <c r="W496" s="14" t="s">
        <v>9390</v>
      </c>
      <c r="X496" s="14" t="s">
        <v>9391</v>
      </c>
      <c r="Y496" s="14" t="s">
        <v>9392</v>
      </c>
      <c r="Z496" s="14" t="s">
        <v>99</v>
      </c>
      <c r="AA496" s="14" t="s">
        <v>9393</v>
      </c>
      <c r="AB496" s="14" t="s">
        <v>99</v>
      </c>
      <c r="AC496" s="14" t="s">
        <v>99</v>
      </c>
      <c r="AD496" s="14" t="s">
        <v>99</v>
      </c>
      <c r="AE496" s="14" t="s">
        <v>99</v>
      </c>
      <c r="AF496" s="14" t="s">
        <v>99</v>
      </c>
      <c r="AG496" s="14">
        <v>84.0</v>
      </c>
      <c r="AH496" s="14">
        <v>24.0</v>
      </c>
      <c r="AI496" s="14">
        <v>28.0</v>
      </c>
      <c r="AJ496" s="14">
        <v>0.0</v>
      </c>
      <c r="AK496" s="14">
        <v>20.0</v>
      </c>
      <c r="AL496" s="14" t="s">
        <v>9352</v>
      </c>
      <c r="AM496" s="14" t="s">
        <v>1732</v>
      </c>
      <c r="AN496" s="14" t="s">
        <v>1733</v>
      </c>
      <c r="AO496" s="14" t="s">
        <v>1734</v>
      </c>
      <c r="AP496" s="14" t="s">
        <v>99</v>
      </c>
      <c r="AQ496" s="14" t="s">
        <v>99</v>
      </c>
      <c r="AR496" s="14" t="s">
        <v>1736</v>
      </c>
      <c r="AS496" s="14" t="s">
        <v>1737</v>
      </c>
      <c r="AT496" s="14" t="s">
        <v>421</v>
      </c>
      <c r="AU496" s="14">
        <v>2003.0</v>
      </c>
      <c r="AV496" s="14">
        <v>12.0</v>
      </c>
      <c r="AW496" s="14">
        <v>9.0</v>
      </c>
      <c r="AX496" s="14" t="s">
        <v>99</v>
      </c>
      <c r="AY496" s="14" t="s">
        <v>99</v>
      </c>
      <c r="AZ496" s="14" t="s">
        <v>99</v>
      </c>
      <c r="BA496" s="14" t="s">
        <v>99</v>
      </c>
      <c r="BB496" s="14">
        <v>1921.0</v>
      </c>
      <c r="BC496" s="14">
        <v>1936.0</v>
      </c>
      <c r="BD496" s="14" t="s">
        <v>99</v>
      </c>
      <c r="BE496" s="14" t="s">
        <v>9394</v>
      </c>
      <c r="BF496" s="15" t="str">
        <f>HYPERLINK("http://dx.doi.org/10.1023/A:1024147529295","http://dx.doi.org/10.1023/A:1024147529295")</f>
        <v>http://dx.doi.org/10.1023/A:1024147529295</v>
      </c>
      <c r="BG496" s="14" t="s">
        <v>99</v>
      </c>
      <c r="BH496" s="14" t="s">
        <v>99</v>
      </c>
      <c r="BI496" s="14">
        <v>16.0</v>
      </c>
      <c r="BJ496" s="14" t="s">
        <v>351</v>
      </c>
      <c r="BK496" s="14" t="s">
        <v>122</v>
      </c>
      <c r="BL496" s="14" t="s">
        <v>352</v>
      </c>
      <c r="BM496" s="14" t="s">
        <v>9395</v>
      </c>
      <c r="BN496" s="14" t="s">
        <v>99</v>
      </c>
      <c r="BO496" s="14" t="s">
        <v>99</v>
      </c>
      <c r="BP496" s="14" t="s">
        <v>99</v>
      </c>
      <c r="BQ496" s="14" t="s">
        <v>99</v>
      </c>
      <c r="BR496" s="14" t="s">
        <v>124</v>
      </c>
      <c r="BS496" s="14" t="s">
        <v>9396</v>
      </c>
      <c r="BT496" s="14" t="str">
        <f>HYPERLINK("https%3A%2F%2Fwww.webofscience.com%2Fwos%2Fwoscc%2Ffull-record%2FWOS:000183444300010","View Full Record in Web of Science")</f>
        <v>View Full Record in Web of Science</v>
      </c>
    </row>
    <row r="497" ht="12.75" customHeight="1">
      <c r="A497" s="14" t="s">
        <v>97</v>
      </c>
      <c r="B497" s="14" t="s">
        <v>9397</v>
      </c>
      <c r="C497" s="14" t="s">
        <v>99</v>
      </c>
      <c r="D497" s="14" t="s">
        <v>99</v>
      </c>
      <c r="E497" s="14" t="s">
        <v>99</v>
      </c>
      <c r="F497" s="14" t="s">
        <v>9397</v>
      </c>
      <c r="G497" s="14" t="s">
        <v>99</v>
      </c>
      <c r="H497" s="14" t="s">
        <v>99</v>
      </c>
      <c r="I497" s="14" t="s">
        <v>9398</v>
      </c>
      <c r="J497" s="14" t="s">
        <v>2357</v>
      </c>
      <c r="K497" s="14" t="s">
        <v>99</v>
      </c>
      <c r="L497" s="14" t="s">
        <v>99</v>
      </c>
      <c r="M497" s="14" t="s">
        <v>103</v>
      </c>
      <c r="N497" s="14" t="s">
        <v>104</v>
      </c>
      <c r="O497" s="14" t="s">
        <v>99</v>
      </c>
      <c r="P497" s="14" t="s">
        <v>99</v>
      </c>
      <c r="Q497" s="14" t="s">
        <v>99</v>
      </c>
      <c r="R497" s="14" t="s">
        <v>99</v>
      </c>
      <c r="S497" s="14" t="s">
        <v>99</v>
      </c>
      <c r="T497" s="14" t="s">
        <v>99</v>
      </c>
      <c r="U497" s="14" t="s">
        <v>9399</v>
      </c>
      <c r="V497" s="14" t="s">
        <v>9400</v>
      </c>
      <c r="W497" s="14" t="s">
        <v>9401</v>
      </c>
      <c r="X497" s="14" t="s">
        <v>9402</v>
      </c>
      <c r="Y497" s="14" t="s">
        <v>9403</v>
      </c>
      <c r="Z497" s="14" t="s">
        <v>99</v>
      </c>
      <c r="AA497" s="14" t="s">
        <v>99</v>
      </c>
      <c r="AB497" s="14" t="s">
        <v>99</v>
      </c>
      <c r="AC497" s="14" t="s">
        <v>99</v>
      </c>
      <c r="AD497" s="14" t="s">
        <v>99</v>
      </c>
      <c r="AE497" s="14" t="s">
        <v>99</v>
      </c>
      <c r="AF497" s="14" t="s">
        <v>99</v>
      </c>
      <c r="AG497" s="14">
        <v>26.0</v>
      </c>
      <c r="AH497" s="14">
        <v>236.0</v>
      </c>
      <c r="AI497" s="14">
        <v>277.0</v>
      </c>
      <c r="AJ497" s="14">
        <v>1.0</v>
      </c>
      <c r="AK497" s="14">
        <v>75.0</v>
      </c>
      <c r="AL497" s="14" t="s">
        <v>9352</v>
      </c>
      <c r="AM497" s="14" t="s">
        <v>1732</v>
      </c>
      <c r="AN497" s="14" t="s">
        <v>1733</v>
      </c>
      <c r="AO497" s="14" t="s">
        <v>2369</v>
      </c>
      <c r="AP497" s="14" t="s">
        <v>99</v>
      </c>
      <c r="AQ497" s="14" t="s">
        <v>99</v>
      </c>
      <c r="AR497" s="14" t="s">
        <v>2357</v>
      </c>
      <c r="AS497" s="14" t="s">
        <v>2371</v>
      </c>
      <c r="AT497" s="14" t="s">
        <v>474</v>
      </c>
      <c r="AU497" s="14">
        <v>2003.0</v>
      </c>
      <c r="AV497" s="14">
        <v>59.0</v>
      </c>
      <c r="AW497" s="14">
        <v>3.0</v>
      </c>
      <c r="AX497" s="14" t="s">
        <v>99</v>
      </c>
      <c r="AY497" s="14" t="s">
        <v>99</v>
      </c>
      <c r="AZ497" s="14" t="s">
        <v>99</v>
      </c>
      <c r="BA497" s="14" t="s">
        <v>99</v>
      </c>
      <c r="BB497" s="14">
        <v>389.0</v>
      </c>
      <c r="BC497" s="14">
        <v>409.0</v>
      </c>
      <c r="BD497" s="14" t="s">
        <v>99</v>
      </c>
      <c r="BE497" s="14" t="s">
        <v>9404</v>
      </c>
      <c r="BF497" s="15" t="str">
        <f>HYPERLINK("http://dx.doi.org/10.1023/A:1024847723344","http://dx.doi.org/10.1023/A:1024847723344")</f>
        <v>http://dx.doi.org/10.1023/A:1024847723344</v>
      </c>
      <c r="BG497" s="14" t="s">
        <v>99</v>
      </c>
      <c r="BH497" s="14" t="s">
        <v>99</v>
      </c>
      <c r="BI497" s="14">
        <v>21.0</v>
      </c>
      <c r="BJ497" s="14" t="s">
        <v>573</v>
      </c>
      <c r="BK497" s="14" t="s">
        <v>122</v>
      </c>
      <c r="BL497" s="14" t="s">
        <v>574</v>
      </c>
      <c r="BM497" s="14" t="s">
        <v>9405</v>
      </c>
      <c r="BN497" s="14" t="s">
        <v>99</v>
      </c>
      <c r="BO497" s="14" t="s">
        <v>99</v>
      </c>
      <c r="BP497" s="14" t="s">
        <v>99</v>
      </c>
      <c r="BQ497" s="14" t="s">
        <v>99</v>
      </c>
      <c r="BR497" s="14" t="s">
        <v>124</v>
      </c>
      <c r="BS497" s="14" t="s">
        <v>9406</v>
      </c>
      <c r="BT497" s="14" t="str">
        <f>HYPERLINK("https%3A%2F%2Fwww.webofscience.com%2Fwos%2Fwoscc%2Ffull-record%2FWOS:000184319800006","View Full Record in Web of Science")</f>
        <v>View Full Record in Web of Science</v>
      </c>
    </row>
    <row r="498" ht="12.75" customHeight="1">
      <c r="A498" s="14" t="s">
        <v>97</v>
      </c>
      <c r="B498" s="14" t="s">
        <v>9407</v>
      </c>
      <c r="C498" s="14" t="s">
        <v>99</v>
      </c>
      <c r="D498" s="14" t="s">
        <v>99</v>
      </c>
      <c r="E498" s="14" t="s">
        <v>99</v>
      </c>
      <c r="F498" s="14" t="s">
        <v>9407</v>
      </c>
      <c r="G498" s="14" t="s">
        <v>99</v>
      </c>
      <c r="H498" s="14" t="s">
        <v>99</v>
      </c>
      <c r="I498" s="14" t="s">
        <v>9408</v>
      </c>
      <c r="J498" s="14" t="s">
        <v>1721</v>
      </c>
      <c r="K498" s="14" t="s">
        <v>99</v>
      </c>
      <c r="L498" s="14" t="s">
        <v>99</v>
      </c>
      <c r="M498" s="14" t="s">
        <v>103</v>
      </c>
      <c r="N498" s="14" t="s">
        <v>104</v>
      </c>
      <c r="O498" s="14" t="s">
        <v>99</v>
      </c>
      <c r="P498" s="14" t="s">
        <v>99</v>
      </c>
      <c r="Q498" s="14" t="s">
        <v>99</v>
      </c>
      <c r="R498" s="14" t="s">
        <v>99</v>
      </c>
      <c r="S498" s="14" t="s">
        <v>99</v>
      </c>
      <c r="T498" s="14" t="s">
        <v>9409</v>
      </c>
      <c r="U498" s="14" t="s">
        <v>9410</v>
      </c>
      <c r="V498" s="14" t="s">
        <v>9411</v>
      </c>
      <c r="W498" s="14" t="s">
        <v>9412</v>
      </c>
      <c r="X498" s="14" t="s">
        <v>9413</v>
      </c>
      <c r="Y498" s="14" t="s">
        <v>9414</v>
      </c>
      <c r="Z498" s="14" t="s">
        <v>9415</v>
      </c>
      <c r="AA498" s="14" t="s">
        <v>9416</v>
      </c>
      <c r="AB498" s="14" t="s">
        <v>9417</v>
      </c>
      <c r="AC498" s="14" t="s">
        <v>99</v>
      </c>
      <c r="AD498" s="14" t="s">
        <v>99</v>
      </c>
      <c r="AE498" s="14" t="s">
        <v>99</v>
      </c>
      <c r="AF498" s="14" t="s">
        <v>99</v>
      </c>
      <c r="AG498" s="14">
        <v>53.0</v>
      </c>
      <c r="AH498" s="14">
        <v>40.0</v>
      </c>
      <c r="AI498" s="14">
        <v>45.0</v>
      </c>
      <c r="AJ498" s="14">
        <v>0.0</v>
      </c>
      <c r="AK498" s="14">
        <v>28.0</v>
      </c>
      <c r="AL498" s="14" t="s">
        <v>1731</v>
      </c>
      <c r="AM498" s="14" t="s">
        <v>1732</v>
      </c>
      <c r="AN498" s="14" t="s">
        <v>1733</v>
      </c>
      <c r="AO498" s="14" t="s">
        <v>1734</v>
      </c>
      <c r="AP498" s="14" t="s">
        <v>1735</v>
      </c>
      <c r="AQ498" s="14" t="s">
        <v>99</v>
      </c>
      <c r="AR498" s="14" t="s">
        <v>1736</v>
      </c>
      <c r="AS498" s="14" t="s">
        <v>1737</v>
      </c>
      <c r="AT498" s="14" t="s">
        <v>474</v>
      </c>
      <c r="AU498" s="14">
        <v>2003.0</v>
      </c>
      <c r="AV498" s="14">
        <v>12.0</v>
      </c>
      <c r="AW498" s="14">
        <v>8.0</v>
      </c>
      <c r="AX498" s="14" t="s">
        <v>99</v>
      </c>
      <c r="AY498" s="14" t="s">
        <v>99</v>
      </c>
      <c r="AZ498" s="14" t="s">
        <v>99</v>
      </c>
      <c r="BA498" s="14" t="s">
        <v>99</v>
      </c>
      <c r="BB498" s="14">
        <v>1553.0</v>
      </c>
      <c r="BC498" s="14">
        <v>1570.0</v>
      </c>
      <c r="BD498" s="14" t="s">
        <v>99</v>
      </c>
      <c r="BE498" s="14" t="s">
        <v>9418</v>
      </c>
      <c r="BF498" s="15" t="str">
        <f>HYPERLINK("http://dx.doi.org/10.1023/A:1023603813163","http://dx.doi.org/10.1023/A:1023603813163")</f>
        <v>http://dx.doi.org/10.1023/A:1023603813163</v>
      </c>
      <c r="BG498" s="14" t="s">
        <v>99</v>
      </c>
      <c r="BH498" s="14" t="s">
        <v>99</v>
      </c>
      <c r="BI498" s="14">
        <v>18.0</v>
      </c>
      <c r="BJ498" s="14" t="s">
        <v>351</v>
      </c>
      <c r="BK498" s="14" t="s">
        <v>122</v>
      </c>
      <c r="BL498" s="14" t="s">
        <v>352</v>
      </c>
      <c r="BM498" s="14" t="s">
        <v>9419</v>
      </c>
      <c r="BN498" s="14" t="s">
        <v>99</v>
      </c>
      <c r="BO498" s="14" t="s">
        <v>425</v>
      </c>
      <c r="BP498" s="14" t="s">
        <v>99</v>
      </c>
      <c r="BQ498" s="14" t="s">
        <v>99</v>
      </c>
      <c r="BR498" s="14" t="s">
        <v>124</v>
      </c>
      <c r="BS498" s="14" t="s">
        <v>9420</v>
      </c>
      <c r="BT498" s="14" t="str">
        <f>HYPERLINK("https%3A%2F%2Fwww.webofscience.com%2Fwos%2Fwoscc%2Ffull-record%2FWOS:000182583000001","View Full Record in Web of Science")</f>
        <v>View Full Record in Web of Science</v>
      </c>
    </row>
    <row r="499" ht="12.75" customHeight="1">
      <c r="A499" s="14" t="s">
        <v>97</v>
      </c>
      <c r="B499" s="14" t="s">
        <v>9421</v>
      </c>
      <c r="C499" s="14" t="s">
        <v>99</v>
      </c>
      <c r="D499" s="14" t="s">
        <v>99</v>
      </c>
      <c r="E499" s="14" t="s">
        <v>99</v>
      </c>
      <c r="F499" s="14" t="s">
        <v>9421</v>
      </c>
      <c r="G499" s="14" t="s">
        <v>99</v>
      </c>
      <c r="H499" s="14" t="s">
        <v>99</v>
      </c>
      <c r="I499" s="14" t="s">
        <v>9422</v>
      </c>
      <c r="J499" s="14" t="s">
        <v>1102</v>
      </c>
      <c r="K499" s="14" t="s">
        <v>99</v>
      </c>
      <c r="L499" s="14" t="s">
        <v>99</v>
      </c>
      <c r="M499" s="14" t="s">
        <v>103</v>
      </c>
      <c r="N499" s="14" t="s">
        <v>104</v>
      </c>
      <c r="O499" s="14" t="s">
        <v>99</v>
      </c>
      <c r="P499" s="14" t="s">
        <v>99</v>
      </c>
      <c r="Q499" s="14" t="s">
        <v>99</v>
      </c>
      <c r="R499" s="14" t="s">
        <v>99</v>
      </c>
      <c r="S499" s="14" t="s">
        <v>99</v>
      </c>
      <c r="T499" s="14" t="s">
        <v>9423</v>
      </c>
      <c r="U499" s="14" t="s">
        <v>9424</v>
      </c>
      <c r="V499" s="14" t="s">
        <v>9425</v>
      </c>
      <c r="W499" s="14" t="s">
        <v>9426</v>
      </c>
      <c r="X499" s="14" t="s">
        <v>9427</v>
      </c>
      <c r="Y499" s="14" t="s">
        <v>9428</v>
      </c>
      <c r="Z499" s="14" t="s">
        <v>9429</v>
      </c>
      <c r="AA499" s="14" t="s">
        <v>9430</v>
      </c>
      <c r="AB499" s="14" t="s">
        <v>9431</v>
      </c>
      <c r="AC499" s="14" t="s">
        <v>99</v>
      </c>
      <c r="AD499" s="14" t="s">
        <v>99</v>
      </c>
      <c r="AE499" s="14" t="s">
        <v>99</v>
      </c>
      <c r="AF499" s="14" t="s">
        <v>99</v>
      </c>
      <c r="AG499" s="14">
        <v>48.0</v>
      </c>
      <c r="AH499" s="14">
        <v>218.0</v>
      </c>
      <c r="AI499" s="14">
        <v>253.0</v>
      </c>
      <c r="AJ499" s="14">
        <v>0.0</v>
      </c>
      <c r="AK499" s="14">
        <v>60.0</v>
      </c>
      <c r="AL499" s="14" t="s">
        <v>493</v>
      </c>
      <c r="AM499" s="14" t="s">
        <v>494</v>
      </c>
      <c r="AN499" s="14" t="s">
        <v>495</v>
      </c>
      <c r="AO499" s="14" t="s">
        <v>1112</v>
      </c>
      <c r="AP499" s="14" t="s">
        <v>1113</v>
      </c>
      <c r="AQ499" s="14" t="s">
        <v>99</v>
      </c>
      <c r="AR499" s="14" t="s">
        <v>1114</v>
      </c>
      <c r="AS499" s="14" t="s">
        <v>1115</v>
      </c>
      <c r="AT499" s="14" t="s">
        <v>9432</v>
      </c>
      <c r="AU499" s="14">
        <v>2003.0</v>
      </c>
      <c r="AV499" s="14">
        <v>112.0</v>
      </c>
      <c r="AW499" s="14" t="s">
        <v>1161</v>
      </c>
      <c r="AX499" s="14" t="s">
        <v>99</v>
      </c>
      <c r="AY499" s="14" t="s">
        <v>99</v>
      </c>
      <c r="AZ499" s="14" t="s">
        <v>99</v>
      </c>
      <c r="BA499" s="14" t="s">
        <v>99</v>
      </c>
      <c r="BB499" s="14">
        <v>87.0</v>
      </c>
      <c r="BC499" s="14">
        <v>97.0</v>
      </c>
      <c r="BD499" s="14" t="s">
        <v>99</v>
      </c>
      <c r="BE499" s="14" t="s">
        <v>9433</v>
      </c>
      <c r="BF499" s="15" t="str">
        <f>HYPERLINK("http://dx.doi.org/10.1016/S0006-3207(02)00414-7","http://dx.doi.org/10.1016/S0006-3207(02)00414-7")</f>
        <v>http://dx.doi.org/10.1016/S0006-3207(02)00414-7</v>
      </c>
      <c r="BG499" s="14" t="s">
        <v>99</v>
      </c>
      <c r="BH499" s="14" t="s">
        <v>99</v>
      </c>
      <c r="BI499" s="14">
        <v>11.0</v>
      </c>
      <c r="BJ499" s="14" t="s">
        <v>351</v>
      </c>
      <c r="BK499" s="14" t="s">
        <v>122</v>
      </c>
      <c r="BL499" s="14" t="s">
        <v>352</v>
      </c>
      <c r="BM499" s="14" t="s">
        <v>9434</v>
      </c>
      <c r="BN499" s="14" t="s">
        <v>99</v>
      </c>
      <c r="BO499" s="14" t="s">
        <v>99</v>
      </c>
      <c r="BP499" s="14" t="s">
        <v>99</v>
      </c>
      <c r="BQ499" s="14" t="s">
        <v>99</v>
      </c>
      <c r="BR499" s="14" t="s">
        <v>124</v>
      </c>
      <c r="BS499" s="14" t="s">
        <v>9435</v>
      </c>
      <c r="BT499" s="14" t="str">
        <f>HYPERLINK("https%3A%2F%2Fwww.webofscience.com%2Fwos%2Fwoscc%2Ffull-record%2FWOS:000182913800006","View Full Record in Web of Science")</f>
        <v>View Full Record in Web of Science</v>
      </c>
    </row>
    <row r="500" ht="12.75" customHeight="1">
      <c r="A500" s="14" t="s">
        <v>97</v>
      </c>
      <c r="B500" s="14" t="s">
        <v>9436</v>
      </c>
      <c r="C500" s="14" t="s">
        <v>99</v>
      </c>
      <c r="D500" s="14" t="s">
        <v>99</v>
      </c>
      <c r="E500" s="14" t="s">
        <v>99</v>
      </c>
      <c r="F500" s="14" t="s">
        <v>9436</v>
      </c>
      <c r="G500" s="14" t="s">
        <v>99</v>
      </c>
      <c r="H500" s="14" t="s">
        <v>99</v>
      </c>
      <c r="I500" s="14" t="s">
        <v>9437</v>
      </c>
      <c r="J500" s="14" t="s">
        <v>5603</v>
      </c>
      <c r="K500" s="14" t="s">
        <v>99</v>
      </c>
      <c r="L500" s="14" t="s">
        <v>99</v>
      </c>
      <c r="M500" s="14" t="s">
        <v>103</v>
      </c>
      <c r="N500" s="14" t="s">
        <v>104</v>
      </c>
      <c r="O500" s="14" t="s">
        <v>99</v>
      </c>
      <c r="P500" s="14" t="s">
        <v>99</v>
      </c>
      <c r="Q500" s="14" t="s">
        <v>99</v>
      </c>
      <c r="R500" s="14" t="s">
        <v>99</v>
      </c>
      <c r="S500" s="14" t="s">
        <v>99</v>
      </c>
      <c r="T500" s="14" t="s">
        <v>9438</v>
      </c>
      <c r="U500" s="14" t="s">
        <v>99</v>
      </c>
      <c r="V500" s="14" t="s">
        <v>9439</v>
      </c>
      <c r="W500" s="14" t="s">
        <v>9440</v>
      </c>
      <c r="X500" s="14" t="s">
        <v>99</v>
      </c>
      <c r="Y500" s="14" t="s">
        <v>9441</v>
      </c>
      <c r="Z500" s="14" t="s">
        <v>9442</v>
      </c>
      <c r="AA500" s="14" t="s">
        <v>9443</v>
      </c>
      <c r="AB500" s="14" t="s">
        <v>9444</v>
      </c>
      <c r="AC500" s="14" t="s">
        <v>99</v>
      </c>
      <c r="AD500" s="14" t="s">
        <v>99</v>
      </c>
      <c r="AE500" s="14" t="s">
        <v>99</v>
      </c>
      <c r="AF500" s="14" t="s">
        <v>99</v>
      </c>
      <c r="AG500" s="14">
        <v>31.0</v>
      </c>
      <c r="AH500" s="14">
        <v>64.0</v>
      </c>
      <c r="AI500" s="14">
        <v>84.0</v>
      </c>
      <c r="AJ500" s="14">
        <v>0.0</v>
      </c>
      <c r="AK500" s="14">
        <v>39.0</v>
      </c>
      <c r="AL500" s="14" t="s">
        <v>441</v>
      </c>
      <c r="AM500" s="14" t="s">
        <v>442</v>
      </c>
      <c r="AN500" s="14" t="s">
        <v>443</v>
      </c>
      <c r="AO500" s="14" t="s">
        <v>5616</v>
      </c>
      <c r="AP500" s="14" t="s">
        <v>5617</v>
      </c>
      <c r="AQ500" s="14" t="s">
        <v>99</v>
      </c>
      <c r="AR500" s="14" t="s">
        <v>5618</v>
      </c>
      <c r="AS500" s="14" t="s">
        <v>5619</v>
      </c>
      <c r="AT500" s="14" t="s">
        <v>640</v>
      </c>
      <c r="AU500" s="14">
        <v>2003.0</v>
      </c>
      <c r="AV500" s="14">
        <v>95.0</v>
      </c>
      <c r="AW500" s="14" t="s">
        <v>7889</v>
      </c>
      <c r="AX500" s="14" t="s">
        <v>99</v>
      </c>
      <c r="AY500" s="14" t="s">
        <v>99</v>
      </c>
      <c r="AZ500" s="14" t="s">
        <v>99</v>
      </c>
      <c r="BA500" s="14" t="s">
        <v>99</v>
      </c>
      <c r="BB500" s="14">
        <v>481.0</v>
      </c>
      <c r="BC500" s="14">
        <v>493.0</v>
      </c>
      <c r="BD500" s="14" t="s">
        <v>9445</v>
      </c>
      <c r="BE500" s="14" t="s">
        <v>9446</v>
      </c>
      <c r="BF500" s="15" t="str">
        <f>HYPERLINK("http://dx.doi.org/10.1016/S0167-8809(02)00204-9","http://dx.doi.org/10.1016/S0167-8809(02)00204-9")</f>
        <v>http://dx.doi.org/10.1016/S0167-8809(02)00204-9</v>
      </c>
      <c r="BG500" s="14" t="s">
        <v>99</v>
      </c>
      <c r="BH500" s="14" t="s">
        <v>99</v>
      </c>
      <c r="BI500" s="14">
        <v>13.0</v>
      </c>
      <c r="BJ500" s="14" t="s">
        <v>5622</v>
      </c>
      <c r="BK500" s="14" t="s">
        <v>122</v>
      </c>
      <c r="BL500" s="14" t="s">
        <v>5623</v>
      </c>
      <c r="BM500" s="14" t="s">
        <v>9447</v>
      </c>
      <c r="BN500" s="14" t="s">
        <v>99</v>
      </c>
      <c r="BO500" s="14" t="s">
        <v>99</v>
      </c>
      <c r="BP500" s="14" t="s">
        <v>99</v>
      </c>
      <c r="BQ500" s="14" t="s">
        <v>99</v>
      </c>
      <c r="BR500" s="14" t="s">
        <v>124</v>
      </c>
      <c r="BS500" s="14" t="s">
        <v>9448</v>
      </c>
      <c r="BT500" s="14" t="str">
        <f>HYPERLINK("https%3A%2F%2Fwww.webofscience.com%2Fwos%2Fwoscc%2Ffull-record%2FWOS:000182329600007","View Full Record in Web of Science")</f>
        <v>View Full Record in Web of Science</v>
      </c>
    </row>
    <row r="501" ht="12.75" customHeight="1">
      <c r="A501" s="14" t="s">
        <v>97</v>
      </c>
      <c r="B501" s="14" t="s">
        <v>9449</v>
      </c>
      <c r="C501" s="14" t="s">
        <v>99</v>
      </c>
      <c r="D501" s="14" t="s">
        <v>99</v>
      </c>
      <c r="E501" s="14" t="s">
        <v>99</v>
      </c>
      <c r="F501" s="14" t="s">
        <v>9449</v>
      </c>
      <c r="G501" s="14" t="s">
        <v>99</v>
      </c>
      <c r="H501" s="14" t="s">
        <v>99</v>
      </c>
      <c r="I501" s="14" t="s">
        <v>9450</v>
      </c>
      <c r="J501" s="14" t="s">
        <v>3479</v>
      </c>
      <c r="K501" s="14" t="s">
        <v>99</v>
      </c>
      <c r="L501" s="14" t="s">
        <v>99</v>
      </c>
      <c r="M501" s="14" t="s">
        <v>103</v>
      </c>
      <c r="N501" s="14" t="s">
        <v>2284</v>
      </c>
      <c r="O501" s="14" t="s">
        <v>9451</v>
      </c>
      <c r="P501" s="14" t="s">
        <v>9452</v>
      </c>
      <c r="Q501" s="14" t="s">
        <v>9453</v>
      </c>
      <c r="R501" s="14" t="s">
        <v>99</v>
      </c>
      <c r="S501" s="14" t="s">
        <v>99</v>
      </c>
      <c r="T501" s="14" t="s">
        <v>9454</v>
      </c>
      <c r="U501" s="14" t="s">
        <v>9455</v>
      </c>
      <c r="V501" s="14" t="s">
        <v>9456</v>
      </c>
      <c r="W501" s="14" t="s">
        <v>9457</v>
      </c>
      <c r="X501" s="14" t="s">
        <v>99</v>
      </c>
      <c r="Y501" s="14" t="s">
        <v>9458</v>
      </c>
      <c r="Z501" s="14" t="s">
        <v>9459</v>
      </c>
      <c r="AA501" s="14" t="s">
        <v>9460</v>
      </c>
      <c r="AB501" s="14" t="s">
        <v>9461</v>
      </c>
      <c r="AC501" s="14" t="s">
        <v>99</v>
      </c>
      <c r="AD501" s="14" t="s">
        <v>99</v>
      </c>
      <c r="AE501" s="14" t="s">
        <v>99</v>
      </c>
      <c r="AF501" s="14" t="s">
        <v>99</v>
      </c>
      <c r="AG501" s="14">
        <v>34.0</v>
      </c>
      <c r="AH501" s="14">
        <v>131.0</v>
      </c>
      <c r="AI501" s="14">
        <v>154.0</v>
      </c>
      <c r="AJ501" s="14">
        <v>2.0</v>
      </c>
      <c r="AK501" s="14">
        <v>75.0</v>
      </c>
      <c r="AL501" s="14" t="s">
        <v>441</v>
      </c>
      <c r="AM501" s="14" t="s">
        <v>442</v>
      </c>
      <c r="AN501" s="14" t="s">
        <v>443</v>
      </c>
      <c r="AO501" s="14" t="s">
        <v>3490</v>
      </c>
      <c r="AP501" s="14" t="s">
        <v>3491</v>
      </c>
      <c r="AQ501" s="14" t="s">
        <v>99</v>
      </c>
      <c r="AR501" s="14" t="s">
        <v>3492</v>
      </c>
      <c r="AS501" s="14" t="s">
        <v>3493</v>
      </c>
      <c r="AT501" s="14" t="s">
        <v>640</v>
      </c>
      <c r="AU501" s="14">
        <v>2003.0</v>
      </c>
      <c r="AV501" s="14">
        <v>24.0</v>
      </c>
      <c r="AW501" s="14" t="s">
        <v>99</v>
      </c>
      <c r="AX501" s="14" t="s">
        <v>99</v>
      </c>
      <c r="AY501" s="14">
        <v>1.0</v>
      </c>
      <c r="AZ501" s="14" t="s">
        <v>99</v>
      </c>
      <c r="BA501" s="14" t="s">
        <v>99</v>
      </c>
      <c r="BB501" s="14" t="s">
        <v>9462</v>
      </c>
      <c r="BC501" s="14" t="s">
        <v>9463</v>
      </c>
      <c r="BD501" s="14" t="s">
        <v>99</v>
      </c>
      <c r="BE501" s="14" t="s">
        <v>9464</v>
      </c>
      <c r="BF501" s="15" t="str">
        <f>HYPERLINK("http://dx.doi.org/10.1016/S1146-609X(03)00009-2","http://dx.doi.org/10.1016/S1146-609X(03)00009-2")</f>
        <v>http://dx.doi.org/10.1016/S1146-609X(03)00009-2</v>
      </c>
      <c r="BG501" s="14" t="s">
        <v>99</v>
      </c>
      <c r="BH501" s="14" t="s">
        <v>99</v>
      </c>
      <c r="BI501" s="14">
        <v>6.0</v>
      </c>
      <c r="BJ501" s="14" t="s">
        <v>259</v>
      </c>
      <c r="BK501" s="14" t="s">
        <v>2311</v>
      </c>
      <c r="BL501" s="14" t="s">
        <v>260</v>
      </c>
      <c r="BM501" s="14" t="s">
        <v>9465</v>
      </c>
      <c r="BN501" s="14" t="s">
        <v>99</v>
      </c>
      <c r="BO501" s="14" t="s">
        <v>99</v>
      </c>
      <c r="BP501" s="14" t="s">
        <v>99</v>
      </c>
      <c r="BQ501" s="14" t="s">
        <v>99</v>
      </c>
      <c r="BR501" s="14" t="s">
        <v>124</v>
      </c>
      <c r="BS501" s="14" t="s">
        <v>9466</v>
      </c>
      <c r="BT501" s="14" t="str">
        <f>HYPERLINK("https%3A%2F%2Fwww.webofscience.com%2Fwos%2Fwoscc%2Ffull-record%2FWOS:000183900400016","View Full Record in Web of Science")</f>
        <v>View Full Record in Web of Science</v>
      </c>
    </row>
    <row r="502" ht="12.75" customHeight="1">
      <c r="A502" s="14" t="s">
        <v>97</v>
      </c>
      <c r="B502" s="14" t="s">
        <v>9467</v>
      </c>
      <c r="C502" s="14" t="s">
        <v>99</v>
      </c>
      <c r="D502" s="14" t="s">
        <v>99</v>
      </c>
      <c r="E502" s="14" t="s">
        <v>99</v>
      </c>
      <c r="F502" s="14" t="s">
        <v>9467</v>
      </c>
      <c r="G502" s="14" t="s">
        <v>99</v>
      </c>
      <c r="H502" s="14" t="s">
        <v>99</v>
      </c>
      <c r="I502" s="14" t="s">
        <v>9468</v>
      </c>
      <c r="J502" s="14" t="s">
        <v>328</v>
      </c>
      <c r="K502" s="14" t="s">
        <v>99</v>
      </c>
      <c r="L502" s="14" t="s">
        <v>99</v>
      </c>
      <c r="M502" s="14" t="s">
        <v>103</v>
      </c>
      <c r="N502" s="14" t="s">
        <v>104</v>
      </c>
      <c r="O502" s="14" t="s">
        <v>99</v>
      </c>
      <c r="P502" s="14" t="s">
        <v>99</v>
      </c>
      <c r="Q502" s="14" t="s">
        <v>99</v>
      </c>
      <c r="R502" s="14" t="s">
        <v>99</v>
      </c>
      <c r="S502" s="14" t="s">
        <v>99</v>
      </c>
      <c r="T502" s="14" t="s">
        <v>9469</v>
      </c>
      <c r="U502" s="14" t="s">
        <v>9470</v>
      </c>
      <c r="V502" s="14" t="s">
        <v>9471</v>
      </c>
      <c r="W502" s="14" t="s">
        <v>9472</v>
      </c>
      <c r="X502" s="14" t="s">
        <v>9473</v>
      </c>
      <c r="Y502" s="14" t="s">
        <v>7871</v>
      </c>
      <c r="Z502" s="14" t="s">
        <v>7872</v>
      </c>
      <c r="AA502" s="14" t="s">
        <v>9474</v>
      </c>
      <c r="AB502" s="14" t="s">
        <v>9475</v>
      </c>
      <c r="AC502" s="14" t="s">
        <v>99</v>
      </c>
      <c r="AD502" s="14" t="s">
        <v>99</v>
      </c>
      <c r="AE502" s="14" t="s">
        <v>99</v>
      </c>
      <c r="AF502" s="14" t="s">
        <v>99</v>
      </c>
      <c r="AG502" s="14">
        <v>44.0</v>
      </c>
      <c r="AH502" s="14">
        <v>132.0</v>
      </c>
      <c r="AI502" s="14">
        <v>165.0</v>
      </c>
      <c r="AJ502" s="14">
        <v>0.0</v>
      </c>
      <c r="AK502" s="14">
        <v>93.0</v>
      </c>
      <c r="AL502" s="14" t="s">
        <v>341</v>
      </c>
      <c r="AM502" s="14" t="s">
        <v>342</v>
      </c>
      <c r="AN502" s="14" t="s">
        <v>343</v>
      </c>
      <c r="AO502" s="14" t="s">
        <v>344</v>
      </c>
      <c r="AP502" s="14" t="s">
        <v>345</v>
      </c>
      <c r="AQ502" s="14" t="s">
        <v>99</v>
      </c>
      <c r="AR502" s="14" t="s">
        <v>346</v>
      </c>
      <c r="AS502" s="14" t="s">
        <v>347</v>
      </c>
      <c r="AT502" s="14" t="s">
        <v>640</v>
      </c>
      <c r="AU502" s="14">
        <v>2003.0</v>
      </c>
      <c r="AV502" s="14">
        <v>9.0</v>
      </c>
      <c r="AW502" s="14">
        <v>5.0</v>
      </c>
      <c r="AX502" s="14" t="s">
        <v>99</v>
      </c>
      <c r="AY502" s="14" t="s">
        <v>99</v>
      </c>
      <c r="AZ502" s="14" t="s">
        <v>99</v>
      </c>
      <c r="BA502" s="14" t="s">
        <v>99</v>
      </c>
      <c r="BB502" s="14">
        <v>647.0</v>
      </c>
      <c r="BC502" s="14">
        <v>655.0</v>
      </c>
      <c r="BD502" s="14" t="s">
        <v>99</v>
      </c>
      <c r="BE502" s="14" t="s">
        <v>9476</v>
      </c>
      <c r="BF502" s="15" t="str">
        <f>HYPERLINK("http://dx.doi.org/10.1046/j.1365-2486.2003.00616.x","http://dx.doi.org/10.1046/j.1365-2486.2003.00616.x")</f>
        <v>http://dx.doi.org/10.1046/j.1365-2486.2003.00616.x</v>
      </c>
      <c r="BG502" s="14" t="s">
        <v>99</v>
      </c>
      <c r="BH502" s="14" t="s">
        <v>99</v>
      </c>
      <c r="BI502" s="14">
        <v>9.0</v>
      </c>
      <c r="BJ502" s="14" t="s">
        <v>351</v>
      </c>
      <c r="BK502" s="14" t="s">
        <v>122</v>
      </c>
      <c r="BL502" s="14" t="s">
        <v>352</v>
      </c>
      <c r="BM502" s="14" t="s">
        <v>9477</v>
      </c>
      <c r="BN502" s="14" t="s">
        <v>99</v>
      </c>
      <c r="BO502" s="14" t="s">
        <v>99</v>
      </c>
      <c r="BP502" s="14" t="s">
        <v>99</v>
      </c>
      <c r="BQ502" s="14" t="s">
        <v>99</v>
      </c>
      <c r="BR502" s="14" t="s">
        <v>124</v>
      </c>
      <c r="BS502" s="14" t="s">
        <v>9478</v>
      </c>
      <c r="BT502" s="14" t="str">
        <f>HYPERLINK("https%3A%2F%2Fwww.webofscience.com%2Fwos%2Fwoscc%2Ffull-record%2FWOS:000182653700001","View Full Record in Web of Science")</f>
        <v>View Full Record in Web of Science</v>
      </c>
    </row>
    <row r="503" ht="12.75" customHeight="1">
      <c r="A503" s="14" t="s">
        <v>97</v>
      </c>
      <c r="B503" s="14" t="s">
        <v>9479</v>
      </c>
      <c r="C503" s="14" t="s">
        <v>99</v>
      </c>
      <c r="D503" s="14" t="s">
        <v>99</v>
      </c>
      <c r="E503" s="14" t="s">
        <v>99</v>
      </c>
      <c r="F503" s="14" t="s">
        <v>9479</v>
      </c>
      <c r="G503" s="14" t="s">
        <v>99</v>
      </c>
      <c r="H503" s="14" t="s">
        <v>99</v>
      </c>
      <c r="I503" s="14" t="s">
        <v>9480</v>
      </c>
      <c r="J503" s="14" t="s">
        <v>430</v>
      </c>
      <c r="K503" s="14" t="s">
        <v>99</v>
      </c>
      <c r="L503" s="14" t="s">
        <v>99</v>
      </c>
      <c r="M503" s="14" t="s">
        <v>103</v>
      </c>
      <c r="N503" s="14" t="s">
        <v>104</v>
      </c>
      <c r="O503" s="14" t="s">
        <v>99</v>
      </c>
      <c r="P503" s="14" t="s">
        <v>99</v>
      </c>
      <c r="Q503" s="14" t="s">
        <v>99</v>
      </c>
      <c r="R503" s="14" t="s">
        <v>99</v>
      </c>
      <c r="S503" s="14" t="s">
        <v>99</v>
      </c>
      <c r="T503" s="14" t="s">
        <v>9481</v>
      </c>
      <c r="U503" s="14" t="s">
        <v>9482</v>
      </c>
      <c r="V503" s="14" t="s">
        <v>9483</v>
      </c>
      <c r="W503" s="14" t="s">
        <v>9484</v>
      </c>
      <c r="X503" s="14" t="s">
        <v>9485</v>
      </c>
      <c r="Y503" s="14" t="s">
        <v>9486</v>
      </c>
      <c r="Z503" s="14" t="s">
        <v>9487</v>
      </c>
      <c r="AA503" s="14" t="s">
        <v>9488</v>
      </c>
      <c r="AB503" s="14" t="s">
        <v>9489</v>
      </c>
      <c r="AC503" s="14" t="s">
        <v>99</v>
      </c>
      <c r="AD503" s="14" t="s">
        <v>99</v>
      </c>
      <c r="AE503" s="14" t="s">
        <v>99</v>
      </c>
      <c r="AF503" s="14" t="s">
        <v>99</v>
      </c>
      <c r="AG503" s="14">
        <v>87.0</v>
      </c>
      <c r="AH503" s="14">
        <v>84.0</v>
      </c>
      <c r="AI503" s="14">
        <v>101.0</v>
      </c>
      <c r="AJ503" s="14">
        <v>1.0</v>
      </c>
      <c r="AK503" s="14">
        <v>77.0</v>
      </c>
      <c r="AL503" s="14" t="s">
        <v>441</v>
      </c>
      <c r="AM503" s="14" t="s">
        <v>442</v>
      </c>
      <c r="AN503" s="14" t="s">
        <v>443</v>
      </c>
      <c r="AO503" s="14" t="s">
        <v>444</v>
      </c>
      <c r="AP503" s="14" t="s">
        <v>445</v>
      </c>
      <c r="AQ503" s="14" t="s">
        <v>99</v>
      </c>
      <c r="AR503" s="14" t="s">
        <v>446</v>
      </c>
      <c r="AS503" s="14" t="s">
        <v>447</v>
      </c>
      <c r="AT503" s="14" t="s">
        <v>9490</v>
      </c>
      <c r="AU503" s="14">
        <v>2003.0</v>
      </c>
      <c r="AV503" s="14">
        <v>177.0</v>
      </c>
      <c r="AW503" s="14" t="s">
        <v>8123</v>
      </c>
      <c r="AX503" s="14" t="s">
        <v>99</v>
      </c>
      <c r="AY503" s="14" t="s">
        <v>99</v>
      </c>
      <c r="AZ503" s="14" t="s">
        <v>99</v>
      </c>
      <c r="BA503" s="14" t="s">
        <v>99</v>
      </c>
      <c r="BB503" s="14">
        <v>17.0</v>
      </c>
      <c r="BC503" s="14">
        <v>37.0</v>
      </c>
      <c r="BD503" s="14" t="s">
        <v>9491</v>
      </c>
      <c r="BE503" s="14" t="s">
        <v>9492</v>
      </c>
      <c r="BF503" s="15" t="str">
        <f>HYPERLINK("http://dx.doi.org/10.1016/S0378-1127(02)00331-6","http://dx.doi.org/10.1016/S0378-1127(02)00331-6")</f>
        <v>http://dx.doi.org/10.1016/S0378-1127(02)00331-6</v>
      </c>
      <c r="BG503" s="14" t="s">
        <v>99</v>
      </c>
      <c r="BH503" s="14" t="s">
        <v>99</v>
      </c>
      <c r="BI503" s="14">
        <v>21.0</v>
      </c>
      <c r="BJ503" s="14" t="s">
        <v>281</v>
      </c>
      <c r="BK503" s="14" t="s">
        <v>122</v>
      </c>
      <c r="BL503" s="14" t="s">
        <v>281</v>
      </c>
      <c r="BM503" s="14" t="s">
        <v>9493</v>
      </c>
      <c r="BN503" s="14" t="s">
        <v>99</v>
      </c>
      <c r="BO503" s="14" t="s">
        <v>99</v>
      </c>
      <c r="BP503" s="14" t="s">
        <v>99</v>
      </c>
      <c r="BQ503" s="14" t="s">
        <v>99</v>
      </c>
      <c r="BR503" s="14" t="s">
        <v>124</v>
      </c>
      <c r="BS503" s="14" t="s">
        <v>9494</v>
      </c>
      <c r="BT503" s="14" t="str">
        <f>HYPERLINK("https%3A%2F%2Fwww.webofscience.com%2Fwos%2Fwoscc%2Ffull-record%2FWOS:000182041800003","View Full Record in Web of Science")</f>
        <v>View Full Record in Web of Science</v>
      </c>
    </row>
    <row r="504" ht="12.75" customHeight="1">
      <c r="A504" s="14" t="s">
        <v>97</v>
      </c>
      <c r="B504" s="14" t="s">
        <v>9495</v>
      </c>
      <c r="C504" s="14" t="s">
        <v>99</v>
      </c>
      <c r="D504" s="14" t="s">
        <v>99</v>
      </c>
      <c r="E504" s="14" t="s">
        <v>99</v>
      </c>
      <c r="F504" s="14" t="s">
        <v>9495</v>
      </c>
      <c r="G504" s="14" t="s">
        <v>99</v>
      </c>
      <c r="H504" s="14" t="s">
        <v>99</v>
      </c>
      <c r="I504" s="14" t="s">
        <v>9496</v>
      </c>
      <c r="J504" s="14" t="s">
        <v>532</v>
      </c>
      <c r="K504" s="14" t="s">
        <v>99</v>
      </c>
      <c r="L504" s="14" t="s">
        <v>99</v>
      </c>
      <c r="M504" s="14" t="s">
        <v>103</v>
      </c>
      <c r="N504" s="14" t="s">
        <v>104</v>
      </c>
      <c r="O504" s="14" t="s">
        <v>99</v>
      </c>
      <c r="P504" s="14" t="s">
        <v>99</v>
      </c>
      <c r="Q504" s="14" t="s">
        <v>99</v>
      </c>
      <c r="R504" s="14" t="s">
        <v>99</v>
      </c>
      <c r="S504" s="14" t="s">
        <v>99</v>
      </c>
      <c r="T504" s="14" t="s">
        <v>9497</v>
      </c>
      <c r="U504" s="14" t="s">
        <v>9498</v>
      </c>
      <c r="V504" s="14" t="s">
        <v>9499</v>
      </c>
      <c r="W504" s="14" t="s">
        <v>9500</v>
      </c>
      <c r="X504" s="14" t="s">
        <v>9501</v>
      </c>
      <c r="Y504" s="14" t="s">
        <v>9502</v>
      </c>
      <c r="Z504" s="14" t="s">
        <v>9503</v>
      </c>
      <c r="AA504" s="14" t="s">
        <v>9504</v>
      </c>
      <c r="AB504" s="14" t="s">
        <v>9505</v>
      </c>
      <c r="AC504" s="14" t="s">
        <v>99</v>
      </c>
      <c r="AD504" s="14" t="s">
        <v>99</v>
      </c>
      <c r="AE504" s="14" t="s">
        <v>99</v>
      </c>
      <c r="AF504" s="14" t="s">
        <v>99</v>
      </c>
      <c r="AG504" s="14">
        <v>76.0</v>
      </c>
      <c r="AH504" s="14">
        <v>169.0</v>
      </c>
      <c r="AI504" s="14">
        <v>198.0</v>
      </c>
      <c r="AJ504" s="14">
        <v>0.0</v>
      </c>
      <c r="AK504" s="14">
        <v>54.0</v>
      </c>
      <c r="AL504" s="14" t="s">
        <v>341</v>
      </c>
      <c r="AM504" s="14" t="s">
        <v>342</v>
      </c>
      <c r="AN504" s="14" t="s">
        <v>343</v>
      </c>
      <c r="AO504" s="14" t="s">
        <v>545</v>
      </c>
      <c r="AP504" s="14" t="s">
        <v>546</v>
      </c>
      <c r="AQ504" s="14" t="s">
        <v>99</v>
      </c>
      <c r="AR504" s="14" t="s">
        <v>547</v>
      </c>
      <c r="AS504" s="14" t="s">
        <v>548</v>
      </c>
      <c r="AT504" s="14" t="s">
        <v>718</v>
      </c>
      <c r="AU504" s="14">
        <v>2003.0</v>
      </c>
      <c r="AV504" s="14">
        <v>40.0</v>
      </c>
      <c r="AW504" s="14">
        <v>2.0</v>
      </c>
      <c r="AX504" s="14" t="s">
        <v>99</v>
      </c>
      <c r="AY504" s="14" t="s">
        <v>99</v>
      </c>
      <c r="AZ504" s="14" t="s">
        <v>99</v>
      </c>
      <c r="BA504" s="14" t="s">
        <v>99</v>
      </c>
      <c r="BB504" s="14">
        <v>380.0</v>
      </c>
      <c r="BC504" s="14">
        <v>391.0</v>
      </c>
      <c r="BD504" s="14" t="s">
        <v>99</v>
      </c>
      <c r="BE504" s="14" t="s">
        <v>9506</v>
      </c>
      <c r="BF504" s="15" t="str">
        <f>HYPERLINK("http://dx.doi.org/10.1046/j.1365-2664.2003.00794.x","http://dx.doi.org/10.1046/j.1365-2664.2003.00794.x")</f>
        <v>http://dx.doi.org/10.1046/j.1365-2664.2003.00794.x</v>
      </c>
      <c r="BG504" s="14" t="s">
        <v>99</v>
      </c>
      <c r="BH504" s="14" t="s">
        <v>99</v>
      </c>
      <c r="BI504" s="14">
        <v>12.0</v>
      </c>
      <c r="BJ504" s="14" t="s">
        <v>550</v>
      </c>
      <c r="BK504" s="14" t="s">
        <v>122</v>
      </c>
      <c r="BL504" s="14" t="s">
        <v>352</v>
      </c>
      <c r="BM504" s="14" t="s">
        <v>9507</v>
      </c>
      <c r="BN504" s="14" t="s">
        <v>99</v>
      </c>
      <c r="BO504" s="14" t="s">
        <v>99</v>
      </c>
      <c r="BP504" s="14" t="s">
        <v>99</v>
      </c>
      <c r="BQ504" s="14" t="s">
        <v>99</v>
      </c>
      <c r="BR504" s="14" t="s">
        <v>124</v>
      </c>
      <c r="BS504" s="14" t="s">
        <v>9508</v>
      </c>
      <c r="BT504" s="14" t="str">
        <f>HYPERLINK("https%3A%2F%2Fwww.webofscience.com%2Fwos%2Fwoscc%2Ffull-record%2FWOS:000182118700016","View Full Record in Web of Science")</f>
        <v>View Full Record in Web of Science</v>
      </c>
    </row>
    <row r="505" ht="12.75" customHeight="1">
      <c r="A505" s="14" t="s">
        <v>97</v>
      </c>
      <c r="B505" s="14" t="s">
        <v>9509</v>
      </c>
      <c r="C505" s="14" t="s">
        <v>99</v>
      </c>
      <c r="D505" s="14" t="s">
        <v>99</v>
      </c>
      <c r="E505" s="14" t="s">
        <v>99</v>
      </c>
      <c r="F505" s="14" t="s">
        <v>9509</v>
      </c>
      <c r="G505" s="14" t="s">
        <v>99</v>
      </c>
      <c r="H505" s="14" t="s">
        <v>99</v>
      </c>
      <c r="I505" s="14" t="s">
        <v>9510</v>
      </c>
      <c r="J505" s="14" t="s">
        <v>2142</v>
      </c>
      <c r="K505" s="14" t="s">
        <v>99</v>
      </c>
      <c r="L505" s="14" t="s">
        <v>99</v>
      </c>
      <c r="M505" s="14" t="s">
        <v>103</v>
      </c>
      <c r="N505" s="14" t="s">
        <v>104</v>
      </c>
      <c r="O505" s="14" t="s">
        <v>99</v>
      </c>
      <c r="P505" s="14" t="s">
        <v>99</v>
      </c>
      <c r="Q505" s="14" t="s">
        <v>99</v>
      </c>
      <c r="R505" s="14" t="s">
        <v>99</v>
      </c>
      <c r="S505" s="14" t="s">
        <v>99</v>
      </c>
      <c r="T505" s="14" t="s">
        <v>99</v>
      </c>
      <c r="U505" s="14" t="s">
        <v>9511</v>
      </c>
      <c r="V505" s="14" t="s">
        <v>9512</v>
      </c>
      <c r="W505" s="14" t="s">
        <v>9513</v>
      </c>
      <c r="X505" s="14" t="s">
        <v>5733</v>
      </c>
      <c r="Y505" s="14" t="s">
        <v>9514</v>
      </c>
      <c r="Z505" s="14" t="s">
        <v>9515</v>
      </c>
      <c r="AA505" s="14" t="s">
        <v>9516</v>
      </c>
      <c r="AB505" s="14" t="s">
        <v>9517</v>
      </c>
      <c r="AC505" s="14" t="s">
        <v>99</v>
      </c>
      <c r="AD505" s="14" t="s">
        <v>99</v>
      </c>
      <c r="AE505" s="14" t="s">
        <v>99</v>
      </c>
      <c r="AF505" s="14" t="s">
        <v>99</v>
      </c>
      <c r="AG505" s="14">
        <v>51.0</v>
      </c>
      <c r="AH505" s="14">
        <v>193.0</v>
      </c>
      <c r="AI505" s="14">
        <v>229.0</v>
      </c>
      <c r="AJ505" s="14">
        <v>0.0</v>
      </c>
      <c r="AK505" s="14">
        <v>84.0</v>
      </c>
      <c r="AL505" s="14" t="s">
        <v>341</v>
      </c>
      <c r="AM505" s="14" t="s">
        <v>342</v>
      </c>
      <c r="AN505" s="14" t="s">
        <v>343</v>
      </c>
      <c r="AO505" s="14" t="s">
        <v>2155</v>
      </c>
      <c r="AP505" s="14" t="s">
        <v>2156</v>
      </c>
      <c r="AQ505" s="14" t="s">
        <v>99</v>
      </c>
      <c r="AR505" s="14" t="s">
        <v>2157</v>
      </c>
      <c r="AS505" s="14" t="s">
        <v>2158</v>
      </c>
      <c r="AT505" s="14" t="s">
        <v>718</v>
      </c>
      <c r="AU505" s="14">
        <v>2003.0</v>
      </c>
      <c r="AV505" s="14">
        <v>17.0</v>
      </c>
      <c r="AW505" s="14">
        <v>2.0</v>
      </c>
      <c r="AX505" s="14" t="s">
        <v>99</v>
      </c>
      <c r="AY505" s="14" t="s">
        <v>99</v>
      </c>
      <c r="AZ505" s="14" t="s">
        <v>99</v>
      </c>
      <c r="BA505" s="14" t="s">
        <v>99</v>
      </c>
      <c r="BB505" s="14">
        <v>521.0</v>
      </c>
      <c r="BC505" s="14">
        <v>535.0</v>
      </c>
      <c r="BD505" s="14" t="s">
        <v>99</v>
      </c>
      <c r="BE505" s="14" t="s">
        <v>9518</v>
      </c>
      <c r="BF505" s="15" t="str">
        <f>HYPERLINK("http://dx.doi.org/10.1046/j.1523-1739.2003.01413.x","http://dx.doi.org/10.1046/j.1523-1739.2003.01413.x")</f>
        <v>http://dx.doi.org/10.1046/j.1523-1739.2003.01413.x</v>
      </c>
      <c r="BG505" s="14" t="s">
        <v>99</v>
      </c>
      <c r="BH505" s="14" t="s">
        <v>99</v>
      </c>
      <c r="BI505" s="14">
        <v>15.0</v>
      </c>
      <c r="BJ505" s="14" t="s">
        <v>351</v>
      </c>
      <c r="BK505" s="14" t="s">
        <v>122</v>
      </c>
      <c r="BL505" s="14" t="s">
        <v>352</v>
      </c>
      <c r="BM505" s="14" t="s">
        <v>9519</v>
      </c>
      <c r="BN505" s="14" t="s">
        <v>99</v>
      </c>
      <c r="BO505" s="14" t="s">
        <v>99</v>
      </c>
      <c r="BP505" s="14" t="s">
        <v>99</v>
      </c>
      <c r="BQ505" s="14" t="s">
        <v>99</v>
      </c>
      <c r="BR505" s="14" t="s">
        <v>124</v>
      </c>
      <c r="BS505" s="14" t="s">
        <v>9520</v>
      </c>
      <c r="BT505" s="14" t="str">
        <f>HYPERLINK("https%3A%2F%2Fwww.webofscience.com%2Fwos%2Fwoscc%2Ffull-record%2FWOS:000181736400021","View Full Record in Web of Science")</f>
        <v>View Full Record in Web of Science</v>
      </c>
    </row>
    <row r="506" ht="12.75" customHeight="1">
      <c r="A506" s="14" t="s">
        <v>97</v>
      </c>
      <c r="B506" s="14" t="s">
        <v>9521</v>
      </c>
      <c r="C506" s="14" t="s">
        <v>99</v>
      </c>
      <c r="D506" s="14" t="s">
        <v>99</v>
      </c>
      <c r="E506" s="14" t="s">
        <v>99</v>
      </c>
      <c r="F506" s="14" t="s">
        <v>9521</v>
      </c>
      <c r="G506" s="14" t="s">
        <v>99</v>
      </c>
      <c r="H506" s="14" t="s">
        <v>99</v>
      </c>
      <c r="I506" s="14" t="s">
        <v>9522</v>
      </c>
      <c r="J506" s="14" t="s">
        <v>900</v>
      </c>
      <c r="K506" s="14" t="s">
        <v>99</v>
      </c>
      <c r="L506" s="14" t="s">
        <v>99</v>
      </c>
      <c r="M506" s="14" t="s">
        <v>103</v>
      </c>
      <c r="N506" s="14" t="s">
        <v>104</v>
      </c>
      <c r="O506" s="14" t="s">
        <v>99</v>
      </c>
      <c r="P506" s="14" t="s">
        <v>99</v>
      </c>
      <c r="Q506" s="14" t="s">
        <v>99</v>
      </c>
      <c r="R506" s="14" t="s">
        <v>99</v>
      </c>
      <c r="S506" s="14" t="s">
        <v>99</v>
      </c>
      <c r="T506" s="14" t="s">
        <v>99</v>
      </c>
      <c r="U506" s="14" t="s">
        <v>9523</v>
      </c>
      <c r="V506" s="14" t="s">
        <v>9524</v>
      </c>
      <c r="W506" s="14" t="s">
        <v>9525</v>
      </c>
      <c r="X506" s="14" t="s">
        <v>9526</v>
      </c>
      <c r="Y506" s="14" t="s">
        <v>9527</v>
      </c>
      <c r="Z506" s="14" t="s">
        <v>9528</v>
      </c>
      <c r="AA506" s="14" t="s">
        <v>9529</v>
      </c>
      <c r="AB506" s="14" t="s">
        <v>9530</v>
      </c>
      <c r="AC506" s="14" t="s">
        <v>99</v>
      </c>
      <c r="AD506" s="14" t="s">
        <v>99</v>
      </c>
      <c r="AE506" s="14" t="s">
        <v>99</v>
      </c>
      <c r="AF506" s="14" t="s">
        <v>99</v>
      </c>
      <c r="AG506" s="14">
        <v>28.0</v>
      </c>
      <c r="AH506" s="14">
        <v>456.0</v>
      </c>
      <c r="AI506" s="14">
        <v>548.0</v>
      </c>
      <c r="AJ506" s="14">
        <v>3.0</v>
      </c>
      <c r="AK506" s="14">
        <v>220.0</v>
      </c>
      <c r="AL506" s="14" t="s">
        <v>909</v>
      </c>
      <c r="AM506" s="14" t="s">
        <v>910</v>
      </c>
      <c r="AN506" s="14" t="s">
        <v>911</v>
      </c>
      <c r="AO506" s="14" t="s">
        <v>912</v>
      </c>
      <c r="AP506" s="14" t="s">
        <v>913</v>
      </c>
      <c r="AQ506" s="14" t="s">
        <v>99</v>
      </c>
      <c r="AR506" s="14" t="s">
        <v>900</v>
      </c>
      <c r="AS506" s="14" t="s">
        <v>914</v>
      </c>
      <c r="AT506" s="14" t="s">
        <v>9531</v>
      </c>
      <c r="AU506" s="14">
        <v>2003.0</v>
      </c>
      <c r="AV506" s="14">
        <v>421.0</v>
      </c>
      <c r="AW506" s="14">
        <v>6922.0</v>
      </c>
      <c r="AX506" s="14" t="s">
        <v>99</v>
      </c>
      <c r="AY506" s="14" t="s">
        <v>99</v>
      </c>
      <c r="AZ506" s="14" t="s">
        <v>99</v>
      </c>
      <c r="BA506" s="14" t="s">
        <v>99</v>
      </c>
      <c r="BB506" s="14">
        <v>530.0</v>
      </c>
      <c r="BC506" s="14">
        <v>533.0</v>
      </c>
      <c r="BD506" s="14" t="s">
        <v>99</v>
      </c>
      <c r="BE506" s="14" t="s">
        <v>9532</v>
      </c>
      <c r="BF506" s="15" t="str">
        <f>HYPERLINK("http://dx.doi.org/10.1038/nature01359","http://dx.doi.org/10.1038/nature01359")</f>
        <v>http://dx.doi.org/10.1038/nature01359</v>
      </c>
      <c r="BG506" s="14" t="s">
        <v>99</v>
      </c>
      <c r="BH506" s="14" t="s">
        <v>99</v>
      </c>
      <c r="BI506" s="14">
        <v>4.0</v>
      </c>
      <c r="BJ506" s="14" t="s">
        <v>799</v>
      </c>
      <c r="BK506" s="14" t="s">
        <v>800</v>
      </c>
      <c r="BL506" s="14" t="s">
        <v>801</v>
      </c>
      <c r="BM506" s="14" t="s">
        <v>9533</v>
      </c>
      <c r="BN506" s="14">
        <v>1.2540852E7</v>
      </c>
      <c r="BO506" s="14" t="s">
        <v>99</v>
      </c>
      <c r="BP506" s="14" t="s">
        <v>99</v>
      </c>
      <c r="BQ506" s="14" t="s">
        <v>99</v>
      </c>
      <c r="BR506" s="14" t="s">
        <v>124</v>
      </c>
      <c r="BS506" s="14" t="s">
        <v>9534</v>
      </c>
      <c r="BT506" s="14" t="str">
        <f>HYPERLINK("https%3A%2F%2Fwww.webofscience.com%2Fwos%2Fwoscc%2Ffull-record%2FWOS:000180670600044","View Full Record in Web of Science")</f>
        <v>View Full Record in Web of Science</v>
      </c>
    </row>
    <row r="507" ht="12.75" customHeight="1">
      <c r="A507" s="14" t="s">
        <v>97</v>
      </c>
      <c r="B507" s="14" t="s">
        <v>9535</v>
      </c>
      <c r="C507" s="14" t="s">
        <v>99</v>
      </c>
      <c r="D507" s="14" t="s">
        <v>99</v>
      </c>
      <c r="E507" s="14" t="s">
        <v>99</v>
      </c>
      <c r="F507" s="14" t="s">
        <v>9535</v>
      </c>
      <c r="G507" s="14" t="s">
        <v>99</v>
      </c>
      <c r="H507" s="14" t="s">
        <v>99</v>
      </c>
      <c r="I507" s="14" t="s">
        <v>9536</v>
      </c>
      <c r="J507" s="14" t="s">
        <v>9537</v>
      </c>
      <c r="K507" s="14" t="s">
        <v>99</v>
      </c>
      <c r="L507" s="14" t="s">
        <v>99</v>
      </c>
      <c r="M507" s="14" t="s">
        <v>103</v>
      </c>
      <c r="N507" s="14" t="s">
        <v>104</v>
      </c>
      <c r="O507" s="14" t="s">
        <v>99</v>
      </c>
      <c r="P507" s="14" t="s">
        <v>99</v>
      </c>
      <c r="Q507" s="14" t="s">
        <v>99</v>
      </c>
      <c r="R507" s="14" t="s">
        <v>99</v>
      </c>
      <c r="S507" s="14" t="s">
        <v>99</v>
      </c>
      <c r="T507" s="14" t="s">
        <v>99</v>
      </c>
      <c r="U507" s="14" t="s">
        <v>9538</v>
      </c>
      <c r="V507" s="14" t="s">
        <v>9539</v>
      </c>
      <c r="W507" s="14" t="s">
        <v>9540</v>
      </c>
      <c r="X507" s="14" t="s">
        <v>9541</v>
      </c>
      <c r="Y507" s="14" t="s">
        <v>9542</v>
      </c>
      <c r="Z507" s="14" t="s">
        <v>9543</v>
      </c>
      <c r="AA507" s="14" t="s">
        <v>9544</v>
      </c>
      <c r="AB507" s="14" t="s">
        <v>9545</v>
      </c>
      <c r="AC507" s="14" t="s">
        <v>99</v>
      </c>
      <c r="AD507" s="14" t="s">
        <v>99</v>
      </c>
      <c r="AE507" s="14" t="s">
        <v>99</v>
      </c>
      <c r="AF507" s="14" t="s">
        <v>99</v>
      </c>
      <c r="AG507" s="14">
        <v>71.0</v>
      </c>
      <c r="AH507" s="14">
        <v>218.0</v>
      </c>
      <c r="AI507" s="14">
        <v>261.0</v>
      </c>
      <c r="AJ507" s="14">
        <v>0.0</v>
      </c>
      <c r="AK507" s="14">
        <v>102.0</v>
      </c>
      <c r="AL507" s="14" t="s">
        <v>2301</v>
      </c>
      <c r="AM507" s="14" t="s">
        <v>2302</v>
      </c>
      <c r="AN507" s="14" t="s">
        <v>2303</v>
      </c>
      <c r="AO507" s="14" t="s">
        <v>9546</v>
      </c>
      <c r="AP507" s="14" t="s">
        <v>9547</v>
      </c>
      <c r="AQ507" s="14" t="s">
        <v>99</v>
      </c>
      <c r="AR507" s="14" t="s">
        <v>9548</v>
      </c>
      <c r="AS507" s="14" t="s">
        <v>9549</v>
      </c>
      <c r="AT507" s="14" t="s">
        <v>1058</v>
      </c>
      <c r="AU507" s="14">
        <v>2002.0</v>
      </c>
      <c r="AV507" s="14">
        <v>141.0</v>
      </c>
      <c r="AW507" s="14">
        <v>6.0</v>
      </c>
      <c r="AX507" s="14" t="s">
        <v>99</v>
      </c>
      <c r="AY507" s="14" t="s">
        <v>99</v>
      </c>
      <c r="AZ507" s="14" t="s">
        <v>99</v>
      </c>
      <c r="BA507" s="14" t="s">
        <v>99</v>
      </c>
      <c r="BB507" s="14">
        <v>1085.0</v>
      </c>
      <c r="BC507" s="14">
        <v>1097.0</v>
      </c>
      <c r="BD507" s="14" t="s">
        <v>99</v>
      </c>
      <c r="BE507" s="14" t="s">
        <v>9550</v>
      </c>
      <c r="BF507" s="15" t="str">
        <f>HYPERLINK("http://dx.doi.org/10.1007/s00227-002-0905-7","http://dx.doi.org/10.1007/s00227-002-0905-7")</f>
        <v>http://dx.doi.org/10.1007/s00227-002-0905-7</v>
      </c>
      <c r="BG507" s="14" t="s">
        <v>99</v>
      </c>
      <c r="BH507" s="14" t="s">
        <v>99</v>
      </c>
      <c r="BI507" s="14">
        <v>13.0</v>
      </c>
      <c r="BJ507" s="14" t="s">
        <v>8912</v>
      </c>
      <c r="BK507" s="14" t="s">
        <v>122</v>
      </c>
      <c r="BL507" s="14" t="s">
        <v>8912</v>
      </c>
      <c r="BM507" s="14" t="s">
        <v>9551</v>
      </c>
      <c r="BN507" s="14" t="s">
        <v>99</v>
      </c>
      <c r="BO507" s="14" t="s">
        <v>99</v>
      </c>
      <c r="BP507" s="14" t="s">
        <v>99</v>
      </c>
      <c r="BQ507" s="14" t="s">
        <v>99</v>
      </c>
      <c r="BR507" s="14" t="s">
        <v>124</v>
      </c>
      <c r="BS507" s="14" t="s">
        <v>9552</v>
      </c>
      <c r="BT507" s="14" t="str">
        <f>HYPERLINK("https%3A%2F%2Fwww.webofscience.com%2Fwos%2Fwoscc%2Ffull-record%2FWOS:000180044300011","View Full Record in Web of Science")</f>
        <v>View Full Record in Web of Science</v>
      </c>
    </row>
    <row r="508" ht="12.75" customHeight="1">
      <c r="A508" s="14" t="s">
        <v>97</v>
      </c>
      <c r="B508" s="14" t="s">
        <v>9553</v>
      </c>
      <c r="C508" s="14" t="s">
        <v>99</v>
      </c>
      <c r="D508" s="14" t="s">
        <v>99</v>
      </c>
      <c r="E508" s="14" t="s">
        <v>99</v>
      </c>
      <c r="F508" s="14" t="s">
        <v>9553</v>
      </c>
      <c r="G508" s="14" t="s">
        <v>99</v>
      </c>
      <c r="H508" s="14" t="s">
        <v>99</v>
      </c>
      <c r="I508" s="14" t="s">
        <v>9554</v>
      </c>
      <c r="J508" s="14" t="s">
        <v>851</v>
      </c>
      <c r="K508" s="14" t="s">
        <v>99</v>
      </c>
      <c r="L508" s="14" t="s">
        <v>99</v>
      </c>
      <c r="M508" s="14" t="s">
        <v>103</v>
      </c>
      <c r="N508" s="14" t="s">
        <v>2284</v>
      </c>
      <c r="O508" s="14" t="s">
        <v>9555</v>
      </c>
      <c r="P508" s="14" t="s">
        <v>9556</v>
      </c>
      <c r="Q508" s="14" t="s">
        <v>9557</v>
      </c>
      <c r="R508" s="14" t="s">
        <v>9558</v>
      </c>
      <c r="S508" s="14" t="s">
        <v>99</v>
      </c>
      <c r="T508" s="14" t="s">
        <v>9559</v>
      </c>
      <c r="U508" s="14" t="s">
        <v>9560</v>
      </c>
      <c r="V508" s="14" t="s">
        <v>9561</v>
      </c>
      <c r="W508" s="14" t="s">
        <v>9562</v>
      </c>
      <c r="X508" s="14" t="s">
        <v>9563</v>
      </c>
      <c r="Y508" s="14" t="s">
        <v>9564</v>
      </c>
      <c r="Z508" s="14" t="s">
        <v>9429</v>
      </c>
      <c r="AA508" s="14" t="s">
        <v>9565</v>
      </c>
      <c r="AB508" s="14" t="s">
        <v>9566</v>
      </c>
      <c r="AC508" s="14" t="s">
        <v>99</v>
      </c>
      <c r="AD508" s="14" t="s">
        <v>99</v>
      </c>
      <c r="AE508" s="14" t="s">
        <v>99</v>
      </c>
      <c r="AF508" s="14" t="s">
        <v>99</v>
      </c>
      <c r="AG508" s="14">
        <v>32.0</v>
      </c>
      <c r="AH508" s="14">
        <v>302.0</v>
      </c>
      <c r="AI508" s="14">
        <v>360.0</v>
      </c>
      <c r="AJ508" s="14">
        <v>2.0</v>
      </c>
      <c r="AK508" s="14">
        <v>144.0</v>
      </c>
      <c r="AL508" s="14" t="s">
        <v>341</v>
      </c>
      <c r="AM508" s="14" t="s">
        <v>342</v>
      </c>
      <c r="AN508" s="14" t="s">
        <v>343</v>
      </c>
      <c r="AO508" s="14" t="s">
        <v>864</v>
      </c>
      <c r="AP508" s="14" t="s">
        <v>865</v>
      </c>
      <c r="AQ508" s="14" t="s">
        <v>99</v>
      </c>
      <c r="AR508" s="14" t="s">
        <v>866</v>
      </c>
      <c r="AS508" s="14" t="s">
        <v>867</v>
      </c>
      <c r="AT508" s="14" t="s">
        <v>348</v>
      </c>
      <c r="AU508" s="14">
        <v>2002.0</v>
      </c>
      <c r="AV508" s="14">
        <v>11.0</v>
      </c>
      <c r="AW508" s="14">
        <v>6.0</v>
      </c>
      <c r="AX508" s="14" t="s">
        <v>99</v>
      </c>
      <c r="AY508" s="14" t="s">
        <v>99</v>
      </c>
      <c r="AZ508" s="14" t="s">
        <v>99</v>
      </c>
      <c r="BA508" s="14" t="s">
        <v>99</v>
      </c>
      <c r="BB508" s="14">
        <v>445.0</v>
      </c>
      <c r="BC508" s="14">
        <v>451.0</v>
      </c>
      <c r="BD508" s="14" t="s">
        <v>99</v>
      </c>
      <c r="BE508" s="14" t="s">
        <v>9567</v>
      </c>
      <c r="BF508" s="15" t="str">
        <f>HYPERLINK("http://dx.doi.org/10.1046/j.1466-822X.2002.00307.x","http://dx.doi.org/10.1046/j.1466-822X.2002.00307.x")</f>
        <v>http://dx.doi.org/10.1046/j.1466-822X.2002.00307.x</v>
      </c>
      <c r="BG508" s="14" t="s">
        <v>99</v>
      </c>
      <c r="BH508" s="14" t="s">
        <v>99</v>
      </c>
      <c r="BI508" s="14">
        <v>7.0</v>
      </c>
      <c r="BJ508" s="14" t="s">
        <v>869</v>
      </c>
      <c r="BK508" s="14" t="s">
        <v>2311</v>
      </c>
      <c r="BL508" s="14" t="s">
        <v>870</v>
      </c>
      <c r="BM508" s="14" t="s">
        <v>9568</v>
      </c>
      <c r="BN508" s="14" t="s">
        <v>99</v>
      </c>
      <c r="BO508" s="14" t="s">
        <v>99</v>
      </c>
      <c r="BP508" s="14" t="s">
        <v>99</v>
      </c>
      <c r="BQ508" s="14" t="s">
        <v>99</v>
      </c>
      <c r="BR508" s="14" t="s">
        <v>124</v>
      </c>
      <c r="BS508" s="14" t="s">
        <v>9569</v>
      </c>
      <c r="BT508" s="14" t="str">
        <f>HYPERLINK("https%3A%2F%2Fwww.webofscience.com%2Fwos%2Fwoscc%2Ffull-record%2FWOS:000179978200002","View Full Record in Web of Science")</f>
        <v>View Full Record in Web of Science</v>
      </c>
    </row>
    <row r="509" ht="12.75" customHeight="1">
      <c r="A509" s="14" t="s">
        <v>97</v>
      </c>
      <c r="B509" s="14" t="s">
        <v>9570</v>
      </c>
      <c r="C509" s="14" t="s">
        <v>99</v>
      </c>
      <c r="D509" s="14" t="s">
        <v>99</v>
      </c>
      <c r="E509" s="14" t="s">
        <v>99</v>
      </c>
      <c r="F509" s="14" t="s">
        <v>9570</v>
      </c>
      <c r="G509" s="14" t="s">
        <v>99</v>
      </c>
      <c r="H509" s="14" t="s">
        <v>99</v>
      </c>
      <c r="I509" s="14" t="s">
        <v>9571</v>
      </c>
      <c r="J509" s="14" t="s">
        <v>4070</v>
      </c>
      <c r="K509" s="14" t="s">
        <v>99</v>
      </c>
      <c r="L509" s="14" t="s">
        <v>99</v>
      </c>
      <c r="M509" s="14" t="s">
        <v>103</v>
      </c>
      <c r="N509" s="14" t="s">
        <v>104</v>
      </c>
      <c r="O509" s="14" t="s">
        <v>99</v>
      </c>
      <c r="P509" s="14" t="s">
        <v>99</v>
      </c>
      <c r="Q509" s="14" t="s">
        <v>99</v>
      </c>
      <c r="R509" s="14" t="s">
        <v>99</v>
      </c>
      <c r="S509" s="14" t="s">
        <v>99</v>
      </c>
      <c r="T509" s="14" t="s">
        <v>9572</v>
      </c>
      <c r="U509" s="14" t="s">
        <v>9573</v>
      </c>
      <c r="V509" s="14" t="s">
        <v>9574</v>
      </c>
      <c r="W509" s="14" t="s">
        <v>9575</v>
      </c>
      <c r="X509" s="14" t="s">
        <v>9576</v>
      </c>
      <c r="Y509" s="14" t="s">
        <v>9577</v>
      </c>
      <c r="Z509" s="14" t="s">
        <v>9578</v>
      </c>
      <c r="AA509" s="14" t="s">
        <v>9579</v>
      </c>
      <c r="AB509" s="14" t="s">
        <v>9580</v>
      </c>
      <c r="AC509" s="14" t="s">
        <v>99</v>
      </c>
      <c r="AD509" s="14" t="s">
        <v>99</v>
      </c>
      <c r="AE509" s="14" t="s">
        <v>99</v>
      </c>
      <c r="AF509" s="14" t="s">
        <v>99</v>
      </c>
      <c r="AG509" s="14">
        <v>33.0</v>
      </c>
      <c r="AH509" s="14">
        <v>325.0</v>
      </c>
      <c r="AI509" s="14">
        <v>372.0</v>
      </c>
      <c r="AJ509" s="14">
        <v>2.0</v>
      </c>
      <c r="AK509" s="14">
        <v>156.0</v>
      </c>
      <c r="AL509" s="14" t="s">
        <v>1544</v>
      </c>
      <c r="AM509" s="14" t="s">
        <v>274</v>
      </c>
      <c r="AN509" s="14" t="s">
        <v>1545</v>
      </c>
      <c r="AO509" s="14" t="s">
        <v>4079</v>
      </c>
      <c r="AP509" s="14" t="s">
        <v>4080</v>
      </c>
      <c r="AQ509" s="14" t="s">
        <v>99</v>
      </c>
      <c r="AR509" s="14" t="s">
        <v>4081</v>
      </c>
      <c r="AS509" s="14" t="s">
        <v>4082</v>
      </c>
      <c r="AT509" s="14" t="s">
        <v>9581</v>
      </c>
      <c r="AU509" s="14">
        <v>2002.0</v>
      </c>
      <c r="AV509" s="14">
        <v>269.0</v>
      </c>
      <c r="AW509" s="14">
        <v>1505.0</v>
      </c>
      <c r="AX509" s="14" t="s">
        <v>99</v>
      </c>
      <c r="AY509" s="14" t="s">
        <v>99</v>
      </c>
      <c r="AZ509" s="14" t="s">
        <v>99</v>
      </c>
      <c r="BA509" s="14" t="s">
        <v>99</v>
      </c>
      <c r="BB509" s="14">
        <v>2163.0</v>
      </c>
      <c r="BC509" s="14">
        <v>2171.0</v>
      </c>
      <c r="BD509" s="14" t="s">
        <v>99</v>
      </c>
      <c r="BE509" s="14" t="s">
        <v>9582</v>
      </c>
      <c r="BF509" s="15" t="str">
        <f>HYPERLINK("http://dx.doi.org/10.1098/rspb.2002.2134","http://dx.doi.org/10.1098/rspb.2002.2134")</f>
        <v>http://dx.doi.org/10.1098/rspb.2002.2134</v>
      </c>
      <c r="BG509" s="14" t="s">
        <v>99</v>
      </c>
      <c r="BH509" s="14" t="s">
        <v>99</v>
      </c>
      <c r="BI509" s="14">
        <v>9.0</v>
      </c>
      <c r="BJ509" s="14" t="s">
        <v>1552</v>
      </c>
      <c r="BK509" s="14" t="s">
        <v>122</v>
      </c>
      <c r="BL509" s="14" t="s">
        <v>1553</v>
      </c>
      <c r="BM509" s="14" t="s">
        <v>9583</v>
      </c>
      <c r="BN509" s="14">
        <v>1.2396492E7</v>
      </c>
      <c r="BO509" s="14" t="s">
        <v>1251</v>
      </c>
      <c r="BP509" s="14" t="s">
        <v>99</v>
      </c>
      <c r="BQ509" s="14" t="s">
        <v>99</v>
      </c>
      <c r="BR509" s="14" t="s">
        <v>124</v>
      </c>
      <c r="BS509" s="14" t="s">
        <v>9584</v>
      </c>
      <c r="BT509" s="14" t="str">
        <f>HYPERLINK("https%3A%2F%2Fwww.webofscience.com%2Fwos%2Fwoscc%2Ffull-record%2FWOS:000178814700013","View Full Record in Web of Science")</f>
        <v>View Full Record in Web of Science</v>
      </c>
    </row>
    <row r="510" ht="12.75" customHeight="1">
      <c r="A510" s="14" t="s">
        <v>97</v>
      </c>
      <c r="B510" s="14" t="s">
        <v>9585</v>
      </c>
      <c r="C510" s="14" t="s">
        <v>99</v>
      </c>
      <c r="D510" s="14" t="s">
        <v>99</v>
      </c>
      <c r="E510" s="14" t="s">
        <v>99</v>
      </c>
      <c r="F510" s="14" t="s">
        <v>9585</v>
      </c>
      <c r="G510" s="14" t="s">
        <v>99</v>
      </c>
      <c r="H510" s="14" t="s">
        <v>99</v>
      </c>
      <c r="I510" s="14" t="s">
        <v>9586</v>
      </c>
      <c r="J510" s="14" t="s">
        <v>430</v>
      </c>
      <c r="K510" s="14" t="s">
        <v>99</v>
      </c>
      <c r="L510" s="14" t="s">
        <v>99</v>
      </c>
      <c r="M510" s="14" t="s">
        <v>103</v>
      </c>
      <c r="N510" s="14" t="s">
        <v>104</v>
      </c>
      <c r="O510" s="14" t="s">
        <v>99</v>
      </c>
      <c r="P510" s="14" t="s">
        <v>99</v>
      </c>
      <c r="Q510" s="14" t="s">
        <v>99</v>
      </c>
      <c r="R510" s="14" t="s">
        <v>99</v>
      </c>
      <c r="S510" s="14" t="s">
        <v>99</v>
      </c>
      <c r="T510" s="14" t="s">
        <v>9587</v>
      </c>
      <c r="U510" s="14" t="s">
        <v>9588</v>
      </c>
      <c r="V510" s="14" t="s">
        <v>9589</v>
      </c>
      <c r="W510" s="14" t="s">
        <v>9590</v>
      </c>
      <c r="X510" s="14" t="s">
        <v>9591</v>
      </c>
      <c r="Y510" s="14" t="s">
        <v>9592</v>
      </c>
      <c r="Z510" s="14" t="s">
        <v>9593</v>
      </c>
      <c r="AA510" s="14" t="s">
        <v>99</v>
      </c>
      <c r="AB510" s="14" t="s">
        <v>99</v>
      </c>
      <c r="AC510" s="14" t="s">
        <v>99</v>
      </c>
      <c r="AD510" s="14" t="s">
        <v>99</v>
      </c>
      <c r="AE510" s="14" t="s">
        <v>99</v>
      </c>
      <c r="AF510" s="14" t="s">
        <v>99</v>
      </c>
      <c r="AG510" s="14">
        <v>62.0</v>
      </c>
      <c r="AH510" s="14">
        <v>27.0</v>
      </c>
      <c r="AI510" s="14">
        <v>39.0</v>
      </c>
      <c r="AJ510" s="14">
        <v>0.0</v>
      </c>
      <c r="AK510" s="14">
        <v>27.0</v>
      </c>
      <c r="AL510" s="14" t="s">
        <v>441</v>
      </c>
      <c r="AM510" s="14" t="s">
        <v>442</v>
      </c>
      <c r="AN510" s="14" t="s">
        <v>443</v>
      </c>
      <c r="AO510" s="14" t="s">
        <v>444</v>
      </c>
      <c r="AP510" s="14" t="s">
        <v>445</v>
      </c>
      <c r="AQ510" s="14" t="s">
        <v>99</v>
      </c>
      <c r="AR510" s="14" t="s">
        <v>446</v>
      </c>
      <c r="AS510" s="14" t="s">
        <v>447</v>
      </c>
      <c r="AT510" s="14" t="s">
        <v>9594</v>
      </c>
      <c r="AU510" s="14">
        <v>2002.0</v>
      </c>
      <c r="AV510" s="14">
        <v>170.0</v>
      </c>
      <c r="AW510" s="14" t="s">
        <v>8123</v>
      </c>
      <c r="AX510" s="14" t="s">
        <v>99</v>
      </c>
      <c r="AY510" s="14" t="s">
        <v>99</v>
      </c>
      <c r="AZ510" s="14" t="s">
        <v>99</v>
      </c>
      <c r="BA510" s="14" t="s">
        <v>99</v>
      </c>
      <c r="BB510" s="14">
        <v>173.0</v>
      </c>
      <c r="BC510" s="14">
        <v>187.0</v>
      </c>
      <c r="BD510" s="14" t="s">
        <v>9595</v>
      </c>
      <c r="BE510" s="14" t="s">
        <v>9596</v>
      </c>
      <c r="BF510" s="15" t="str">
        <f>HYPERLINK("http://dx.doi.org/10.1016/S0378-1127(01)00775-7","http://dx.doi.org/10.1016/S0378-1127(01)00775-7")</f>
        <v>http://dx.doi.org/10.1016/S0378-1127(01)00775-7</v>
      </c>
      <c r="BG510" s="14" t="s">
        <v>99</v>
      </c>
      <c r="BH510" s="14" t="s">
        <v>99</v>
      </c>
      <c r="BI510" s="14">
        <v>15.0</v>
      </c>
      <c r="BJ510" s="14" t="s">
        <v>281</v>
      </c>
      <c r="BK510" s="14" t="s">
        <v>122</v>
      </c>
      <c r="BL510" s="14" t="s">
        <v>281</v>
      </c>
      <c r="BM510" s="14" t="s">
        <v>9597</v>
      </c>
      <c r="BN510" s="14" t="s">
        <v>99</v>
      </c>
      <c r="BO510" s="14" t="s">
        <v>99</v>
      </c>
      <c r="BP510" s="14" t="s">
        <v>99</v>
      </c>
      <c r="BQ510" s="14" t="s">
        <v>99</v>
      </c>
      <c r="BR510" s="14" t="s">
        <v>124</v>
      </c>
      <c r="BS510" s="14" t="s">
        <v>9598</v>
      </c>
      <c r="BT510" s="14" t="str">
        <f>HYPERLINK("https%3A%2F%2Fwww.webofscience.com%2Fwos%2Fwoscc%2Ffull-record%2FWOS:000178567000013","View Full Record in Web of Science")</f>
        <v>View Full Record in Web of Science</v>
      </c>
    </row>
    <row r="511" ht="12.75" customHeight="1">
      <c r="A511" s="14" t="s">
        <v>97</v>
      </c>
      <c r="B511" s="14" t="s">
        <v>9599</v>
      </c>
      <c r="C511" s="14" t="s">
        <v>99</v>
      </c>
      <c r="D511" s="14" t="s">
        <v>99</v>
      </c>
      <c r="E511" s="14" t="s">
        <v>99</v>
      </c>
      <c r="F511" s="14" t="s">
        <v>9599</v>
      </c>
      <c r="G511" s="14" t="s">
        <v>99</v>
      </c>
      <c r="H511" s="14" t="s">
        <v>99</v>
      </c>
      <c r="I511" s="14" t="s">
        <v>9600</v>
      </c>
      <c r="J511" s="14" t="s">
        <v>328</v>
      </c>
      <c r="K511" s="14" t="s">
        <v>99</v>
      </c>
      <c r="L511" s="14" t="s">
        <v>99</v>
      </c>
      <c r="M511" s="14" t="s">
        <v>103</v>
      </c>
      <c r="N511" s="14" t="s">
        <v>104</v>
      </c>
      <c r="O511" s="14" t="s">
        <v>99</v>
      </c>
      <c r="P511" s="14" t="s">
        <v>99</v>
      </c>
      <c r="Q511" s="14" t="s">
        <v>99</v>
      </c>
      <c r="R511" s="14" t="s">
        <v>99</v>
      </c>
      <c r="S511" s="14" t="s">
        <v>99</v>
      </c>
      <c r="T511" s="14" t="s">
        <v>9601</v>
      </c>
      <c r="U511" s="14" t="s">
        <v>9602</v>
      </c>
      <c r="V511" s="14" t="s">
        <v>9603</v>
      </c>
      <c r="W511" s="14" t="s">
        <v>9604</v>
      </c>
      <c r="X511" s="14" t="s">
        <v>9605</v>
      </c>
      <c r="Y511" s="14" t="s">
        <v>7959</v>
      </c>
      <c r="Z511" s="14" t="s">
        <v>99</v>
      </c>
      <c r="AA511" s="14" t="s">
        <v>9606</v>
      </c>
      <c r="AB511" s="14" t="s">
        <v>8818</v>
      </c>
      <c r="AC511" s="14" t="s">
        <v>99</v>
      </c>
      <c r="AD511" s="14" t="s">
        <v>99</v>
      </c>
      <c r="AE511" s="14" t="s">
        <v>99</v>
      </c>
      <c r="AF511" s="14" t="s">
        <v>99</v>
      </c>
      <c r="AG511" s="14">
        <v>61.0</v>
      </c>
      <c r="AH511" s="14">
        <v>115.0</v>
      </c>
      <c r="AI511" s="14">
        <v>147.0</v>
      </c>
      <c r="AJ511" s="14">
        <v>1.0</v>
      </c>
      <c r="AK511" s="14">
        <v>93.0</v>
      </c>
      <c r="AL511" s="14" t="s">
        <v>9275</v>
      </c>
      <c r="AM511" s="14" t="s">
        <v>468</v>
      </c>
      <c r="AN511" s="14" t="s">
        <v>9276</v>
      </c>
      <c r="AO511" s="14" t="s">
        <v>344</v>
      </c>
      <c r="AP511" s="14" t="s">
        <v>99</v>
      </c>
      <c r="AQ511" s="14" t="s">
        <v>99</v>
      </c>
      <c r="AR511" s="14" t="s">
        <v>346</v>
      </c>
      <c r="AS511" s="14" t="s">
        <v>347</v>
      </c>
      <c r="AT511" s="14" t="s">
        <v>2372</v>
      </c>
      <c r="AU511" s="14">
        <v>2002.0</v>
      </c>
      <c r="AV511" s="14">
        <v>8.0</v>
      </c>
      <c r="AW511" s="14">
        <v>10.0</v>
      </c>
      <c r="AX511" s="14" t="s">
        <v>99</v>
      </c>
      <c r="AY511" s="14" t="s">
        <v>99</v>
      </c>
      <c r="AZ511" s="14" t="s">
        <v>99</v>
      </c>
      <c r="BA511" s="14" t="s">
        <v>99</v>
      </c>
      <c r="BB511" s="14">
        <v>954.0</v>
      </c>
      <c r="BC511" s="14">
        <v>971.0</v>
      </c>
      <c r="BD511" s="14" t="s">
        <v>99</v>
      </c>
      <c r="BE511" s="14" t="s">
        <v>9607</v>
      </c>
      <c r="BF511" s="15" t="str">
        <f>HYPERLINK("http://dx.doi.org/10.1046/j.1365-2486.2002.00490.x","http://dx.doi.org/10.1046/j.1365-2486.2002.00490.x")</f>
        <v>http://dx.doi.org/10.1046/j.1365-2486.2002.00490.x</v>
      </c>
      <c r="BG511" s="14" t="s">
        <v>99</v>
      </c>
      <c r="BH511" s="14" t="s">
        <v>99</v>
      </c>
      <c r="BI511" s="14">
        <v>18.0</v>
      </c>
      <c r="BJ511" s="14" t="s">
        <v>351</v>
      </c>
      <c r="BK511" s="14" t="s">
        <v>122</v>
      </c>
      <c r="BL511" s="14" t="s">
        <v>352</v>
      </c>
      <c r="BM511" s="14" t="s">
        <v>9608</v>
      </c>
      <c r="BN511" s="14" t="s">
        <v>99</v>
      </c>
      <c r="BO511" s="14" t="s">
        <v>99</v>
      </c>
      <c r="BP511" s="14" t="s">
        <v>99</v>
      </c>
      <c r="BQ511" s="14" t="s">
        <v>99</v>
      </c>
      <c r="BR511" s="14" t="s">
        <v>124</v>
      </c>
      <c r="BS511" s="14" t="s">
        <v>9609</v>
      </c>
      <c r="BT511" s="14" t="str">
        <f>HYPERLINK("https%3A%2F%2Fwww.webofscience.com%2Fwos%2Fwoscc%2Ffull-record%2FWOS:000177853000003","View Full Record in Web of Science")</f>
        <v>View Full Record in Web of Science</v>
      </c>
    </row>
    <row r="512" ht="12.75" customHeight="1">
      <c r="A512" s="14" t="s">
        <v>97</v>
      </c>
      <c r="B512" s="14" t="s">
        <v>9610</v>
      </c>
      <c r="C512" s="14" t="s">
        <v>99</v>
      </c>
      <c r="D512" s="14" t="s">
        <v>99</v>
      </c>
      <c r="E512" s="14" t="s">
        <v>99</v>
      </c>
      <c r="F512" s="14" t="s">
        <v>9610</v>
      </c>
      <c r="G512" s="14" t="s">
        <v>99</v>
      </c>
      <c r="H512" s="14" t="s">
        <v>99</v>
      </c>
      <c r="I512" s="14" t="s">
        <v>9611</v>
      </c>
      <c r="J512" s="14" t="s">
        <v>430</v>
      </c>
      <c r="K512" s="14" t="s">
        <v>99</v>
      </c>
      <c r="L512" s="14" t="s">
        <v>99</v>
      </c>
      <c r="M512" s="14" t="s">
        <v>103</v>
      </c>
      <c r="N512" s="14" t="s">
        <v>104</v>
      </c>
      <c r="O512" s="14" t="s">
        <v>99</v>
      </c>
      <c r="P512" s="14" t="s">
        <v>99</v>
      </c>
      <c r="Q512" s="14" t="s">
        <v>99</v>
      </c>
      <c r="R512" s="14" t="s">
        <v>99</v>
      </c>
      <c r="S512" s="14" t="s">
        <v>99</v>
      </c>
      <c r="T512" s="14" t="s">
        <v>9612</v>
      </c>
      <c r="U512" s="14" t="s">
        <v>9613</v>
      </c>
      <c r="V512" s="14" t="s">
        <v>9614</v>
      </c>
      <c r="W512" s="14" t="s">
        <v>9615</v>
      </c>
      <c r="X512" s="14" t="s">
        <v>6702</v>
      </c>
      <c r="Y512" s="14" t="s">
        <v>9616</v>
      </c>
      <c r="Z512" s="14" t="s">
        <v>99</v>
      </c>
      <c r="AA512" s="14" t="s">
        <v>99</v>
      </c>
      <c r="AB512" s="14" t="s">
        <v>9617</v>
      </c>
      <c r="AC512" s="14" t="s">
        <v>99</v>
      </c>
      <c r="AD512" s="14" t="s">
        <v>99</v>
      </c>
      <c r="AE512" s="14" t="s">
        <v>99</v>
      </c>
      <c r="AF512" s="14" t="s">
        <v>99</v>
      </c>
      <c r="AG512" s="14">
        <v>32.0</v>
      </c>
      <c r="AH512" s="14">
        <v>52.0</v>
      </c>
      <c r="AI512" s="14">
        <v>64.0</v>
      </c>
      <c r="AJ512" s="14">
        <v>1.0</v>
      </c>
      <c r="AK512" s="14">
        <v>22.0</v>
      </c>
      <c r="AL512" s="14" t="s">
        <v>1033</v>
      </c>
      <c r="AM512" s="14" t="s">
        <v>442</v>
      </c>
      <c r="AN512" s="14" t="s">
        <v>1034</v>
      </c>
      <c r="AO512" s="14" t="s">
        <v>444</v>
      </c>
      <c r="AP512" s="14" t="s">
        <v>99</v>
      </c>
      <c r="AQ512" s="14" t="s">
        <v>99</v>
      </c>
      <c r="AR512" s="14" t="s">
        <v>446</v>
      </c>
      <c r="AS512" s="14" t="s">
        <v>447</v>
      </c>
      <c r="AT512" s="14" t="s">
        <v>9618</v>
      </c>
      <c r="AU512" s="14">
        <v>2002.0</v>
      </c>
      <c r="AV512" s="14">
        <v>169.0</v>
      </c>
      <c r="AW512" s="14">
        <v>3.0</v>
      </c>
      <c r="AX512" s="14" t="s">
        <v>99</v>
      </c>
      <c r="AY512" s="14" t="s">
        <v>99</v>
      </c>
      <c r="AZ512" s="14" t="s">
        <v>99</v>
      </c>
      <c r="BA512" s="14" t="s">
        <v>99</v>
      </c>
      <c r="BB512" s="14">
        <v>243.0</v>
      </c>
      <c r="BC512" s="14">
        <v>255.0</v>
      </c>
      <c r="BD512" s="14" t="s">
        <v>9619</v>
      </c>
      <c r="BE512" s="14" t="s">
        <v>9620</v>
      </c>
      <c r="BF512" s="15" t="str">
        <f>HYPERLINK("http://dx.doi.org/10.1016/S0378-1127(01)00758-7","http://dx.doi.org/10.1016/S0378-1127(01)00758-7")</f>
        <v>http://dx.doi.org/10.1016/S0378-1127(01)00758-7</v>
      </c>
      <c r="BG512" s="14" t="s">
        <v>99</v>
      </c>
      <c r="BH512" s="14" t="s">
        <v>99</v>
      </c>
      <c r="BI512" s="14">
        <v>13.0</v>
      </c>
      <c r="BJ512" s="14" t="s">
        <v>281</v>
      </c>
      <c r="BK512" s="14" t="s">
        <v>122</v>
      </c>
      <c r="BL512" s="14" t="s">
        <v>281</v>
      </c>
      <c r="BM512" s="14" t="s">
        <v>9621</v>
      </c>
      <c r="BN512" s="14" t="s">
        <v>99</v>
      </c>
      <c r="BO512" s="14" t="s">
        <v>99</v>
      </c>
      <c r="BP512" s="14" t="s">
        <v>99</v>
      </c>
      <c r="BQ512" s="14" t="s">
        <v>99</v>
      </c>
      <c r="BR512" s="14" t="s">
        <v>124</v>
      </c>
      <c r="BS512" s="14" t="s">
        <v>9622</v>
      </c>
      <c r="BT512" s="14" t="str">
        <f>HYPERLINK("https%3A%2F%2Fwww.webofscience.com%2Fwos%2Fwoscc%2Ffull-record%2FWOS:000177834400006","View Full Record in Web of Science")</f>
        <v>View Full Record in Web of Science</v>
      </c>
    </row>
    <row r="513" ht="12.75" customHeight="1">
      <c r="A513" s="14" t="s">
        <v>97</v>
      </c>
      <c r="B513" s="14" t="s">
        <v>9623</v>
      </c>
      <c r="C513" s="14" t="s">
        <v>99</v>
      </c>
      <c r="D513" s="14" t="s">
        <v>99</v>
      </c>
      <c r="E513" s="14" t="s">
        <v>99</v>
      </c>
      <c r="F513" s="14" t="s">
        <v>9623</v>
      </c>
      <c r="G513" s="14" t="s">
        <v>99</v>
      </c>
      <c r="H513" s="14" t="s">
        <v>99</v>
      </c>
      <c r="I513" s="14" t="s">
        <v>9624</v>
      </c>
      <c r="J513" s="14" t="s">
        <v>1102</v>
      </c>
      <c r="K513" s="14" t="s">
        <v>99</v>
      </c>
      <c r="L513" s="14" t="s">
        <v>99</v>
      </c>
      <c r="M513" s="14" t="s">
        <v>103</v>
      </c>
      <c r="N513" s="14" t="s">
        <v>104</v>
      </c>
      <c r="O513" s="14" t="s">
        <v>99</v>
      </c>
      <c r="P513" s="14" t="s">
        <v>99</v>
      </c>
      <c r="Q513" s="14" t="s">
        <v>99</v>
      </c>
      <c r="R513" s="14" t="s">
        <v>99</v>
      </c>
      <c r="S513" s="14" t="s">
        <v>99</v>
      </c>
      <c r="T513" s="14" t="s">
        <v>9625</v>
      </c>
      <c r="U513" s="14" t="s">
        <v>9626</v>
      </c>
      <c r="V513" s="14" t="s">
        <v>9627</v>
      </c>
      <c r="W513" s="14" t="s">
        <v>9628</v>
      </c>
      <c r="X513" s="14" t="s">
        <v>9151</v>
      </c>
      <c r="Y513" s="14" t="s">
        <v>9629</v>
      </c>
      <c r="Z513" s="14" t="s">
        <v>7752</v>
      </c>
      <c r="AA513" s="14" t="s">
        <v>9630</v>
      </c>
      <c r="AB513" s="14" t="s">
        <v>9631</v>
      </c>
      <c r="AC513" s="14" t="s">
        <v>99</v>
      </c>
      <c r="AD513" s="14" t="s">
        <v>99</v>
      </c>
      <c r="AE513" s="14" t="s">
        <v>99</v>
      </c>
      <c r="AF513" s="14" t="s">
        <v>99</v>
      </c>
      <c r="AG513" s="14">
        <v>35.0</v>
      </c>
      <c r="AH513" s="14">
        <v>123.0</v>
      </c>
      <c r="AI513" s="14">
        <v>149.0</v>
      </c>
      <c r="AJ513" s="14">
        <v>1.0</v>
      </c>
      <c r="AK513" s="14">
        <v>51.0</v>
      </c>
      <c r="AL513" s="14" t="s">
        <v>493</v>
      </c>
      <c r="AM513" s="14" t="s">
        <v>494</v>
      </c>
      <c r="AN513" s="14" t="s">
        <v>495</v>
      </c>
      <c r="AO513" s="14" t="s">
        <v>1112</v>
      </c>
      <c r="AP513" s="14" t="s">
        <v>1113</v>
      </c>
      <c r="AQ513" s="14" t="s">
        <v>99</v>
      </c>
      <c r="AR513" s="14" t="s">
        <v>1114</v>
      </c>
      <c r="AS513" s="14" t="s">
        <v>1115</v>
      </c>
      <c r="AT513" s="14" t="s">
        <v>2372</v>
      </c>
      <c r="AU513" s="14">
        <v>2002.0</v>
      </c>
      <c r="AV513" s="14">
        <v>107.0</v>
      </c>
      <c r="AW513" s="14">
        <v>2.0</v>
      </c>
      <c r="AX513" s="14" t="s">
        <v>99</v>
      </c>
      <c r="AY513" s="14" t="s">
        <v>99</v>
      </c>
      <c r="AZ513" s="14" t="s">
        <v>99</v>
      </c>
      <c r="BA513" s="14" t="s">
        <v>99</v>
      </c>
      <c r="BB513" s="14">
        <v>229.0</v>
      </c>
      <c r="BC513" s="14">
        <v>240.0</v>
      </c>
      <c r="BD513" s="14" t="s">
        <v>9632</v>
      </c>
      <c r="BE513" s="14" t="s">
        <v>9633</v>
      </c>
      <c r="BF513" s="15" t="str">
        <f>HYPERLINK("http://dx.doi.org/10.1016/S0006-3207(02)00097-6","http://dx.doi.org/10.1016/S0006-3207(02)00097-6")</f>
        <v>http://dx.doi.org/10.1016/S0006-3207(02)00097-6</v>
      </c>
      <c r="BG513" s="14" t="s">
        <v>99</v>
      </c>
      <c r="BH513" s="14" t="s">
        <v>99</v>
      </c>
      <c r="BI513" s="14">
        <v>12.0</v>
      </c>
      <c r="BJ513" s="14" t="s">
        <v>351</v>
      </c>
      <c r="BK513" s="14" t="s">
        <v>122</v>
      </c>
      <c r="BL513" s="14" t="s">
        <v>352</v>
      </c>
      <c r="BM513" s="14" t="s">
        <v>9634</v>
      </c>
      <c r="BN513" s="14" t="s">
        <v>99</v>
      </c>
      <c r="BO513" s="14" t="s">
        <v>99</v>
      </c>
      <c r="BP513" s="14" t="s">
        <v>99</v>
      </c>
      <c r="BQ513" s="14" t="s">
        <v>99</v>
      </c>
      <c r="BR513" s="14" t="s">
        <v>124</v>
      </c>
      <c r="BS513" s="14" t="s">
        <v>9635</v>
      </c>
      <c r="BT513" s="14" t="str">
        <f>HYPERLINK("https%3A%2F%2Fwww.webofscience.com%2Fwos%2Fwoscc%2Ffull-record%2FWOS:000176854200010","View Full Record in Web of Science")</f>
        <v>View Full Record in Web of Science</v>
      </c>
    </row>
    <row r="514" ht="12.75" customHeight="1">
      <c r="A514" s="14" t="s">
        <v>97</v>
      </c>
      <c r="B514" s="14" t="s">
        <v>9636</v>
      </c>
      <c r="C514" s="14" t="s">
        <v>99</v>
      </c>
      <c r="D514" s="14" t="s">
        <v>99</v>
      </c>
      <c r="E514" s="14" t="s">
        <v>99</v>
      </c>
      <c r="F514" s="14" t="s">
        <v>9636</v>
      </c>
      <c r="G514" s="14" t="s">
        <v>99</v>
      </c>
      <c r="H514" s="14" t="s">
        <v>99</v>
      </c>
      <c r="I514" s="14" t="s">
        <v>9637</v>
      </c>
      <c r="J514" s="14" t="s">
        <v>328</v>
      </c>
      <c r="K514" s="14" t="s">
        <v>99</v>
      </c>
      <c r="L514" s="14" t="s">
        <v>99</v>
      </c>
      <c r="M514" s="14" t="s">
        <v>103</v>
      </c>
      <c r="N514" s="14" t="s">
        <v>104</v>
      </c>
      <c r="O514" s="14" t="s">
        <v>99</v>
      </c>
      <c r="P514" s="14" t="s">
        <v>99</v>
      </c>
      <c r="Q514" s="14" t="s">
        <v>99</v>
      </c>
      <c r="R514" s="14" t="s">
        <v>99</v>
      </c>
      <c r="S514" s="14" t="s">
        <v>99</v>
      </c>
      <c r="T514" s="14" t="s">
        <v>9638</v>
      </c>
      <c r="U514" s="14" t="s">
        <v>9639</v>
      </c>
      <c r="V514" s="14" t="s">
        <v>9640</v>
      </c>
      <c r="W514" s="14" t="s">
        <v>9641</v>
      </c>
      <c r="X514" s="14" t="s">
        <v>9642</v>
      </c>
      <c r="Y514" s="14" t="s">
        <v>9643</v>
      </c>
      <c r="Z514" s="14" t="s">
        <v>9644</v>
      </c>
      <c r="AA514" s="14" t="s">
        <v>9645</v>
      </c>
      <c r="AB514" s="14" t="s">
        <v>9646</v>
      </c>
      <c r="AC514" s="14" t="s">
        <v>99</v>
      </c>
      <c r="AD514" s="14" t="s">
        <v>99</v>
      </c>
      <c r="AE514" s="14" t="s">
        <v>99</v>
      </c>
      <c r="AF514" s="14" t="s">
        <v>99</v>
      </c>
      <c r="AG514" s="14">
        <v>96.0</v>
      </c>
      <c r="AH514" s="14">
        <v>233.0</v>
      </c>
      <c r="AI514" s="14">
        <v>294.0</v>
      </c>
      <c r="AJ514" s="14">
        <v>1.0</v>
      </c>
      <c r="AK514" s="14">
        <v>89.0</v>
      </c>
      <c r="AL514" s="14" t="s">
        <v>341</v>
      </c>
      <c r="AM514" s="14" t="s">
        <v>342</v>
      </c>
      <c r="AN514" s="14" t="s">
        <v>343</v>
      </c>
      <c r="AO514" s="14" t="s">
        <v>344</v>
      </c>
      <c r="AP514" s="14" t="s">
        <v>345</v>
      </c>
      <c r="AQ514" s="14" t="s">
        <v>99</v>
      </c>
      <c r="AR514" s="14" t="s">
        <v>346</v>
      </c>
      <c r="AS514" s="14" t="s">
        <v>347</v>
      </c>
      <c r="AT514" s="14" t="s">
        <v>525</v>
      </c>
      <c r="AU514" s="14">
        <v>2002.0</v>
      </c>
      <c r="AV514" s="14">
        <v>8.0</v>
      </c>
      <c r="AW514" s="14">
        <v>7.0</v>
      </c>
      <c r="AX514" s="14" t="s">
        <v>99</v>
      </c>
      <c r="AY514" s="14" t="s">
        <v>99</v>
      </c>
      <c r="AZ514" s="14" t="s">
        <v>99</v>
      </c>
      <c r="BA514" s="14" t="s">
        <v>99</v>
      </c>
      <c r="BB514" s="14">
        <v>679.0</v>
      </c>
      <c r="BC514" s="14">
        <v>693.0</v>
      </c>
      <c r="BD514" s="14" t="s">
        <v>99</v>
      </c>
      <c r="BE514" s="14" t="s">
        <v>9647</v>
      </c>
      <c r="BF514" s="15" t="str">
        <f>HYPERLINK("http://dx.doi.org/10.1046/j.1365-2486.2002.00502.x","http://dx.doi.org/10.1046/j.1365-2486.2002.00502.x")</f>
        <v>http://dx.doi.org/10.1046/j.1365-2486.2002.00502.x</v>
      </c>
      <c r="BG514" s="14" t="s">
        <v>99</v>
      </c>
      <c r="BH514" s="14" t="s">
        <v>99</v>
      </c>
      <c r="BI514" s="14">
        <v>15.0</v>
      </c>
      <c r="BJ514" s="14" t="s">
        <v>351</v>
      </c>
      <c r="BK514" s="14" t="s">
        <v>122</v>
      </c>
      <c r="BL514" s="14" t="s">
        <v>352</v>
      </c>
      <c r="BM514" s="14" t="s">
        <v>9648</v>
      </c>
      <c r="BN514" s="14" t="s">
        <v>99</v>
      </c>
      <c r="BO514" s="14" t="s">
        <v>99</v>
      </c>
      <c r="BP514" s="14" t="s">
        <v>99</v>
      </c>
      <c r="BQ514" s="14" t="s">
        <v>99</v>
      </c>
      <c r="BR514" s="14" t="s">
        <v>124</v>
      </c>
      <c r="BS514" s="14" t="s">
        <v>9649</v>
      </c>
      <c r="BT514" s="14" t="str">
        <f>HYPERLINK("https%3A%2F%2Fwww.webofscience.com%2Fwos%2Fwoscc%2Ffull-record%2FWOS:000176055800007","View Full Record in Web of Science")</f>
        <v>View Full Record in Web of Science</v>
      </c>
    </row>
    <row r="515" ht="12.75" customHeight="1">
      <c r="A515" s="14" t="s">
        <v>97</v>
      </c>
      <c r="B515" s="14" t="s">
        <v>9650</v>
      </c>
      <c r="C515" s="14" t="s">
        <v>99</v>
      </c>
      <c r="D515" s="14" t="s">
        <v>99</v>
      </c>
      <c r="E515" s="14" t="s">
        <v>99</v>
      </c>
      <c r="F515" s="14" t="s">
        <v>9650</v>
      </c>
      <c r="G515" s="14" t="s">
        <v>99</v>
      </c>
      <c r="H515" s="14" t="s">
        <v>99</v>
      </c>
      <c r="I515" s="14" t="s">
        <v>9651</v>
      </c>
      <c r="J515" s="14" t="s">
        <v>9652</v>
      </c>
      <c r="K515" s="14" t="s">
        <v>99</v>
      </c>
      <c r="L515" s="14" t="s">
        <v>99</v>
      </c>
      <c r="M515" s="14" t="s">
        <v>103</v>
      </c>
      <c r="N515" s="14" t="s">
        <v>104</v>
      </c>
      <c r="O515" s="14" t="s">
        <v>99</v>
      </c>
      <c r="P515" s="14" t="s">
        <v>99</v>
      </c>
      <c r="Q515" s="14" t="s">
        <v>99</v>
      </c>
      <c r="R515" s="14" t="s">
        <v>99</v>
      </c>
      <c r="S515" s="14" t="s">
        <v>99</v>
      </c>
      <c r="T515" s="14" t="s">
        <v>9653</v>
      </c>
      <c r="U515" s="14" t="s">
        <v>9654</v>
      </c>
      <c r="V515" s="14" t="s">
        <v>9655</v>
      </c>
      <c r="W515" s="14" t="s">
        <v>9656</v>
      </c>
      <c r="X515" s="14" t="s">
        <v>9657</v>
      </c>
      <c r="Y515" s="14" t="s">
        <v>9658</v>
      </c>
      <c r="Z515" s="14" t="s">
        <v>99</v>
      </c>
      <c r="AA515" s="14" t="s">
        <v>99</v>
      </c>
      <c r="AB515" s="14" t="s">
        <v>9659</v>
      </c>
      <c r="AC515" s="14" t="s">
        <v>99</v>
      </c>
      <c r="AD515" s="14" t="s">
        <v>99</v>
      </c>
      <c r="AE515" s="14" t="s">
        <v>99</v>
      </c>
      <c r="AF515" s="14" t="s">
        <v>99</v>
      </c>
      <c r="AG515" s="14">
        <v>32.0</v>
      </c>
      <c r="AH515" s="14">
        <v>276.0</v>
      </c>
      <c r="AI515" s="14">
        <v>362.0</v>
      </c>
      <c r="AJ515" s="14">
        <v>2.0</v>
      </c>
      <c r="AK515" s="14">
        <v>203.0</v>
      </c>
      <c r="AL515" s="14" t="s">
        <v>9660</v>
      </c>
      <c r="AM515" s="14" t="s">
        <v>789</v>
      </c>
      <c r="AN515" s="14" t="s">
        <v>9661</v>
      </c>
      <c r="AO515" s="14" t="s">
        <v>9662</v>
      </c>
      <c r="AP515" s="14" t="s">
        <v>99</v>
      </c>
      <c r="AQ515" s="14" t="s">
        <v>99</v>
      </c>
      <c r="AR515" s="14" t="s">
        <v>9652</v>
      </c>
      <c r="AS515" s="14" t="s">
        <v>9663</v>
      </c>
      <c r="AT515" s="14" t="s">
        <v>616</v>
      </c>
      <c r="AU515" s="14">
        <v>2002.0</v>
      </c>
      <c r="AV515" s="14">
        <v>25.0</v>
      </c>
      <c r="AW515" s="14">
        <v>2.0</v>
      </c>
      <c r="AX515" s="14" t="s">
        <v>99</v>
      </c>
      <c r="AY515" s="14" t="s">
        <v>99</v>
      </c>
      <c r="AZ515" s="14" t="s">
        <v>99</v>
      </c>
      <c r="BA515" s="14" t="s">
        <v>99</v>
      </c>
      <c r="BB515" s="14">
        <v>173.0</v>
      </c>
      <c r="BC515" s="14">
        <v>183.0</v>
      </c>
      <c r="BD515" s="14" t="s">
        <v>99</v>
      </c>
      <c r="BE515" s="14" t="s">
        <v>9664</v>
      </c>
      <c r="BF515" s="15" t="str">
        <f>HYPERLINK("http://dx.doi.org/10.1675/1524-4695(2002)025[0173:GCCASL]2.0.CO;2","http://dx.doi.org/10.1675/1524-4695(2002)025[0173:GCCASL]2.0.CO;2")</f>
        <v>http://dx.doi.org/10.1675/1524-4695(2002)025[0173:GCCASL]2.0.CO;2</v>
      </c>
      <c r="BG515" s="14" t="s">
        <v>99</v>
      </c>
      <c r="BH515" s="14" t="s">
        <v>99</v>
      </c>
      <c r="BI515" s="14">
        <v>11.0</v>
      </c>
      <c r="BJ515" s="14" t="s">
        <v>1183</v>
      </c>
      <c r="BK515" s="14" t="s">
        <v>122</v>
      </c>
      <c r="BL515" s="14" t="s">
        <v>121</v>
      </c>
      <c r="BM515" s="14" t="s">
        <v>9665</v>
      </c>
      <c r="BN515" s="14" t="s">
        <v>99</v>
      </c>
      <c r="BO515" s="14" t="s">
        <v>99</v>
      </c>
      <c r="BP515" s="14" t="s">
        <v>99</v>
      </c>
      <c r="BQ515" s="14" t="s">
        <v>99</v>
      </c>
      <c r="BR515" s="14" t="s">
        <v>124</v>
      </c>
      <c r="BS515" s="14" t="s">
        <v>9666</v>
      </c>
      <c r="BT515" s="14" t="str">
        <f>HYPERLINK("https%3A%2F%2Fwww.webofscience.com%2Fwos%2Fwoscc%2Ffull-record%2FWOS:000176179900006","View Full Record in Web of Science")</f>
        <v>View Full Record in Web of Science</v>
      </c>
    </row>
    <row r="516" ht="12.75" customHeight="1">
      <c r="A516" s="14" t="s">
        <v>97</v>
      </c>
      <c r="B516" s="14" t="s">
        <v>9667</v>
      </c>
      <c r="C516" s="14" t="s">
        <v>99</v>
      </c>
      <c r="D516" s="14" t="s">
        <v>99</v>
      </c>
      <c r="E516" s="14" t="s">
        <v>99</v>
      </c>
      <c r="F516" s="14" t="s">
        <v>9667</v>
      </c>
      <c r="G516" s="14" t="s">
        <v>99</v>
      </c>
      <c r="H516" s="14" t="s">
        <v>99</v>
      </c>
      <c r="I516" s="14" t="s">
        <v>9668</v>
      </c>
      <c r="J516" s="14" t="s">
        <v>328</v>
      </c>
      <c r="K516" s="14" t="s">
        <v>99</v>
      </c>
      <c r="L516" s="14" t="s">
        <v>99</v>
      </c>
      <c r="M516" s="14" t="s">
        <v>103</v>
      </c>
      <c r="N516" s="14" t="s">
        <v>104</v>
      </c>
      <c r="O516" s="14" t="s">
        <v>99</v>
      </c>
      <c r="P516" s="14" t="s">
        <v>99</v>
      </c>
      <c r="Q516" s="14" t="s">
        <v>99</v>
      </c>
      <c r="R516" s="14" t="s">
        <v>99</v>
      </c>
      <c r="S516" s="14" t="s">
        <v>99</v>
      </c>
      <c r="T516" s="14" t="s">
        <v>9669</v>
      </c>
      <c r="U516" s="14" t="s">
        <v>9670</v>
      </c>
      <c r="V516" s="14" t="s">
        <v>9671</v>
      </c>
      <c r="W516" s="14" t="s">
        <v>9672</v>
      </c>
      <c r="X516" s="14" t="s">
        <v>9673</v>
      </c>
      <c r="Y516" s="14" t="s">
        <v>9674</v>
      </c>
      <c r="Z516" s="14" t="s">
        <v>9675</v>
      </c>
      <c r="AA516" s="14" t="s">
        <v>9676</v>
      </c>
      <c r="AB516" s="14" t="s">
        <v>9677</v>
      </c>
      <c r="AC516" s="14" t="s">
        <v>99</v>
      </c>
      <c r="AD516" s="14" t="s">
        <v>99</v>
      </c>
      <c r="AE516" s="14" t="s">
        <v>99</v>
      </c>
      <c r="AF516" s="14" t="s">
        <v>99</v>
      </c>
      <c r="AG516" s="14">
        <v>55.0</v>
      </c>
      <c r="AH516" s="14">
        <v>214.0</v>
      </c>
      <c r="AI516" s="14">
        <v>255.0</v>
      </c>
      <c r="AJ516" s="14">
        <v>2.0</v>
      </c>
      <c r="AK516" s="14">
        <v>120.0</v>
      </c>
      <c r="AL516" s="14" t="s">
        <v>341</v>
      </c>
      <c r="AM516" s="14" t="s">
        <v>342</v>
      </c>
      <c r="AN516" s="14" t="s">
        <v>343</v>
      </c>
      <c r="AO516" s="14" t="s">
        <v>344</v>
      </c>
      <c r="AP516" s="14" t="s">
        <v>345</v>
      </c>
      <c r="AQ516" s="14" t="s">
        <v>99</v>
      </c>
      <c r="AR516" s="14" t="s">
        <v>346</v>
      </c>
      <c r="AS516" s="14" t="s">
        <v>347</v>
      </c>
      <c r="AT516" s="14" t="s">
        <v>616</v>
      </c>
      <c r="AU516" s="14">
        <v>2002.0</v>
      </c>
      <c r="AV516" s="14">
        <v>8.0</v>
      </c>
      <c r="AW516" s="14">
        <v>6.0</v>
      </c>
      <c r="AX516" s="14" t="s">
        <v>99</v>
      </c>
      <c r="AY516" s="14" t="s">
        <v>99</v>
      </c>
      <c r="AZ516" s="14" t="s">
        <v>99</v>
      </c>
      <c r="BA516" s="14" t="s">
        <v>99</v>
      </c>
      <c r="BB516" s="14">
        <v>545.0</v>
      </c>
      <c r="BC516" s="14">
        <v>562.0</v>
      </c>
      <c r="BD516" s="14" t="s">
        <v>99</v>
      </c>
      <c r="BE516" s="14" t="s">
        <v>9678</v>
      </c>
      <c r="BF516" s="15" t="str">
        <f>HYPERLINK("http://dx.doi.org/10.1046/j.1365-2486.2002.00482.x","http://dx.doi.org/10.1046/j.1365-2486.2002.00482.x")</f>
        <v>http://dx.doi.org/10.1046/j.1365-2486.2002.00482.x</v>
      </c>
      <c r="BG516" s="14" t="s">
        <v>99</v>
      </c>
      <c r="BH516" s="14" t="s">
        <v>99</v>
      </c>
      <c r="BI516" s="14">
        <v>18.0</v>
      </c>
      <c r="BJ516" s="14" t="s">
        <v>351</v>
      </c>
      <c r="BK516" s="14" t="s">
        <v>122</v>
      </c>
      <c r="BL516" s="14" t="s">
        <v>352</v>
      </c>
      <c r="BM516" s="14" t="s">
        <v>9679</v>
      </c>
      <c r="BN516" s="14" t="s">
        <v>99</v>
      </c>
      <c r="BO516" s="14" t="s">
        <v>99</v>
      </c>
      <c r="BP516" s="14" t="s">
        <v>99</v>
      </c>
      <c r="BQ516" s="14" t="s">
        <v>99</v>
      </c>
      <c r="BR516" s="14" t="s">
        <v>124</v>
      </c>
      <c r="BS516" s="14" t="s">
        <v>9680</v>
      </c>
      <c r="BT516" s="14" t="str">
        <f>HYPERLINK("https%3A%2F%2Fwww.webofscience.com%2Fwos%2Fwoscc%2Ffull-record%2FWOS:000175749000004","View Full Record in Web of Science")</f>
        <v>View Full Record in Web of Science</v>
      </c>
    </row>
    <row r="517" ht="12.75" customHeight="1">
      <c r="A517" s="14" t="s">
        <v>97</v>
      </c>
      <c r="B517" s="14" t="s">
        <v>9681</v>
      </c>
      <c r="C517" s="14" t="s">
        <v>99</v>
      </c>
      <c r="D517" s="14" t="s">
        <v>99</v>
      </c>
      <c r="E517" s="14" t="s">
        <v>99</v>
      </c>
      <c r="F517" s="14" t="s">
        <v>9681</v>
      </c>
      <c r="G517" s="14" t="s">
        <v>99</v>
      </c>
      <c r="H517" s="14" t="s">
        <v>99</v>
      </c>
      <c r="I517" s="14" t="s">
        <v>9682</v>
      </c>
      <c r="J517" s="14" t="s">
        <v>404</v>
      </c>
      <c r="K517" s="14" t="s">
        <v>99</v>
      </c>
      <c r="L517" s="14" t="s">
        <v>99</v>
      </c>
      <c r="M517" s="14" t="s">
        <v>103</v>
      </c>
      <c r="N517" s="14" t="s">
        <v>104</v>
      </c>
      <c r="O517" s="14" t="s">
        <v>99</v>
      </c>
      <c r="P517" s="14" t="s">
        <v>99</v>
      </c>
      <c r="Q517" s="14" t="s">
        <v>99</v>
      </c>
      <c r="R517" s="14" t="s">
        <v>99</v>
      </c>
      <c r="S517" s="14" t="s">
        <v>99</v>
      </c>
      <c r="T517" s="14" t="s">
        <v>9683</v>
      </c>
      <c r="U517" s="14" t="s">
        <v>9684</v>
      </c>
      <c r="V517" s="14" t="s">
        <v>9685</v>
      </c>
      <c r="W517" s="14" t="s">
        <v>9686</v>
      </c>
      <c r="X517" s="14" t="s">
        <v>9380</v>
      </c>
      <c r="Y517" s="14" t="s">
        <v>9687</v>
      </c>
      <c r="Z517" s="14" t="s">
        <v>9688</v>
      </c>
      <c r="AA517" s="14" t="s">
        <v>99</v>
      </c>
      <c r="AB517" s="14" t="s">
        <v>99</v>
      </c>
      <c r="AC517" s="14" t="s">
        <v>99</v>
      </c>
      <c r="AD517" s="14" t="s">
        <v>99</v>
      </c>
      <c r="AE517" s="14" t="s">
        <v>99</v>
      </c>
      <c r="AF517" s="14" t="s">
        <v>99</v>
      </c>
      <c r="AG517" s="14">
        <v>97.0</v>
      </c>
      <c r="AH517" s="14">
        <v>111.0</v>
      </c>
      <c r="AI517" s="14">
        <v>145.0</v>
      </c>
      <c r="AJ517" s="14">
        <v>1.0</v>
      </c>
      <c r="AK517" s="14">
        <v>71.0</v>
      </c>
      <c r="AL517" s="14" t="s">
        <v>341</v>
      </c>
      <c r="AM517" s="14" t="s">
        <v>342</v>
      </c>
      <c r="AN517" s="14" t="s">
        <v>343</v>
      </c>
      <c r="AO517" s="14" t="s">
        <v>417</v>
      </c>
      <c r="AP517" s="14" t="s">
        <v>418</v>
      </c>
      <c r="AQ517" s="14" t="s">
        <v>99</v>
      </c>
      <c r="AR517" s="14" t="s">
        <v>419</v>
      </c>
      <c r="AS517" s="14" t="s">
        <v>420</v>
      </c>
      <c r="AT517" s="14" t="s">
        <v>616</v>
      </c>
      <c r="AU517" s="14">
        <v>2002.0</v>
      </c>
      <c r="AV517" s="14">
        <v>12.0</v>
      </c>
      <c r="AW517" s="14">
        <v>3.0</v>
      </c>
      <c r="AX517" s="14" t="s">
        <v>99</v>
      </c>
      <c r="AY517" s="14" t="s">
        <v>99</v>
      </c>
      <c r="AZ517" s="14" t="s">
        <v>99</v>
      </c>
      <c r="BA517" s="14" t="s">
        <v>99</v>
      </c>
      <c r="BB517" s="14">
        <v>820.0</v>
      </c>
      <c r="BC517" s="14">
        <v>835.0</v>
      </c>
      <c r="BD517" s="14" t="s">
        <v>99</v>
      </c>
      <c r="BE517" s="14" t="s">
        <v>9689</v>
      </c>
      <c r="BF517" s="15" t="str">
        <f>HYPERLINK("http://dx.doi.org/10.1890/1051-0761(2002)012[0820:EOTHOF]2.0.CO;2","http://dx.doi.org/10.1890/1051-0761(2002)012[0820:EOTHOF]2.0.CO;2")</f>
        <v>http://dx.doi.org/10.1890/1051-0761(2002)012[0820:EOTHOF]2.0.CO;2</v>
      </c>
      <c r="BG517" s="14" t="s">
        <v>99</v>
      </c>
      <c r="BH517" s="14" t="s">
        <v>99</v>
      </c>
      <c r="BI517" s="14">
        <v>16.0</v>
      </c>
      <c r="BJ517" s="14" t="s">
        <v>423</v>
      </c>
      <c r="BK517" s="14" t="s">
        <v>122</v>
      </c>
      <c r="BL517" s="14" t="s">
        <v>260</v>
      </c>
      <c r="BM517" s="14" t="s">
        <v>9690</v>
      </c>
      <c r="BN517" s="14" t="s">
        <v>99</v>
      </c>
      <c r="BO517" s="14" t="s">
        <v>99</v>
      </c>
      <c r="BP517" s="14" t="s">
        <v>99</v>
      </c>
      <c r="BQ517" s="14" t="s">
        <v>99</v>
      </c>
      <c r="BR517" s="14" t="s">
        <v>124</v>
      </c>
      <c r="BS517" s="14" t="s">
        <v>9691</v>
      </c>
      <c r="BT517" s="14" t="str">
        <f>HYPERLINK("https%3A%2F%2Fwww.webofscience.com%2Fwos%2Fwoscc%2Ffull-record%2FWOS:000175693800023","View Full Record in Web of Science")</f>
        <v>View Full Record in Web of Science</v>
      </c>
    </row>
    <row r="518" ht="12.75" customHeight="1">
      <c r="A518" s="14" t="s">
        <v>97</v>
      </c>
      <c r="B518" s="14" t="s">
        <v>9692</v>
      </c>
      <c r="C518" s="14" t="s">
        <v>99</v>
      </c>
      <c r="D518" s="14" t="s">
        <v>99</v>
      </c>
      <c r="E518" s="14" t="s">
        <v>99</v>
      </c>
      <c r="F518" s="14" t="s">
        <v>9692</v>
      </c>
      <c r="G518" s="14" t="s">
        <v>99</v>
      </c>
      <c r="H518" s="14" t="s">
        <v>99</v>
      </c>
      <c r="I518" s="14" t="s">
        <v>9693</v>
      </c>
      <c r="J518" s="14" t="s">
        <v>2566</v>
      </c>
      <c r="K518" s="14" t="s">
        <v>99</v>
      </c>
      <c r="L518" s="14" t="s">
        <v>99</v>
      </c>
      <c r="M518" s="14" t="s">
        <v>103</v>
      </c>
      <c r="N518" s="14" t="s">
        <v>104</v>
      </c>
      <c r="O518" s="14" t="s">
        <v>99</v>
      </c>
      <c r="P518" s="14" t="s">
        <v>99</v>
      </c>
      <c r="Q518" s="14" t="s">
        <v>99</v>
      </c>
      <c r="R518" s="14" t="s">
        <v>99</v>
      </c>
      <c r="S518" s="14" t="s">
        <v>99</v>
      </c>
      <c r="T518" s="14" t="s">
        <v>99</v>
      </c>
      <c r="U518" s="14" t="s">
        <v>9694</v>
      </c>
      <c r="V518" s="14" t="s">
        <v>9695</v>
      </c>
      <c r="W518" s="14" t="s">
        <v>9696</v>
      </c>
      <c r="X518" s="14" t="s">
        <v>9697</v>
      </c>
      <c r="Y518" s="14" t="s">
        <v>9698</v>
      </c>
      <c r="Z518" s="14" t="s">
        <v>9699</v>
      </c>
      <c r="AA518" s="14" t="s">
        <v>9700</v>
      </c>
      <c r="AB518" s="14" t="s">
        <v>9701</v>
      </c>
      <c r="AC518" s="14" t="s">
        <v>99</v>
      </c>
      <c r="AD518" s="14" t="s">
        <v>99</v>
      </c>
      <c r="AE518" s="14" t="s">
        <v>99</v>
      </c>
      <c r="AF518" s="14" t="s">
        <v>99</v>
      </c>
      <c r="AG518" s="14">
        <v>19.0</v>
      </c>
      <c r="AH518" s="14">
        <v>609.0</v>
      </c>
      <c r="AI518" s="14">
        <v>712.0</v>
      </c>
      <c r="AJ518" s="14">
        <v>5.0</v>
      </c>
      <c r="AK518" s="14">
        <v>233.0</v>
      </c>
      <c r="AL518" s="14" t="s">
        <v>1243</v>
      </c>
      <c r="AM518" s="14" t="s">
        <v>789</v>
      </c>
      <c r="AN518" s="14" t="s">
        <v>1244</v>
      </c>
      <c r="AO518" s="14" t="s">
        <v>2578</v>
      </c>
      <c r="AP518" s="14" t="s">
        <v>2579</v>
      </c>
      <c r="AQ518" s="14" t="s">
        <v>99</v>
      </c>
      <c r="AR518" s="14" t="s">
        <v>2566</v>
      </c>
      <c r="AS518" s="14" t="s">
        <v>2580</v>
      </c>
      <c r="AT518" s="14" t="s">
        <v>9702</v>
      </c>
      <c r="AU518" s="14">
        <v>2002.0</v>
      </c>
      <c r="AV518" s="14">
        <v>296.0</v>
      </c>
      <c r="AW518" s="14">
        <v>5573.0</v>
      </c>
      <c r="AX518" s="14" t="s">
        <v>99</v>
      </c>
      <c r="AY518" s="14" t="s">
        <v>99</v>
      </c>
      <c r="AZ518" s="14" t="s">
        <v>99</v>
      </c>
      <c r="BA518" s="14" t="s">
        <v>99</v>
      </c>
      <c r="BB518" s="14">
        <v>1687.0</v>
      </c>
      <c r="BC518" s="14">
        <v>1689.0</v>
      </c>
      <c r="BD518" s="14" t="s">
        <v>99</v>
      </c>
      <c r="BE518" s="14" t="s">
        <v>9703</v>
      </c>
      <c r="BF518" s="15" t="str">
        <f>HYPERLINK("http://dx.doi.org/10.1126/science.1071828","http://dx.doi.org/10.1126/science.1071828")</f>
        <v>http://dx.doi.org/10.1126/science.1071828</v>
      </c>
      <c r="BG518" s="14" t="s">
        <v>99</v>
      </c>
      <c r="BH518" s="14" t="s">
        <v>99</v>
      </c>
      <c r="BI518" s="14">
        <v>3.0</v>
      </c>
      <c r="BJ518" s="14" t="s">
        <v>799</v>
      </c>
      <c r="BK518" s="14" t="s">
        <v>122</v>
      </c>
      <c r="BL518" s="14" t="s">
        <v>801</v>
      </c>
      <c r="BM518" s="14" t="s">
        <v>9704</v>
      </c>
      <c r="BN518" s="14">
        <v>1.2040194E7</v>
      </c>
      <c r="BO518" s="14" t="s">
        <v>425</v>
      </c>
      <c r="BP518" s="14" t="s">
        <v>99</v>
      </c>
      <c r="BQ518" s="14" t="s">
        <v>99</v>
      </c>
      <c r="BR518" s="14" t="s">
        <v>124</v>
      </c>
      <c r="BS518" s="14" t="s">
        <v>9705</v>
      </c>
      <c r="BT518" s="14" t="str">
        <f>HYPERLINK("https%3A%2F%2Fwww.webofscience.com%2Fwos%2Fwoscc%2Ffull-record%2FWOS:000175976200058","View Full Record in Web of Science")</f>
        <v>View Full Record in Web of Science</v>
      </c>
    </row>
    <row r="519" ht="12.75" customHeight="1">
      <c r="A519" s="14" t="s">
        <v>97</v>
      </c>
      <c r="B519" s="14" t="s">
        <v>9706</v>
      </c>
      <c r="C519" s="14" t="s">
        <v>99</v>
      </c>
      <c r="D519" s="14" t="s">
        <v>99</v>
      </c>
      <c r="E519" s="14" t="s">
        <v>99</v>
      </c>
      <c r="F519" s="14" t="s">
        <v>9706</v>
      </c>
      <c r="G519" s="14" t="s">
        <v>99</v>
      </c>
      <c r="H519" s="14" t="s">
        <v>99</v>
      </c>
      <c r="I519" s="14" t="s">
        <v>9707</v>
      </c>
      <c r="J519" s="14" t="s">
        <v>900</v>
      </c>
      <c r="K519" s="14" t="s">
        <v>99</v>
      </c>
      <c r="L519" s="14" t="s">
        <v>99</v>
      </c>
      <c r="M519" s="14" t="s">
        <v>103</v>
      </c>
      <c r="N519" s="14" t="s">
        <v>104</v>
      </c>
      <c r="O519" s="14" t="s">
        <v>99</v>
      </c>
      <c r="P519" s="14" t="s">
        <v>99</v>
      </c>
      <c r="Q519" s="14" t="s">
        <v>99</v>
      </c>
      <c r="R519" s="14" t="s">
        <v>99</v>
      </c>
      <c r="S519" s="14" t="s">
        <v>99</v>
      </c>
      <c r="T519" s="14" t="s">
        <v>99</v>
      </c>
      <c r="U519" s="14" t="s">
        <v>9708</v>
      </c>
      <c r="V519" s="14" t="s">
        <v>99</v>
      </c>
      <c r="W519" s="14" t="s">
        <v>9709</v>
      </c>
      <c r="X519" s="14" t="s">
        <v>9710</v>
      </c>
      <c r="Y519" s="14" t="s">
        <v>9711</v>
      </c>
      <c r="Z519" s="14" t="s">
        <v>6759</v>
      </c>
      <c r="AA519" s="14" t="s">
        <v>99</v>
      </c>
      <c r="AB519" s="14" t="s">
        <v>99</v>
      </c>
      <c r="AC519" s="14" t="s">
        <v>99</v>
      </c>
      <c r="AD519" s="14" t="s">
        <v>99</v>
      </c>
      <c r="AE519" s="14" t="s">
        <v>99</v>
      </c>
      <c r="AF519" s="14" t="s">
        <v>99</v>
      </c>
      <c r="AG519" s="14">
        <v>13.0</v>
      </c>
      <c r="AH519" s="14">
        <v>535.0</v>
      </c>
      <c r="AI519" s="14">
        <v>602.0</v>
      </c>
      <c r="AJ519" s="14">
        <v>5.0</v>
      </c>
      <c r="AK519" s="14">
        <v>379.0</v>
      </c>
      <c r="AL519" s="14" t="s">
        <v>909</v>
      </c>
      <c r="AM519" s="14" t="s">
        <v>910</v>
      </c>
      <c r="AN519" s="14" t="s">
        <v>911</v>
      </c>
      <c r="AO519" s="14" t="s">
        <v>912</v>
      </c>
      <c r="AP519" s="14" t="s">
        <v>913</v>
      </c>
      <c r="AQ519" s="14" t="s">
        <v>99</v>
      </c>
      <c r="AR519" s="14" t="s">
        <v>900</v>
      </c>
      <c r="AS519" s="14" t="s">
        <v>914</v>
      </c>
      <c r="AT519" s="14" t="s">
        <v>9712</v>
      </c>
      <c r="AU519" s="14">
        <v>2002.0</v>
      </c>
      <c r="AV519" s="14">
        <v>416.0</v>
      </c>
      <c r="AW519" s="14">
        <v>6883.0</v>
      </c>
      <c r="AX519" s="14" t="s">
        <v>99</v>
      </c>
      <c r="AY519" s="14" t="s">
        <v>99</v>
      </c>
      <c r="AZ519" s="14" t="s">
        <v>99</v>
      </c>
      <c r="BA519" s="14" t="s">
        <v>99</v>
      </c>
      <c r="BB519" s="14">
        <v>808.0</v>
      </c>
      <c r="BC519" s="14">
        <v>809.0</v>
      </c>
      <c r="BD519" s="14" t="s">
        <v>99</v>
      </c>
      <c r="BE519" s="14" t="s">
        <v>9713</v>
      </c>
      <c r="BF519" s="15" t="str">
        <f>HYPERLINK("http://dx.doi.org/10.1038/416808a","http://dx.doi.org/10.1038/416808a")</f>
        <v>http://dx.doi.org/10.1038/416808a</v>
      </c>
      <c r="BG519" s="14" t="s">
        <v>99</v>
      </c>
      <c r="BH519" s="14" t="s">
        <v>99</v>
      </c>
      <c r="BI519" s="14">
        <v>2.0</v>
      </c>
      <c r="BJ519" s="14" t="s">
        <v>799</v>
      </c>
      <c r="BK519" s="14" t="s">
        <v>122</v>
      </c>
      <c r="BL519" s="14" t="s">
        <v>801</v>
      </c>
      <c r="BM519" s="14" t="s">
        <v>9714</v>
      </c>
      <c r="BN519" s="14">
        <v>1.1976671E7</v>
      </c>
      <c r="BO519" s="14" t="s">
        <v>99</v>
      </c>
      <c r="BP519" s="14" t="s">
        <v>99</v>
      </c>
      <c r="BQ519" s="14" t="s">
        <v>99</v>
      </c>
      <c r="BR519" s="14" t="s">
        <v>124</v>
      </c>
      <c r="BS519" s="14" t="s">
        <v>9715</v>
      </c>
      <c r="BT519" s="14" t="str">
        <f>HYPERLINK("https%3A%2F%2Fwww.webofscience.com%2Fwos%2Fwoscc%2Ffull-record%2FWOS:000175163800039","View Full Record in Web of Science")</f>
        <v>View Full Record in Web of Science</v>
      </c>
    </row>
    <row r="520" ht="12.75" customHeight="1">
      <c r="A520" s="14" t="s">
        <v>97</v>
      </c>
      <c r="B520" s="14" t="s">
        <v>9716</v>
      </c>
      <c r="C520" s="14" t="s">
        <v>99</v>
      </c>
      <c r="D520" s="14" t="s">
        <v>99</v>
      </c>
      <c r="E520" s="14" t="s">
        <v>99</v>
      </c>
      <c r="F520" s="14" t="s">
        <v>9716</v>
      </c>
      <c r="G520" s="14" t="s">
        <v>99</v>
      </c>
      <c r="H520" s="14" t="s">
        <v>99</v>
      </c>
      <c r="I520" s="14" t="s">
        <v>9717</v>
      </c>
      <c r="J520" s="14" t="s">
        <v>900</v>
      </c>
      <c r="K520" s="14" t="s">
        <v>99</v>
      </c>
      <c r="L520" s="14" t="s">
        <v>99</v>
      </c>
      <c r="M520" s="14" t="s">
        <v>103</v>
      </c>
      <c r="N520" s="14" t="s">
        <v>104</v>
      </c>
      <c r="O520" s="14" t="s">
        <v>99</v>
      </c>
      <c r="P520" s="14" t="s">
        <v>99</v>
      </c>
      <c r="Q520" s="14" t="s">
        <v>99</v>
      </c>
      <c r="R520" s="14" t="s">
        <v>99</v>
      </c>
      <c r="S520" s="14" t="s">
        <v>99</v>
      </c>
      <c r="T520" s="14" t="s">
        <v>99</v>
      </c>
      <c r="U520" s="14" t="s">
        <v>9718</v>
      </c>
      <c r="V520" s="14" t="s">
        <v>9719</v>
      </c>
      <c r="W520" s="14" t="s">
        <v>9720</v>
      </c>
      <c r="X520" s="14" t="s">
        <v>9721</v>
      </c>
      <c r="Y520" s="14" t="s">
        <v>7871</v>
      </c>
      <c r="Z520" s="14" t="s">
        <v>99</v>
      </c>
      <c r="AA520" s="14" t="s">
        <v>9722</v>
      </c>
      <c r="AB520" s="14" t="s">
        <v>9723</v>
      </c>
      <c r="AC520" s="14" t="s">
        <v>99</v>
      </c>
      <c r="AD520" s="14" t="s">
        <v>99</v>
      </c>
      <c r="AE520" s="14" t="s">
        <v>99</v>
      </c>
      <c r="AF520" s="14" t="s">
        <v>99</v>
      </c>
      <c r="AG520" s="14">
        <v>29.0</v>
      </c>
      <c r="AH520" s="14">
        <v>655.0</v>
      </c>
      <c r="AI520" s="14">
        <v>792.0</v>
      </c>
      <c r="AJ520" s="14">
        <v>1.0</v>
      </c>
      <c r="AK520" s="14">
        <v>206.0</v>
      </c>
      <c r="AL520" s="14" t="s">
        <v>1326</v>
      </c>
      <c r="AM520" s="14" t="s">
        <v>274</v>
      </c>
      <c r="AN520" s="14" t="s">
        <v>1327</v>
      </c>
      <c r="AO520" s="14" t="s">
        <v>912</v>
      </c>
      <c r="AP520" s="14" t="s">
        <v>99</v>
      </c>
      <c r="AQ520" s="14" t="s">
        <v>99</v>
      </c>
      <c r="AR520" s="14" t="s">
        <v>900</v>
      </c>
      <c r="AS520" s="14" t="s">
        <v>914</v>
      </c>
      <c r="AT520" s="14" t="s">
        <v>9724</v>
      </c>
      <c r="AU520" s="14">
        <v>2002.0</v>
      </c>
      <c r="AV520" s="14">
        <v>416.0</v>
      </c>
      <c r="AW520" s="14">
        <v>6881.0</v>
      </c>
      <c r="AX520" s="14" t="s">
        <v>99</v>
      </c>
      <c r="AY520" s="14" t="s">
        <v>99</v>
      </c>
      <c r="AZ520" s="14" t="s">
        <v>99</v>
      </c>
      <c r="BA520" s="14" t="s">
        <v>99</v>
      </c>
      <c r="BB520" s="14">
        <v>626.0</v>
      </c>
      <c r="BC520" s="14">
        <v>629.0</v>
      </c>
      <c r="BD520" s="14" t="s">
        <v>99</v>
      </c>
      <c r="BE520" s="14" t="s">
        <v>9725</v>
      </c>
      <c r="BF520" s="15" t="str">
        <f>HYPERLINK("http://dx.doi.org/10.1038/416626a","http://dx.doi.org/10.1038/416626a")</f>
        <v>http://dx.doi.org/10.1038/416626a</v>
      </c>
      <c r="BG520" s="14" t="s">
        <v>99</v>
      </c>
      <c r="BH520" s="14" t="s">
        <v>99</v>
      </c>
      <c r="BI520" s="14">
        <v>5.0</v>
      </c>
      <c r="BJ520" s="14" t="s">
        <v>799</v>
      </c>
      <c r="BK520" s="14" t="s">
        <v>122</v>
      </c>
      <c r="BL520" s="14" t="s">
        <v>801</v>
      </c>
      <c r="BM520" s="14" t="s">
        <v>9726</v>
      </c>
      <c r="BN520" s="14">
        <v>1.1948349E7</v>
      </c>
      <c r="BO520" s="14" t="s">
        <v>99</v>
      </c>
      <c r="BP520" s="14" t="s">
        <v>99</v>
      </c>
      <c r="BQ520" s="14" t="s">
        <v>99</v>
      </c>
      <c r="BR520" s="14" t="s">
        <v>124</v>
      </c>
      <c r="BS520" s="14" t="s">
        <v>9727</v>
      </c>
      <c r="BT520" s="14" t="str">
        <f>HYPERLINK("https%3A%2F%2Fwww.webofscience.com%2Fwos%2Fwoscc%2Ffull-record%2FWOS:000174901900041","View Full Record in Web of Science")</f>
        <v>View Full Record in Web of Science</v>
      </c>
    </row>
    <row r="521" ht="12.75" customHeight="1">
      <c r="A521" s="14" t="s">
        <v>97</v>
      </c>
      <c r="B521" s="14" t="s">
        <v>9728</v>
      </c>
      <c r="C521" s="14" t="s">
        <v>99</v>
      </c>
      <c r="D521" s="14" t="s">
        <v>99</v>
      </c>
      <c r="E521" s="14" t="s">
        <v>99</v>
      </c>
      <c r="F521" s="14" t="s">
        <v>9728</v>
      </c>
      <c r="G521" s="14" t="s">
        <v>99</v>
      </c>
      <c r="H521" s="14" t="s">
        <v>99</v>
      </c>
      <c r="I521" s="14" t="s">
        <v>9729</v>
      </c>
      <c r="J521" s="14" t="s">
        <v>9730</v>
      </c>
      <c r="K521" s="14" t="s">
        <v>99</v>
      </c>
      <c r="L521" s="14" t="s">
        <v>99</v>
      </c>
      <c r="M521" s="14" t="s">
        <v>103</v>
      </c>
      <c r="N521" s="14" t="s">
        <v>104</v>
      </c>
      <c r="O521" s="14" t="s">
        <v>99</v>
      </c>
      <c r="P521" s="14" t="s">
        <v>99</v>
      </c>
      <c r="Q521" s="14" t="s">
        <v>99</v>
      </c>
      <c r="R521" s="14" t="s">
        <v>99</v>
      </c>
      <c r="S521" s="14" t="s">
        <v>99</v>
      </c>
      <c r="T521" s="14" t="s">
        <v>9731</v>
      </c>
      <c r="U521" s="14" t="s">
        <v>9732</v>
      </c>
      <c r="V521" s="14" t="s">
        <v>9733</v>
      </c>
      <c r="W521" s="14" t="s">
        <v>9734</v>
      </c>
      <c r="X521" s="14" t="s">
        <v>4839</v>
      </c>
      <c r="Y521" s="14" t="s">
        <v>9735</v>
      </c>
      <c r="Z521" s="14" t="s">
        <v>99</v>
      </c>
      <c r="AA521" s="14" t="s">
        <v>99</v>
      </c>
      <c r="AB521" s="14" t="s">
        <v>99</v>
      </c>
      <c r="AC521" s="14" t="s">
        <v>99</v>
      </c>
      <c r="AD521" s="14" t="s">
        <v>99</v>
      </c>
      <c r="AE521" s="14" t="s">
        <v>99</v>
      </c>
      <c r="AF521" s="14" t="s">
        <v>99</v>
      </c>
      <c r="AG521" s="14">
        <v>36.0</v>
      </c>
      <c r="AH521" s="14">
        <v>28.0</v>
      </c>
      <c r="AI521" s="14">
        <v>32.0</v>
      </c>
      <c r="AJ521" s="14">
        <v>0.0</v>
      </c>
      <c r="AK521" s="14">
        <v>15.0</v>
      </c>
      <c r="AL521" s="14" t="s">
        <v>9736</v>
      </c>
      <c r="AM521" s="14" t="s">
        <v>9737</v>
      </c>
      <c r="AN521" s="14" t="s">
        <v>9738</v>
      </c>
      <c r="AO521" s="14" t="s">
        <v>9739</v>
      </c>
      <c r="AP521" s="14" t="s">
        <v>99</v>
      </c>
      <c r="AQ521" s="14" t="s">
        <v>99</v>
      </c>
      <c r="AR521" s="14" t="s">
        <v>9740</v>
      </c>
      <c r="AS521" s="14" t="s">
        <v>9741</v>
      </c>
      <c r="AT521" s="14" t="s">
        <v>1462</v>
      </c>
      <c r="AU521" s="14">
        <v>2002.0</v>
      </c>
      <c r="AV521" s="14">
        <v>50.0</v>
      </c>
      <c r="AW521" s="14">
        <v>2.0</v>
      </c>
      <c r="AX521" s="14" t="s">
        <v>99</v>
      </c>
      <c r="AY521" s="14" t="s">
        <v>99</v>
      </c>
      <c r="AZ521" s="14" t="s">
        <v>99</v>
      </c>
      <c r="BA521" s="14" t="s">
        <v>99</v>
      </c>
      <c r="BB521" s="14">
        <v>196.0</v>
      </c>
      <c r="BC521" s="14">
        <v>203.0</v>
      </c>
      <c r="BD521" s="14" t="s">
        <v>99</v>
      </c>
      <c r="BE521" s="14" t="s">
        <v>9742</v>
      </c>
      <c r="BF521" s="15" t="str">
        <f>HYPERLINK("http://dx.doi.org/10.1614/0043-1745(2002)050[0196:LTEOHA]2.0.CO;2","http://dx.doi.org/10.1614/0043-1745(2002)050[0196:LTEOHA]2.0.CO;2")</f>
        <v>http://dx.doi.org/10.1614/0043-1745(2002)050[0196:LTEOHA]2.0.CO;2</v>
      </c>
      <c r="BG521" s="14" t="s">
        <v>99</v>
      </c>
      <c r="BH521" s="14" t="s">
        <v>99</v>
      </c>
      <c r="BI521" s="14">
        <v>8.0</v>
      </c>
      <c r="BJ521" s="14" t="s">
        <v>5161</v>
      </c>
      <c r="BK521" s="14" t="s">
        <v>122</v>
      </c>
      <c r="BL521" s="14" t="s">
        <v>5162</v>
      </c>
      <c r="BM521" s="14" t="s">
        <v>9743</v>
      </c>
      <c r="BN521" s="14" t="s">
        <v>99</v>
      </c>
      <c r="BO521" s="14" t="s">
        <v>99</v>
      </c>
      <c r="BP521" s="14" t="s">
        <v>99</v>
      </c>
      <c r="BQ521" s="14" t="s">
        <v>99</v>
      </c>
      <c r="BR521" s="14" t="s">
        <v>124</v>
      </c>
      <c r="BS521" s="14" t="s">
        <v>9744</v>
      </c>
      <c r="BT521" s="14" t="str">
        <f>HYPERLINK("https%3A%2F%2Fwww.webofscience.com%2Fwos%2Fwoscc%2Ffull-record%2FWOS:000174924500010","View Full Record in Web of Science")</f>
        <v>View Full Record in Web of Science</v>
      </c>
    </row>
    <row r="522" ht="12.75" customHeight="1">
      <c r="A522" s="14" t="s">
        <v>97</v>
      </c>
      <c r="B522" s="14" t="s">
        <v>9745</v>
      </c>
      <c r="C522" s="14" t="s">
        <v>99</v>
      </c>
      <c r="D522" s="14" t="s">
        <v>99</v>
      </c>
      <c r="E522" s="14" t="s">
        <v>99</v>
      </c>
      <c r="F522" s="14" t="s">
        <v>9745</v>
      </c>
      <c r="G522" s="14" t="s">
        <v>99</v>
      </c>
      <c r="H522" s="14" t="s">
        <v>99</v>
      </c>
      <c r="I522" s="14" t="s">
        <v>9746</v>
      </c>
      <c r="J522" s="14" t="s">
        <v>1721</v>
      </c>
      <c r="K522" s="14" t="s">
        <v>99</v>
      </c>
      <c r="L522" s="14" t="s">
        <v>99</v>
      </c>
      <c r="M522" s="14" t="s">
        <v>103</v>
      </c>
      <c r="N522" s="14" t="s">
        <v>104</v>
      </c>
      <c r="O522" s="14" t="s">
        <v>99</v>
      </c>
      <c r="P522" s="14" t="s">
        <v>99</v>
      </c>
      <c r="Q522" s="14" t="s">
        <v>99</v>
      </c>
      <c r="R522" s="14" t="s">
        <v>99</v>
      </c>
      <c r="S522" s="14" t="s">
        <v>99</v>
      </c>
      <c r="T522" s="14" t="s">
        <v>9747</v>
      </c>
      <c r="U522" s="14" t="s">
        <v>9748</v>
      </c>
      <c r="V522" s="14" t="s">
        <v>9749</v>
      </c>
      <c r="W522" s="14" t="s">
        <v>9750</v>
      </c>
      <c r="X522" s="14" t="s">
        <v>9751</v>
      </c>
      <c r="Y522" s="14" t="s">
        <v>9752</v>
      </c>
      <c r="Z522" s="14" t="s">
        <v>9753</v>
      </c>
      <c r="AA522" s="14" t="s">
        <v>9754</v>
      </c>
      <c r="AB522" s="14" t="s">
        <v>9755</v>
      </c>
      <c r="AC522" s="14" t="s">
        <v>99</v>
      </c>
      <c r="AD522" s="14" t="s">
        <v>99</v>
      </c>
      <c r="AE522" s="14" t="s">
        <v>99</v>
      </c>
      <c r="AF522" s="14" t="s">
        <v>99</v>
      </c>
      <c r="AG522" s="14">
        <v>48.0</v>
      </c>
      <c r="AH522" s="14">
        <v>87.0</v>
      </c>
      <c r="AI522" s="14">
        <v>129.0</v>
      </c>
      <c r="AJ522" s="14">
        <v>1.0</v>
      </c>
      <c r="AK522" s="14">
        <v>58.0</v>
      </c>
      <c r="AL522" s="14" t="s">
        <v>1731</v>
      </c>
      <c r="AM522" s="14" t="s">
        <v>1732</v>
      </c>
      <c r="AN522" s="14" t="s">
        <v>1733</v>
      </c>
      <c r="AO522" s="14" t="s">
        <v>1734</v>
      </c>
      <c r="AP522" s="14" t="s">
        <v>1735</v>
      </c>
      <c r="AQ522" s="14" t="s">
        <v>99</v>
      </c>
      <c r="AR522" s="14" t="s">
        <v>1736</v>
      </c>
      <c r="AS522" s="14" t="s">
        <v>1737</v>
      </c>
      <c r="AT522" s="14" t="s">
        <v>1485</v>
      </c>
      <c r="AU522" s="14">
        <v>2002.0</v>
      </c>
      <c r="AV522" s="14">
        <v>11.0</v>
      </c>
      <c r="AW522" s="14">
        <v>3.0</v>
      </c>
      <c r="AX522" s="14" t="s">
        <v>99</v>
      </c>
      <c r="AY522" s="14" t="s">
        <v>99</v>
      </c>
      <c r="AZ522" s="14" t="s">
        <v>99</v>
      </c>
      <c r="BA522" s="14" t="s">
        <v>99</v>
      </c>
      <c r="BB522" s="14">
        <v>521.0</v>
      </c>
      <c r="BC522" s="14">
        <v>541.0</v>
      </c>
      <c r="BD522" s="14" t="s">
        <v>99</v>
      </c>
      <c r="BE522" s="14" t="s">
        <v>9756</v>
      </c>
      <c r="BF522" s="15" t="str">
        <f>HYPERLINK("http://dx.doi.org/10.1023/A:1014812701423","http://dx.doi.org/10.1023/A:1014812701423")</f>
        <v>http://dx.doi.org/10.1023/A:1014812701423</v>
      </c>
      <c r="BG522" s="14" t="s">
        <v>99</v>
      </c>
      <c r="BH522" s="14" t="s">
        <v>99</v>
      </c>
      <c r="BI522" s="14">
        <v>21.0</v>
      </c>
      <c r="BJ522" s="14" t="s">
        <v>351</v>
      </c>
      <c r="BK522" s="14" t="s">
        <v>122</v>
      </c>
      <c r="BL522" s="14" t="s">
        <v>352</v>
      </c>
      <c r="BM522" s="14" t="s">
        <v>9757</v>
      </c>
      <c r="BN522" s="14" t="s">
        <v>99</v>
      </c>
      <c r="BO522" s="14" t="s">
        <v>99</v>
      </c>
      <c r="BP522" s="14" t="s">
        <v>99</v>
      </c>
      <c r="BQ522" s="14" t="s">
        <v>99</v>
      </c>
      <c r="BR522" s="14" t="s">
        <v>124</v>
      </c>
      <c r="BS522" s="14" t="s">
        <v>9758</v>
      </c>
      <c r="BT522" s="14" t="str">
        <f>HYPERLINK("https%3A%2F%2Fwww.webofscience.com%2Fwos%2Fwoscc%2Ffull-record%2FWOS:000174605900009","View Full Record in Web of Science")</f>
        <v>View Full Record in Web of Science</v>
      </c>
    </row>
    <row r="523" ht="12.75" customHeight="1">
      <c r="A523" s="14" t="s">
        <v>97</v>
      </c>
      <c r="B523" s="14" t="s">
        <v>9759</v>
      </c>
      <c r="C523" s="14" t="s">
        <v>99</v>
      </c>
      <c r="D523" s="14" t="s">
        <v>99</v>
      </c>
      <c r="E523" s="14" t="s">
        <v>99</v>
      </c>
      <c r="F523" s="14" t="s">
        <v>9759</v>
      </c>
      <c r="G523" s="14" t="s">
        <v>99</v>
      </c>
      <c r="H523" s="14" t="s">
        <v>99</v>
      </c>
      <c r="I523" s="14" t="s">
        <v>9760</v>
      </c>
      <c r="J523" s="14" t="s">
        <v>6046</v>
      </c>
      <c r="K523" s="14" t="s">
        <v>99</v>
      </c>
      <c r="L523" s="14" t="s">
        <v>99</v>
      </c>
      <c r="M523" s="14" t="s">
        <v>103</v>
      </c>
      <c r="N523" s="14" t="s">
        <v>104</v>
      </c>
      <c r="O523" s="14" t="s">
        <v>99</v>
      </c>
      <c r="P523" s="14" t="s">
        <v>99</v>
      </c>
      <c r="Q523" s="14" t="s">
        <v>99</v>
      </c>
      <c r="R523" s="14" t="s">
        <v>99</v>
      </c>
      <c r="S523" s="14" t="s">
        <v>99</v>
      </c>
      <c r="T523" s="14" t="s">
        <v>99</v>
      </c>
      <c r="U523" s="14" t="s">
        <v>9761</v>
      </c>
      <c r="V523" s="14" t="s">
        <v>99</v>
      </c>
      <c r="W523" s="14" t="s">
        <v>9762</v>
      </c>
      <c r="X523" s="14" t="s">
        <v>9763</v>
      </c>
      <c r="Y523" s="14" t="s">
        <v>9764</v>
      </c>
      <c r="Z523" s="14" t="s">
        <v>9765</v>
      </c>
      <c r="AA523" s="14" t="s">
        <v>99</v>
      </c>
      <c r="AB523" s="14" t="s">
        <v>9766</v>
      </c>
      <c r="AC523" s="14" t="s">
        <v>99</v>
      </c>
      <c r="AD523" s="14" t="s">
        <v>99</v>
      </c>
      <c r="AE523" s="14" t="s">
        <v>99</v>
      </c>
      <c r="AF523" s="14" t="s">
        <v>99</v>
      </c>
      <c r="AG523" s="14">
        <v>31.0</v>
      </c>
      <c r="AH523" s="14">
        <v>2069.0</v>
      </c>
      <c r="AI523" s="14">
        <v>2583.0</v>
      </c>
      <c r="AJ523" s="14">
        <v>15.0</v>
      </c>
      <c r="AK523" s="14">
        <v>501.0</v>
      </c>
      <c r="AL523" s="14" t="s">
        <v>3078</v>
      </c>
      <c r="AM523" s="14" t="s">
        <v>468</v>
      </c>
      <c r="AN523" s="14" t="s">
        <v>3079</v>
      </c>
      <c r="AO523" s="14" t="s">
        <v>6060</v>
      </c>
      <c r="AP523" s="14" t="s">
        <v>9767</v>
      </c>
      <c r="AQ523" s="14" t="s">
        <v>99</v>
      </c>
      <c r="AR523" s="14" t="s">
        <v>6046</v>
      </c>
      <c r="AS523" s="14" t="s">
        <v>6061</v>
      </c>
      <c r="AT523" s="14" t="s">
        <v>280</v>
      </c>
      <c r="AU523" s="14">
        <v>2002.0</v>
      </c>
      <c r="AV523" s="14">
        <v>52.0</v>
      </c>
      <c r="AW523" s="14">
        <v>2.0</v>
      </c>
      <c r="AX523" s="14" t="s">
        <v>99</v>
      </c>
      <c r="AY523" s="14" t="s">
        <v>99</v>
      </c>
      <c r="AZ523" s="14" t="s">
        <v>99</v>
      </c>
      <c r="BA523" s="14" t="s">
        <v>99</v>
      </c>
      <c r="BB523" s="14">
        <v>143.0</v>
      </c>
      <c r="BC523" s="14">
        <v>150.0</v>
      </c>
      <c r="BD523" s="14" t="s">
        <v>99</v>
      </c>
      <c r="BE523" s="14" t="s">
        <v>9768</v>
      </c>
      <c r="BF523" s="15" t="str">
        <f>HYPERLINK("http://dx.doi.org/10.1641/0006-3568(2002)052[0143:PCAUDF]2.0.CO;2","http://dx.doi.org/10.1641/0006-3568(2002)052[0143:PCAUDF]2.0.CO;2")</f>
        <v>http://dx.doi.org/10.1641/0006-3568(2002)052[0143:PCAUDF]2.0.CO;2</v>
      </c>
      <c r="BG523" s="14" t="s">
        <v>99</v>
      </c>
      <c r="BH523" s="14" t="s">
        <v>99</v>
      </c>
      <c r="BI523" s="14">
        <v>8.0</v>
      </c>
      <c r="BJ523" s="14" t="s">
        <v>1803</v>
      </c>
      <c r="BK523" s="14" t="s">
        <v>800</v>
      </c>
      <c r="BL523" s="14" t="s">
        <v>1804</v>
      </c>
      <c r="BM523" s="14" t="s">
        <v>9769</v>
      </c>
      <c r="BN523" s="14" t="s">
        <v>99</v>
      </c>
      <c r="BO523" s="14" t="s">
        <v>238</v>
      </c>
      <c r="BP523" s="14" t="s">
        <v>99</v>
      </c>
      <c r="BQ523" s="14" t="s">
        <v>99</v>
      </c>
      <c r="BR523" s="14" t="s">
        <v>124</v>
      </c>
      <c r="BS523" s="14" t="s">
        <v>9770</v>
      </c>
      <c r="BT523" s="14" t="str">
        <f>HYPERLINK("https%3A%2F%2Fwww.webofscience.com%2Fwos%2Fwoscc%2Ffull-record%2FWOS:000173839600005","View Full Record in Web of Science")</f>
        <v>View Full Record in Web of Science</v>
      </c>
    </row>
    <row r="524" ht="12.75" customHeight="1">
      <c r="A524" s="14" t="s">
        <v>97</v>
      </c>
      <c r="B524" s="14" t="s">
        <v>9771</v>
      </c>
      <c r="C524" s="14" t="s">
        <v>99</v>
      </c>
      <c r="D524" s="14" t="s">
        <v>99</v>
      </c>
      <c r="E524" s="14" t="s">
        <v>99</v>
      </c>
      <c r="F524" s="14" t="s">
        <v>9771</v>
      </c>
      <c r="G524" s="14" t="s">
        <v>99</v>
      </c>
      <c r="H524" s="14" t="s">
        <v>99</v>
      </c>
      <c r="I524" s="14" t="s">
        <v>9772</v>
      </c>
      <c r="J524" s="14" t="s">
        <v>1721</v>
      </c>
      <c r="K524" s="14" t="s">
        <v>99</v>
      </c>
      <c r="L524" s="14" t="s">
        <v>99</v>
      </c>
      <c r="M524" s="14" t="s">
        <v>103</v>
      </c>
      <c r="N524" s="14" t="s">
        <v>104</v>
      </c>
      <c r="O524" s="14" t="s">
        <v>99</v>
      </c>
      <c r="P524" s="14" t="s">
        <v>99</v>
      </c>
      <c r="Q524" s="14" t="s">
        <v>99</v>
      </c>
      <c r="R524" s="14" t="s">
        <v>99</v>
      </c>
      <c r="S524" s="14" t="s">
        <v>99</v>
      </c>
      <c r="T524" s="14" t="s">
        <v>9773</v>
      </c>
      <c r="U524" s="14" t="s">
        <v>9774</v>
      </c>
      <c r="V524" s="14" t="s">
        <v>9775</v>
      </c>
      <c r="W524" s="14" t="s">
        <v>9776</v>
      </c>
      <c r="X524" s="14" t="s">
        <v>9777</v>
      </c>
      <c r="Y524" s="14" t="s">
        <v>9778</v>
      </c>
      <c r="Z524" s="14" t="s">
        <v>9779</v>
      </c>
      <c r="AA524" s="14" t="s">
        <v>99</v>
      </c>
      <c r="AB524" s="14" t="s">
        <v>99</v>
      </c>
      <c r="AC524" s="14" t="s">
        <v>99</v>
      </c>
      <c r="AD524" s="14" t="s">
        <v>99</v>
      </c>
      <c r="AE524" s="14" t="s">
        <v>99</v>
      </c>
      <c r="AF524" s="14" t="s">
        <v>99</v>
      </c>
      <c r="AG524" s="14">
        <v>44.0</v>
      </c>
      <c r="AH524" s="14">
        <v>18.0</v>
      </c>
      <c r="AI524" s="14">
        <v>21.0</v>
      </c>
      <c r="AJ524" s="14">
        <v>1.0</v>
      </c>
      <c r="AK524" s="14">
        <v>15.0</v>
      </c>
      <c r="AL524" s="14" t="s">
        <v>1731</v>
      </c>
      <c r="AM524" s="14" t="s">
        <v>1732</v>
      </c>
      <c r="AN524" s="14" t="s">
        <v>1733</v>
      </c>
      <c r="AO524" s="14" t="s">
        <v>1734</v>
      </c>
      <c r="AP524" s="14" t="s">
        <v>1735</v>
      </c>
      <c r="AQ524" s="14" t="s">
        <v>99</v>
      </c>
      <c r="AR524" s="14" t="s">
        <v>1736</v>
      </c>
      <c r="AS524" s="14" t="s">
        <v>1737</v>
      </c>
      <c r="AT524" s="14" t="s">
        <v>99</v>
      </c>
      <c r="AU524" s="14">
        <v>2002.0</v>
      </c>
      <c r="AV524" s="14">
        <v>11.0</v>
      </c>
      <c r="AW524" s="14">
        <v>10.0</v>
      </c>
      <c r="AX524" s="14" t="s">
        <v>99</v>
      </c>
      <c r="AY524" s="14" t="s">
        <v>99</v>
      </c>
      <c r="AZ524" s="14" t="s">
        <v>99</v>
      </c>
      <c r="BA524" s="14" t="s">
        <v>99</v>
      </c>
      <c r="BB524" s="14">
        <v>1845.0</v>
      </c>
      <c r="BC524" s="14">
        <v>1868.0</v>
      </c>
      <c r="BD524" s="14" t="s">
        <v>99</v>
      </c>
      <c r="BE524" s="14" t="s">
        <v>9780</v>
      </c>
      <c r="BF524" s="15" t="str">
        <f>HYPERLINK("http://dx.doi.org/10.1023/A:1020305903156","http://dx.doi.org/10.1023/A:1020305903156")</f>
        <v>http://dx.doi.org/10.1023/A:1020305903156</v>
      </c>
      <c r="BG524" s="14" t="s">
        <v>99</v>
      </c>
      <c r="BH524" s="14" t="s">
        <v>99</v>
      </c>
      <c r="BI524" s="14">
        <v>24.0</v>
      </c>
      <c r="BJ524" s="14" t="s">
        <v>351</v>
      </c>
      <c r="BK524" s="14" t="s">
        <v>800</v>
      </c>
      <c r="BL524" s="14" t="s">
        <v>352</v>
      </c>
      <c r="BM524" s="14" t="s">
        <v>9781</v>
      </c>
      <c r="BN524" s="14" t="s">
        <v>99</v>
      </c>
      <c r="BO524" s="14" t="s">
        <v>99</v>
      </c>
      <c r="BP524" s="14" t="s">
        <v>99</v>
      </c>
      <c r="BQ524" s="14" t="s">
        <v>99</v>
      </c>
      <c r="BR524" s="14" t="s">
        <v>124</v>
      </c>
      <c r="BS524" s="14" t="s">
        <v>9782</v>
      </c>
      <c r="BT524" s="14" t="str">
        <f>HYPERLINK("https%3A%2F%2Fwww.webofscience.com%2Fwos%2Fwoscc%2Ffull-record%2FWOS:000178204300010","View Full Record in Web of Science")</f>
        <v>View Full Record in Web of Science</v>
      </c>
    </row>
    <row r="525" ht="12.75" customHeight="1">
      <c r="A525" s="14" t="s">
        <v>97</v>
      </c>
      <c r="B525" s="14" t="s">
        <v>9783</v>
      </c>
      <c r="C525" s="14" t="s">
        <v>99</v>
      </c>
      <c r="D525" s="14" t="s">
        <v>99</v>
      </c>
      <c r="E525" s="14" t="s">
        <v>99</v>
      </c>
      <c r="F525" s="14" t="s">
        <v>9783</v>
      </c>
      <c r="G525" s="14" t="s">
        <v>99</v>
      </c>
      <c r="H525" s="14" t="s">
        <v>99</v>
      </c>
      <c r="I525" s="14" t="s">
        <v>9784</v>
      </c>
      <c r="J525" s="14" t="s">
        <v>749</v>
      </c>
      <c r="K525" s="14" t="s">
        <v>99</v>
      </c>
      <c r="L525" s="14" t="s">
        <v>99</v>
      </c>
      <c r="M525" s="14" t="s">
        <v>103</v>
      </c>
      <c r="N525" s="14" t="s">
        <v>104</v>
      </c>
      <c r="O525" s="14" t="s">
        <v>99</v>
      </c>
      <c r="P525" s="14" t="s">
        <v>99</v>
      </c>
      <c r="Q525" s="14" t="s">
        <v>99</v>
      </c>
      <c r="R525" s="14" t="s">
        <v>99</v>
      </c>
      <c r="S525" s="14" t="s">
        <v>99</v>
      </c>
      <c r="T525" s="14" t="s">
        <v>9785</v>
      </c>
      <c r="U525" s="14" t="s">
        <v>9786</v>
      </c>
      <c r="V525" s="14" t="s">
        <v>9787</v>
      </c>
      <c r="W525" s="14" t="s">
        <v>9788</v>
      </c>
      <c r="X525" s="14" t="s">
        <v>9789</v>
      </c>
      <c r="Y525" s="14" t="s">
        <v>9790</v>
      </c>
      <c r="Z525" s="14" t="s">
        <v>9791</v>
      </c>
      <c r="AA525" s="14" t="s">
        <v>9792</v>
      </c>
      <c r="AB525" s="14" t="s">
        <v>9793</v>
      </c>
      <c r="AC525" s="14" t="s">
        <v>99</v>
      </c>
      <c r="AD525" s="14" t="s">
        <v>99</v>
      </c>
      <c r="AE525" s="14" t="s">
        <v>99</v>
      </c>
      <c r="AF525" s="14" t="s">
        <v>99</v>
      </c>
      <c r="AG525" s="14">
        <v>46.0</v>
      </c>
      <c r="AH525" s="14">
        <v>197.0</v>
      </c>
      <c r="AI525" s="14">
        <v>211.0</v>
      </c>
      <c r="AJ525" s="14">
        <v>0.0</v>
      </c>
      <c r="AK525" s="14">
        <v>61.0</v>
      </c>
      <c r="AL525" s="14" t="s">
        <v>762</v>
      </c>
      <c r="AM525" s="14" t="s">
        <v>763</v>
      </c>
      <c r="AN525" s="14" t="s">
        <v>764</v>
      </c>
      <c r="AO525" s="14" t="s">
        <v>765</v>
      </c>
      <c r="AP525" s="14" t="s">
        <v>766</v>
      </c>
      <c r="AQ525" s="14" t="s">
        <v>99</v>
      </c>
      <c r="AR525" s="14" t="s">
        <v>767</v>
      </c>
      <c r="AS525" s="14" t="s">
        <v>768</v>
      </c>
      <c r="AT525" s="14" t="s">
        <v>99</v>
      </c>
      <c r="AU525" s="14">
        <v>2002.0</v>
      </c>
      <c r="AV525" s="14">
        <v>239.0</v>
      </c>
      <c r="AW525" s="14" t="s">
        <v>99</v>
      </c>
      <c r="AX525" s="14" t="s">
        <v>99</v>
      </c>
      <c r="AY525" s="14" t="s">
        <v>99</v>
      </c>
      <c r="AZ525" s="14" t="s">
        <v>99</v>
      </c>
      <c r="BA525" s="14" t="s">
        <v>99</v>
      </c>
      <c r="BB525" s="14">
        <v>1.0</v>
      </c>
      <c r="BC525" s="14">
        <v>10.0</v>
      </c>
      <c r="BD525" s="14" t="s">
        <v>99</v>
      </c>
      <c r="BE525" s="14" t="s">
        <v>9794</v>
      </c>
      <c r="BF525" s="15" t="str">
        <f>HYPERLINK("http://dx.doi.org/10.3354/meps239001","http://dx.doi.org/10.3354/meps239001")</f>
        <v>http://dx.doi.org/10.3354/meps239001</v>
      </c>
      <c r="BG525" s="14" t="s">
        <v>99</v>
      </c>
      <c r="BH525" s="14" t="s">
        <v>99</v>
      </c>
      <c r="BI525" s="14">
        <v>10.0</v>
      </c>
      <c r="BJ525" s="14" t="s">
        <v>301</v>
      </c>
      <c r="BK525" s="14" t="s">
        <v>122</v>
      </c>
      <c r="BL525" s="14" t="s">
        <v>303</v>
      </c>
      <c r="BM525" s="14" t="s">
        <v>9795</v>
      </c>
      <c r="BN525" s="14" t="s">
        <v>99</v>
      </c>
      <c r="BO525" s="14" t="s">
        <v>238</v>
      </c>
      <c r="BP525" s="14" t="s">
        <v>99</v>
      </c>
      <c r="BQ525" s="14" t="s">
        <v>99</v>
      </c>
      <c r="BR525" s="14" t="s">
        <v>124</v>
      </c>
      <c r="BS525" s="14" t="s">
        <v>9796</v>
      </c>
      <c r="BT525" s="14" t="str">
        <f>HYPERLINK("https%3A%2F%2Fwww.webofscience.com%2Fwos%2Fwoscc%2Ffull-record%2FWOS:000178175000001","View Full Record in Web of Science")</f>
        <v>View Full Record in Web of Science</v>
      </c>
    </row>
    <row r="526" ht="12.75" customHeight="1">
      <c r="A526" s="14" t="s">
        <v>97</v>
      </c>
      <c r="B526" s="14" t="s">
        <v>9797</v>
      </c>
      <c r="C526" s="14" t="s">
        <v>99</v>
      </c>
      <c r="D526" s="14" t="s">
        <v>99</v>
      </c>
      <c r="E526" s="14" t="s">
        <v>99</v>
      </c>
      <c r="F526" s="14" t="s">
        <v>9797</v>
      </c>
      <c r="G526" s="14" t="s">
        <v>99</v>
      </c>
      <c r="H526" s="14" t="s">
        <v>99</v>
      </c>
      <c r="I526" s="14" t="s">
        <v>9798</v>
      </c>
      <c r="J526" s="14" t="s">
        <v>1102</v>
      </c>
      <c r="K526" s="14" t="s">
        <v>99</v>
      </c>
      <c r="L526" s="14" t="s">
        <v>99</v>
      </c>
      <c r="M526" s="14" t="s">
        <v>103</v>
      </c>
      <c r="N526" s="14" t="s">
        <v>104</v>
      </c>
      <c r="O526" s="14" t="s">
        <v>99</v>
      </c>
      <c r="P526" s="14" t="s">
        <v>99</v>
      </c>
      <c r="Q526" s="14" t="s">
        <v>99</v>
      </c>
      <c r="R526" s="14" t="s">
        <v>99</v>
      </c>
      <c r="S526" s="14" t="s">
        <v>99</v>
      </c>
      <c r="T526" s="14" t="s">
        <v>9799</v>
      </c>
      <c r="U526" s="14" t="s">
        <v>9800</v>
      </c>
      <c r="V526" s="14" t="s">
        <v>9801</v>
      </c>
      <c r="W526" s="14" t="s">
        <v>9802</v>
      </c>
      <c r="X526" s="14" t="s">
        <v>9803</v>
      </c>
      <c r="Y526" s="14" t="s">
        <v>9804</v>
      </c>
      <c r="Z526" s="14" t="s">
        <v>99</v>
      </c>
      <c r="AA526" s="14" t="s">
        <v>9805</v>
      </c>
      <c r="AB526" s="14" t="s">
        <v>99</v>
      </c>
      <c r="AC526" s="14" t="s">
        <v>99</v>
      </c>
      <c r="AD526" s="14" t="s">
        <v>99</v>
      </c>
      <c r="AE526" s="14" t="s">
        <v>99</v>
      </c>
      <c r="AF526" s="14" t="s">
        <v>99</v>
      </c>
      <c r="AG526" s="14">
        <v>56.0</v>
      </c>
      <c r="AH526" s="14">
        <v>110.0</v>
      </c>
      <c r="AI526" s="14">
        <v>138.0</v>
      </c>
      <c r="AJ526" s="14">
        <v>1.0</v>
      </c>
      <c r="AK526" s="14">
        <v>82.0</v>
      </c>
      <c r="AL526" s="14" t="s">
        <v>493</v>
      </c>
      <c r="AM526" s="14" t="s">
        <v>468</v>
      </c>
      <c r="AN526" s="14" t="s">
        <v>635</v>
      </c>
      <c r="AO526" s="14" t="s">
        <v>1112</v>
      </c>
      <c r="AP526" s="14" t="s">
        <v>99</v>
      </c>
      <c r="AQ526" s="14" t="s">
        <v>99</v>
      </c>
      <c r="AR526" s="14" t="s">
        <v>1114</v>
      </c>
      <c r="AS526" s="14" t="s">
        <v>1115</v>
      </c>
      <c r="AT526" s="14" t="s">
        <v>2372</v>
      </c>
      <c r="AU526" s="14">
        <v>2001.0</v>
      </c>
      <c r="AV526" s="14">
        <v>101.0</v>
      </c>
      <c r="AW526" s="14">
        <v>3.0</v>
      </c>
      <c r="AX526" s="14" t="s">
        <v>99</v>
      </c>
      <c r="AY526" s="14" t="s">
        <v>99</v>
      </c>
      <c r="AZ526" s="14" t="s">
        <v>99</v>
      </c>
      <c r="BA526" s="14" t="s">
        <v>99</v>
      </c>
      <c r="BB526" s="14">
        <v>337.0</v>
      </c>
      <c r="BC526" s="14">
        <v>350.0</v>
      </c>
      <c r="BD526" s="14" t="s">
        <v>99</v>
      </c>
      <c r="BE526" s="14" t="s">
        <v>9806</v>
      </c>
      <c r="BF526" s="15" t="str">
        <f>HYPERLINK("http://dx.doi.org/10.1016/S0006-3207(01)00079-9","http://dx.doi.org/10.1016/S0006-3207(01)00079-9")</f>
        <v>http://dx.doi.org/10.1016/S0006-3207(01)00079-9</v>
      </c>
      <c r="BG526" s="14" t="s">
        <v>99</v>
      </c>
      <c r="BH526" s="14" t="s">
        <v>99</v>
      </c>
      <c r="BI526" s="14">
        <v>14.0</v>
      </c>
      <c r="BJ526" s="14" t="s">
        <v>351</v>
      </c>
      <c r="BK526" s="14" t="s">
        <v>122</v>
      </c>
      <c r="BL526" s="14" t="s">
        <v>352</v>
      </c>
      <c r="BM526" s="14" t="s">
        <v>9807</v>
      </c>
      <c r="BN526" s="14" t="s">
        <v>99</v>
      </c>
      <c r="BO526" s="14" t="s">
        <v>99</v>
      </c>
      <c r="BP526" s="14" t="s">
        <v>99</v>
      </c>
      <c r="BQ526" s="14" t="s">
        <v>99</v>
      </c>
      <c r="BR526" s="14" t="s">
        <v>124</v>
      </c>
      <c r="BS526" s="14" t="s">
        <v>9808</v>
      </c>
      <c r="BT526" s="14" t="str">
        <f>HYPERLINK("https%3A%2F%2Fwww.webofscience.com%2Fwos%2Fwoscc%2Ffull-record%2FWOS:000170722400007","View Full Record in Web of Science")</f>
        <v>View Full Record in Web of Science</v>
      </c>
    </row>
    <row r="527" ht="12.75" customHeight="1">
      <c r="A527" s="14" t="s">
        <v>97</v>
      </c>
      <c r="B527" s="14" t="s">
        <v>9809</v>
      </c>
      <c r="C527" s="14" t="s">
        <v>99</v>
      </c>
      <c r="D527" s="14" t="s">
        <v>99</v>
      </c>
      <c r="E527" s="14" t="s">
        <v>99</v>
      </c>
      <c r="F527" s="14" t="s">
        <v>9809</v>
      </c>
      <c r="G527" s="14" t="s">
        <v>99</v>
      </c>
      <c r="H527" s="14" t="s">
        <v>99</v>
      </c>
      <c r="I527" s="14" t="s">
        <v>9810</v>
      </c>
      <c r="J527" s="14" t="s">
        <v>2994</v>
      </c>
      <c r="K527" s="14" t="s">
        <v>99</v>
      </c>
      <c r="L527" s="14" t="s">
        <v>99</v>
      </c>
      <c r="M527" s="14" t="s">
        <v>103</v>
      </c>
      <c r="N527" s="14" t="s">
        <v>2284</v>
      </c>
      <c r="O527" s="14" t="s">
        <v>9811</v>
      </c>
      <c r="P527" s="14" t="s">
        <v>9812</v>
      </c>
      <c r="Q527" s="14" t="s">
        <v>9813</v>
      </c>
      <c r="R527" s="14" t="s">
        <v>99</v>
      </c>
      <c r="S527" s="14" t="s">
        <v>99</v>
      </c>
      <c r="T527" s="14" t="s">
        <v>9814</v>
      </c>
      <c r="U527" s="14" t="s">
        <v>9815</v>
      </c>
      <c r="V527" s="14" t="s">
        <v>9816</v>
      </c>
      <c r="W527" s="14" t="s">
        <v>9817</v>
      </c>
      <c r="X527" s="14" t="s">
        <v>9818</v>
      </c>
      <c r="Y527" s="14" t="s">
        <v>9819</v>
      </c>
      <c r="Z527" s="14" t="s">
        <v>99</v>
      </c>
      <c r="AA527" s="14" t="s">
        <v>9820</v>
      </c>
      <c r="AB527" s="14" t="s">
        <v>9821</v>
      </c>
      <c r="AC527" s="14" t="s">
        <v>99</v>
      </c>
      <c r="AD527" s="14" t="s">
        <v>99</v>
      </c>
      <c r="AE527" s="14" t="s">
        <v>99</v>
      </c>
      <c r="AF527" s="14" t="s">
        <v>99</v>
      </c>
      <c r="AG527" s="14">
        <v>8.0</v>
      </c>
      <c r="AH527" s="14">
        <v>77.0</v>
      </c>
      <c r="AI527" s="14">
        <v>82.0</v>
      </c>
      <c r="AJ527" s="14">
        <v>0.0</v>
      </c>
      <c r="AK527" s="14">
        <v>23.0</v>
      </c>
      <c r="AL527" s="14" t="s">
        <v>9352</v>
      </c>
      <c r="AM527" s="14" t="s">
        <v>1732</v>
      </c>
      <c r="AN527" s="14" t="s">
        <v>9822</v>
      </c>
      <c r="AO527" s="14" t="s">
        <v>3006</v>
      </c>
      <c r="AP527" s="14" t="s">
        <v>99</v>
      </c>
      <c r="AQ527" s="14" t="s">
        <v>99</v>
      </c>
      <c r="AR527" s="14" t="s">
        <v>3008</v>
      </c>
      <c r="AS527" s="14" t="s">
        <v>3009</v>
      </c>
      <c r="AT527" s="14" t="s">
        <v>9823</v>
      </c>
      <c r="AU527" s="14">
        <v>2001.0</v>
      </c>
      <c r="AV527" s="14">
        <v>130.0</v>
      </c>
      <c r="AW527" s="14" t="s">
        <v>7581</v>
      </c>
      <c r="AX527" s="14">
        <v>2.0</v>
      </c>
      <c r="AY527" s="14" t="s">
        <v>99</v>
      </c>
      <c r="AZ527" s="14" t="s">
        <v>99</v>
      </c>
      <c r="BA527" s="14" t="s">
        <v>99</v>
      </c>
      <c r="BB527" s="14">
        <v>787.0</v>
      </c>
      <c r="BC527" s="14">
        <v>792.0</v>
      </c>
      <c r="BD527" s="14" t="s">
        <v>99</v>
      </c>
      <c r="BE527" s="14" t="s">
        <v>9824</v>
      </c>
      <c r="BF527" s="15" t="str">
        <f>HYPERLINK("http://dx.doi.org/10.1023/A:1013806223310","http://dx.doi.org/10.1023/A:1013806223310")</f>
        <v>http://dx.doi.org/10.1023/A:1013806223310</v>
      </c>
      <c r="BG527" s="14" t="s">
        <v>99</v>
      </c>
      <c r="BH527" s="14" t="s">
        <v>99</v>
      </c>
      <c r="BI527" s="14">
        <v>6.0</v>
      </c>
      <c r="BJ527" s="14" t="s">
        <v>3011</v>
      </c>
      <c r="BK527" s="14" t="s">
        <v>9825</v>
      </c>
      <c r="BL527" s="14" t="s">
        <v>3012</v>
      </c>
      <c r="BM527" s="14" t="s">
        <v>9826</v>
      </c>
      <c r="BN527" s="14" t="s">
        <v>99</v>
      </c>
      <c r="BO527" s="14" t="s">
        <v>99</v>
      </c>
      <c r="BP527" s="14" t="s">
        <v>99</v>
      </c>
      <c r="BQ527" s="14" t="s">
        <v>99</v>
      </c>
      <c r="BR527" s="14" t="s">
        <v>124</v>
      </c>
      <c r="BS527" s="14" t="s">
        <v>9827</v>
      </c>
      <c r="BT527" s="14" t="str">
        <f>HYPERLINK("https%3A%2F%2Fwww.webofscience.com%2Fwos%2Fwoscc%2Ffull-record%2FWOS:000172011900102","View Full Record in Web of Science")</f>
        <v>View Full Record in Web of Science</v>
      </c>
    </row>
    <row r="528" ht="12.75" customHeight="1">
      <c r="A528" s="14" t="s">
        <v>97</v>
      </c>
      <c r="B528" s="14" t="s">
        <v>7758</v>
      </c>
      <c r="C528" s="14" t="s">
        <v>99</v>
      </c>
      <c r="D528" s="14" t="s">
        <v>99</v>
      </c>
      <c r="E528" s="14" t="s">
        <v>99</v>
      </c>
      <c r="F528" s="14" t="s">
        <v>7758</v>
      </c>
      <c r="G528" s="14" t="s">
        <v>99</v>
      </c>
      <c r="H528" s="14" t="s">
        <v>99</v>
      </c>
      <c r="I528" s="14" t="s">
        <v>9828</v>
      </c>
      <c r="J528" s="14" t="s">
        <v>404</v>
      </c>
      <c r="K528" s="14" t="s">
        <v>99</v>
      </c>
      <c r="L528" s="14" t="s">
        <v>99</v>
      </c>
      <c r="M528" s="14" t="s">
        <v>103</v>
      </c>
      <c r="N528" s="14" t="s">
        <v>104</v>
      </c>
      <c r="O528" s="14" t="s">
        <v>99</v>
      </c>
      <c r="P528" s="14" t="s">
        <v>99</v>
      </c>
      <c r="Q528" s="14" t="s">
        <v>99</v>
      </c>
      <c r="R528" s="14" t="s">
        <v>99</v>
      </c>
      <c r="S528" s="14" t="s">
        <v>99</v>
      </c>
      <c r="T528" s="14" t="s">
        <v>9829</v>
      </c>
      <c r="U528" s="14" t="s">
        <v>9830</v>
      </c>
      <c r="V528" s="14" t="s">
        <v>9831</v>
      </c>
      <c r="W528" s="14" t="s">
        <v>9832</v>
      </c>
      <c r="X528" s="14" t="s">
        <v>99</v>
      </c>
      <c r="Y528" s="14" t="s">
        <v>9833</v>
      </c>
      <c r="Z528" s="14" t="s">
        <v>9593</v>
      </c>
      <c r="AA528" s="14" t="s">
        <v>99</v>
      </c>
      <c r="AB528" s="14" t="s">
        <v>99</v>
      </c>
      <c r="AC528" s="14" t="s">
        <v>99</v>
      </c>
      <c r="AD528" s="14" t="s">
        <v>99</v>
      </c>
      <c r="AE528" s="14" t="s">
        <v>99</v>
      </c>
      <c r="AF528" s="14" t="s">
        <v>99</v>
      </c>
      <c r="AG528" s="14">
        <v>88.0</v>
      </c>
      <c r="AH528" s="14">
        <v>106.0</v>
      </c>
      <c r="AI528" s="14">
        <v>126.0</v>
      </c>
      <c r="AJ528" s="14">
        <v>0.0</v>
      </c>
      <c r="AK528" s="14">
        <v>56.0</v>
      </c>
      <c r="AL528" s="14" t="s">
        <v>341</v>
      </c>
      <c r="AM528" s="14" t="s">
        <v>342</v>
      </c>
      <c r="AN528" s="14" t="s">
        <v>343</v>
      </c>
      <c r="AO528" s="14" t="s">
        <v>417</v>
      </c>
      <c r="AP528" s="14" t="s">
        <v>418</v>
      </c>
      <c r="AQ528" s="14" t="s">
        <v>99</v>
      </c>
      <c r="AR528" s="14" t="s">
        <v>419</v>
      </c>
      <c r="AS528" s="14" t="s">
        <v>420</v>
      </c>
      <c r="AT528" s="14" t="s">
        <v>474</v>
      </c>
      <c r="AU528" s="14">
        <v>2001.0</v>
      </c>
      <c r="AV528" s="14">
        <v>11.0</v>
      </c>
      <c r="AW528" s="14">
        <v>4.0</v>
      </c>
      <c r="AX528" s="14" t="s">
        <v>99</v>
      </c>
      <c r="AY528" s="14" t="s">
        <v>99</v>
      </c>
      <c r="AZ528" s="14" t="s">
        <v>99</v>
      </c>
      <c r="BA528" s="14" t="s">
        <v>99</v>
      </c>
      <c r="BB528" s="14">
        <v>1151.0</v>
      </c>
      <c r="BC528" s="14">
        <v>1173.0</v>
      </c>
      <c r="BD528" s="14" t="s">
        <v>99</v>
      </c>
      <c r="BE528" s="14" t="s">
        <v>9834</v>
      </c>
      <c r="BF528" s="15" t="str">
        <f>HYPERLINK("http://dx.doi.org/10.1890/1051-0761(2001)011[1151:SSASMI]2.0.CO;2","http://dx.doi.org/10.1890/1051-0761(2001)011[1151:SSASMI]2.0.CO;2")</f>
        <v>http://dx.doi.org/10.1890/1051-0761(2001)011[1151:SSASMI]2.0.CO;2</v>
      </c>
      <c r="BG528" s="14" t="s">
        <v>99</v>
      </c>
      <c r="BH528" s="14" t="s">
        <v>99</v>
      </c>
      <c r="BI528" s="14">
        <v>23.0</v>
      </c>
      <c r="BJ528" s="14" t="s">
        <v>423</v>
      </c>
      <c r="BK528" s="14" t="s">
        <v>122</v>
      </c>
      <c r="BL528" s="14" t="s">
        <v>260</v>
      </c>
      <c r="BM528" s="14" t="s">
        <v>9835</v>
      </c>
      <c r="BN528" s="14" t="s">
        <v>99</v>
      </c>
      <c r="BO528" s="14" t="s">
        <v>99</v>
      </c>
      <c r="BP528" s="14" t="s">
        <v>99</v>
      </c>
      <c r="BQ528" s="14" t="s">
        <v>99</v>
      </c>
      <c r="BR528" s="14" t="s">
        <v>124</v>
      </c>
      <c r="BS528" s="14" t="s">
        <v>9836</v>
      </c>
      <c r="BT528" s="14" t="str">
        <f>HYPERLINK("https%3A%2F%2Fwww.webofscience.com%2Fwos%2Fwoscc%2Ffull-record%2FWOS:000170209200017","View Full Record in Web of Science")</f>
        <v>View Full Record in Web of Science</v>
      </c>
    </row>
    <row r="529" ht="12.75" customHeight="1">
      <c r="A529" s="14" t="s">
        <v>97</v>
      </c>
      <c r="B529" s="14" t="s">
        <v>9837</v>
      </c>
      <c r="C529" s="14" t="s">
        <v>99</v>
      </c>
      <c r="D529" s="14" t="s">
        <v>99</v>
      </c>
      <c r="E529" s="14" t="s">
        <v>99</v>
      </c>
      <c r="F529" s="14" t="s">
        <v>9837</v>
      </c>
      <c r="G529" s="14" t="s">
        <v>99</v>
      </c>
      <c r="H529" s="14" t="s">
        <v>99</v>
      </c>
      <c r="I529" s="14" t="s">
        <v>9838</v>
      </c>
      <c r="J529" s="14" t="s">
        <v>430</v>
      </c>
      <c r="K529" s="14" t="s">
        <v>99</v>
      </c>
      <c r="L529" s="14" t="s">
        <v>99</v>
      </c>
      <c r="M529" s="14" t="s">
        <v>103</v>
      </c>
      <c r="N529" s="14" t="s">
        <v>104</v>
      </c>
      <c r="O529" s="14" t="s">
        <v>99</v>
      </c>
      <c r="P529" s="14" t="s">
        <v>99</v>
      </c>
      <c r="Q529" s="14" t="s">
        <v>99</v>
      </c>
      <c r="R529" s="14" t="s">
        <v>99</v>
      </c>
      <c r="S529" s="14" t="s">
        <v>99</v>
      </c>
      <c r="T529" s="14" t="s">
        <v>9839</v>
      </c>
      <c r="U529" s="14" t="s">
        <v>9840</v>
      </c>
      <c r="V529" s="14" t="s">
        <v>9841</v>
      </c>
      <c r="W529" s="14" t="s">
        <v>9842</v>
      </c>
      <c r="X529" s="14" t="s">
        <v>9843</v>
      </c>
      <c r="Y529" s="14" t="s">
        <v>9844</v>
      </c>
      <c r="Z529" s="14" t="s">
        <v>9845</v>
      </c>
      <c r="AA529" s="14" t="s">
        <v>9846</v>
      </c>
      <c r="AB529" s="14" t="s">
        <v>9847</v>
      </c>
      <c r="AC529" s="14" t="s">
        <v>99</v>
      </c>
      <c r="AD529" s="14" t="s">
        <v>99</v>
      </c>
      <c r="AE529" s="14" t="s">
        <v>99</v>
      </c>
      <c r="AF529" s="14" t="s">
        <v>99</v>
      </c>
      <c r="AG529" s="14">
        <v>37.0</v>
      </c>
      <c r="AH529" s="14">
        <v>186.0</v>
      </c>
      <c r="AI529" s="14">
        <v>252.0</v>
      </c>
      <c r="AJ529" s="14">
        <v>0.0</v>
      </c>
      <c r="AK529" s="14">
        <v>87.0</v>
      </c>
      <c r="AL529" s="14" t="s">
        <v>441</v>
      </c>
      <c r="AM529" s="14" t="s">
        <v>442</v>
      </c>
      <c r="AN529" s="14" t="s">
        <v>443</v>
      </c>
      <c r="AO529" s="14" t="s">
        <v>444</v>
      </c>
      <c r="AP529" s="14" t="s">
        <v>445</v>
      </c>
      <c r="AQ529" s="14" t="s">
        <v>99</v>
      </c>
      <c r="AR529" s="14" t="s">
        <v>446</v>
      </c>
      <c r="AS529" s="14" t="s">
        <v>447</v>
      </c>
      <c r="AT529" s="14" t="s">
        <v>3233</v>
      </c>
      <c r="AU529" s="14">
        <v>2001.0</v>
      </c>
      <c r="AV529" s="14">
        <v>146.0</v>
      </c>
      <c r="AW529" s="14" t="s">
        <v>8123</v>
      </c>
      <c r="AX529" s="14" t="s">
        <v>99</v>
      </c>
      <c r="AY529" s="14" t="s">
        <v>99</v>
      </c>
      <c r="AZ529" s="14" t="s">
        <v>99</v>
      </c>
      <c r="BA529" s="14" t="s">
        <v>99</v>
      </c>
      <c r="BB529" s="14">
        <v>211.0</v>
      </c>
      <c r="BC529" s="14">
        <v>222.0</v>
      </c>
      <c r="BD529" s="14" t="s">
        <v>99</v>
      </c>
      <c r="BE529" s="14" t="s">
        <v>9848</v>
      </c>
      <c r="BF529" s="15" t="str">
        <f>HYPERLINK("http://dx.doi.org/10.1016/S0378-1127(00)00463-1","http://dx.doi.org/10.1016/S0378-1127(00)00463-1")</f>
        <v>http://dx.doi.org/10.1016/S0378-1127(00)00463-1</v>
      </c>
      <c r="BG529" s="14" t="s">
        <v>99</v>
      </c>
      <c r="BH529" s="14" t="s">
        <v>99</v>
      </c>
      <c r="BI529" s="14">
        <v>12.0</v>
      </c>
      <c r="BJ529" s="14" t="s">
        <v>281</v>
      </c>
      <c r="BK529" s="14" t="s">
        <v>122</v>
      </c>
      <c r="BL529" s="14" t="s">
        <v>281</v>
      </c>
      <c r="BM529" s="14" t="s">
        <v>9849</v>
      </c>
      <c r="BN529" s="14" t="s">
        <v>99</v>
      </c>
      <c r="BO529" s="14" t="s">
        <v>99</v>
      </c>
      <c r="BP529" s="14" t="s">
        <v>99</v>
      </c>
      <c r="BQ529" s="14" t="s">
        <v>99</v>
      </c>
      <c r="BR529" s="14" t="s">
        <v>124</v>
      </c>
      <c r="BS529" s="14" t="s">
        <v>9850</v>
      </c>
      <c r="BT529" s="14" t="str">
        <f>HYPERLINK("https%3A%2F%2Fwww.webofscience.com%2Fwos%2Fwoscc%2Ffull-record%2FWOS:000168636800017","View Full Record in Web of Science")</f>
        <v>View Full Record in Web of Science</v>
      </c>
    </row>
    <row r="530" ht="12.75" customHeight="1">
      <c r="A530" s="14" t="s">
        <v>97</v>
      </c>
      <c r="B530" s="14" t="s">
        <v>9851</v>
      </c>
      <c r="C530" s="14" t="s">
        <v>99</v>
      </c>
      <c r="D530" s="14" t="s">
        <v>99</v>
      </c>
      <c r="E530" s="14" t="s">
        <v>99</v>
      </c>
      <c r="F530" s="14" t="s">
        <v>9851</v>
      </c>
      <c r="G530" s="14" t="s">
        <v>99</v>
      </c>
      <c r="H530" s="14" t="s">
        <v>99</v>
      </c>
      <c r="I530" s="14" t="s">
        <v>9852</v>
      </c>
      <c r="J530" s="14" t="s">
        <v>9853</v>
      </c>
      <c r="K530" s="14" t="s">
        <v>99</v>
      </c>
      <c r="L530" s="14" t="s">
        <v>99</v>
      </c>
      <c r="M530" s="14" t="s">
        <v>103</v>
      </c>
      <c r="N530" s="14" t="s">
        <v>104</v>
      </c>
      <c r="O530" s="14" t="s">
        <v>99</v>
      </c>
      <c r="P530" s="14" t="s">
        <v>99</v>
      </c>
      <c r="Q530" s="14" t="s">
        <v>99</v>
      </c>
      <c r="R530" s="14" t="s">
        <v>99</v>
      </c>
      <c r="S530" s="14" t="s">
        <v>99</v>
      </c>
      <c r="T530" s="14" t="s">
        <v>9854</v>
      </c>
      <c r="U530" s="14" t="s">
        <v>9855</v>
      </c>
      <c r="V530" s="14" t="s">
        <v>9856</v>
      </c>
      <c r="W530" s="14" t="s">
        <v>9857</v>
      </c>
      <c r="X530" s="14" t="s">
        <v>9858</v>
      </c>
      <c r="Y530" s="14" t="s">
        <v>9859</v>
      </c>
      <c r="Z530" s="14" t="s">
        <v>9860</v>
      </c>
      <c r="AA530" s="14" t="s">
        <v>9861</v>
      </c>
      <c r="AB530" s="14" t="s">
        <v>9862</v>
      </c>
      <c r="AC530" s="14" t="s">
        <v>99</v>
      </c>
      <c r="AD530" s="14" t="s">
        <v>99</v>
      </c>
      <c r="AE530" s="14" t="s">
        <v>99</v>
      </c>
      <c r="AF530" s="14" t="s">
        <v>99</v>
      </c>
      <c r="AG530" s="14">
        <v>93.0</v>
      </c>
      <c r="AH530" s="14">
        <v>101.0</v>
      </c>
      <c r="AI530" s="14">
        <v>136.0</v>
      </c>
      <c r="AJ530" s="14">
        <v>0.0</v>
      </c>
      <c r="AK530" s="14">
        <v>66.0</v>
      </c>
      <c r="AL530" s="14" t="s">
        <v>1731</v>
      </c>
      <c r="AM530" s="14" t="s">
        <v>1732</v>
      </c>
      <c r="AN530" s="14" t="s">
        <v>1733</v>
      </c>
      <c r="AO530" s="14" t="s">
        <v>9863</v>
      </c>
      <c r="AP530" s="14" t="s">
        <v>99</v>
      </c>
      <c r="AQ530" s="14" t="s">
        <v>99</v>
      </c>
      <c r="AR530" s="14" t="s">
        <v>9864</v>
      </c>
      <c r="AS530" s="14" t="s">
        <v>9865</v>
      </c>
      <c r="AT530" s="14" t="s">
        <v>640</v>
      </c>
      <c r="AU530" s="14">
        <v>2001.0</v>
      </c>
      <c r="AV530" s="14">
        <v>16.0</v>
      </c>
      <c r="AW530" s="14">
        <v>4.0</v>
      </c>
      <c r="AX530" s="14" t="s">
        <v>99</v>
      </c>
      <c r="AY530" s="14" t="s">
        <v>99</v>
      </c>
      <c r="AZ530" s="14" t="s">
        <v>99</v>
      </c>
      <c r="BA530" s="14" t="s">
        <v>99</v>
      </c>
      <c r="BB530" s="14">
        <v>327.0</v>
      </c>
      <c r="BC530" s="14">
        <v>349.0</v>
      </c>
      <c r="BD530" s="14" t="s">
        <v>99</v>
      </c>
      <c r="BE530" s="14" t="s">
        <v>9866</v>
      </c>
      <c r="BF530" s="15" t="str">
        <f>HYPERLINK("http://dx.doi.org/10.1023/A:1011185409347","http://dx.doi.org/10.1023/A:1011185409347")</f>
        <v>http://dx.doi.org/10.1023/A:1011185409347</v>
      </c>
      <c r="BG530" s="14" t="s">
        <v>99</v>
      </c>
      <c r="BH530" s="14" t="s">
        <v>99</v>
      </c>
      <c r="BI530" s="14">
        <v>23.0</v>
      </c>
      <c r="BJ530" s="14" t="s">
        <v>9867</v>
      </c>
      <c r="BK530" s="14" t="s">
        <v>122</v>
      </c>
      <c r="BL530" s="14" t="s">
        <v>9868</v>
      </c>
      <c r="BM530" s="14" t="s">
        <v>9869</v>
      </c>
      <c r="BN530" s="14" t="s">
        <v>99</v>
      </c>
      <c r="BO530" s="14" t="s">
        <v>99</v>
      </c>
      <c r="BP530" s="14" t="s">
        <v>99</v>
      </c>
      <c r="BQ530" s="14" t="s">
        <v>99</v>
      </c>
      <c r="BR530" s="14" t="s">
        <v>124</v>
      </c>
      <c r="BS530" s="14" t="s">
        <v>9870</v>
      </c>
      <c r="BT530" s="14" t="str">
        <f>HYPERLINK("https%3A%2F%2Fwww.webofscience.com%2Fwos%2Fwoscc%2Ffull-record%2FWOS:000169516300004","View Full Record in Web of Science")</f>
        <v>View Full Record in Web of Science</v>
      </c>
    </row>
    <row r="531" ht="12.75" customHeight="1">
      <c r="A531" s="14" t="s">
        <v>97</v>
      </c>
      <c r="B531" s="14" t="s">
        <v>9871</v>
      </c>
      <c r="C531" s="14" t="s">
        <v>99</v>
      </c>
      <c r="D531" s="14" t="s">
        <v>99</v>
      </c>
      <c r="E531" s="14" t="s">
        <v>99</v>
      </c>
      <c r="F531" s="14" t="s">
        <v>9871</v>
      </c>
      <c r="G531" s="14" t="s">
        <v>99</v>
      </c>
      <c r="H531" s="14" t="s">
        <v>99</v>
      </c>
      <c r="I531" s="14" t="s">
        <v>9872</v>
      </c>
      <c r="J531" s="14" t="s">
        <v>6046</v>
      </c>
      <c r="K531" s="14" t="s">
        <v>99</v>
      </c>
      <c r="L531" s="14" t="s">
        <v>99</v>
      </c>
      <c r="M531" s="14" t="s">
        <v>103</v>
      </c>
      <c r="N531" s="14" t="s">
        <v>104</v>
      </c>
      <c r="O531" s="14" t="s">
        <v>99</v>
      </c>
      <c r="P531" s="14" t="s">
        <v>99</v>
      </c>
      <c r="Q531" s="14" t="s">
        <v>99</v>
      </c>
      <c r="R531" s="14" t="s">
        <v>99</v>
      </c>
      <c r="S531" s="14" t="s">
        <v>99</v>
      </c>
      <c r="T531" s="14" t="s">
        <v>99</v>
      </c>
      <c r="U531" s="14" t="s">
        <v>9873</v>
      </c>
      <c r="V531" s="14" t="s">
        <v>99</v>
      </c>
      <c r="W531" s="14" t="s">
        <v>9874</v>
      </c>
      <c r="X531" s="14" t="s">
        <v>9875</v>
      </c>
      <c r="Y531" s="14" t="s">
        <v>9876</v>
      </c>
      <c r="Z531" s="14" t="s">
        <v>9877</v>
      </c>
      <c r="AA531" s="14" t="s">
        <v>9878</v>
      </c>
      <c r="AB531" s="14" t="s">
        <v>9879</v>
      </c>
      <c r="AC531" s="14" t="s">
        <v>99</v>
      </c>
      <c r="AD531" s="14" t="s">
        <v>99</v>
      </c>
      <c r="AE531" s="14" t="s">
        <v>99</v>
      </c>
      <c r="AF531" s="14" t="s">
        <v>99</v>
      </c>
      <c r="AG531" s="14">
        <v>84.0</v>
      </c>
      <c r="AH531" s="14">
        <v>860.0</v>
      </c>
      <c r="AI531" s="14">
        <v>1055.0</v>
      </c>
      <c r="AJ531" s="14">
        <v>3.0</v>
      </c>
      <c r="AK531" s="14">
        <v>239.0</v>
      </c>
      <c r="AL531" s="14" t="s">
        <v>3078</v>
      </c>
      <c r="AM531" s="14" t="s">
        <v>468</v>
      </c>
      <c r="AN531" s="14" t="s">
        <v>3079</v>
      </c>
      <c r="AO531" s="14" t="s">
        <v>6060</v>
      </c>
      <c r="AP531" s="14" t="s">
        <v>9767</v>
      </c>
      <c r="AQ531" s="14" t="s">
        <v>99</v>
      </c>
      <c r="AR531" s="14" t="s">
        <v>6046</v>
      </c>
      <c r="AS531" s="14" t="s">
        <v>6061</v>
      </c>
      <c r="AT531" s="14" t="s">
        <v>1485</v>
      </c>
      <c r="AU531" s="14">
        <v>2001.0</v>
      </c>
      <c r="AV531" s="14">
        <v>51.0</v>
      </c>
      <c r="AW531" s="14">
        <v>3.0</v>
      </c>
      <c r="AX531" s="14" t="s">
        <v>99</v>
      </c>
      <c r="AY531" s="14" t="s">
        <v>99</v>
      </c>
      <c r="AZ531" s="14" t="s">
        <v>99</v>
      </c>
      <c r="BA531" s="14" t="s">
        <v>99</v>
      </c>
      <c r="BB531" s="14">
        <v>180.0</v>
      </c>
      <c r="BC531" s="14">
        <v>198.0</v>
      </c>
      <c r="BD531" s="14" t="s">
        <v>99</v>
      </c>
      <c r="BE531" s="14" t="s">
        <v>9880</v>
      </c>
      <c r="BF531" s="15" t="str">
        <f>HYPERLINK("http://dx.doi.org/10.1641/0006-3568(2001)051[0180:ADITNU]2.0.CO;2","http://dx.doi.org/10.1641/0006-3568(2001)051[0180:ADITNU]2.0.CO;2")</f>
        <v>http://dx.doi.org/10.1641/0006-3568(2001)051[0180:ADITNU]2.0.CO;2</v>
      </c>
      <c r="BG531" s="14" t="s">
        <v>99</v>
      </c>
      <c r="BH531" s="14" t="s">
        <v>99</v>
      </c>
      <c r="BI531" s="14">
        <v>19.0</v>
      </c>
      <c r="BJ531" s="14" t="s">
        <v>1803</v>
      </c>
      <c r="BK531" s="14" t="s">
        <v>122</v>
      </c>
      <c r="BL531" s="14" t="s">
        <v>1804</v>
      </c>
      <c r="BM531" s="14" t="s">
        <v>9881</v>
      </c>
      <c r="BN531" s="14" t="s">
        <v>99</v>
      </c>
      <c r="BO531" s="14" t="s">
        <v>238</v>
      </c>
      <c r="BP531" s="14" t="s">
        <v>99</v>
      </c>
      <c r="BQ531" s="14" t="s">
        <v>99</v>
      </c>
      <c r="BR531" s="14" t="s">
        <v>124</v>
      </c>
      <c r="BS531" s="14" t="s">
        <v>9882</v>
      </c>
      <c r="BT531" s="14" t="str">
        <f>HYPERLINK("https%3A%2F%2Fwww.webofscience.com%2Fwos%2Fwoscc%2Ffull-record%2FWOS:000168710400004","View Full Record in Web of Science")</f>
        <v>View Full Record in Web of Science</v>
      </c>
    </row>
    <row r="532" ht="12.75" customHeight="1">
      <c r="A532" s="14" t="s">
        <v>97</v>
      </c>
      <c r="B532" s="14" t="s">
        <v>9883</v>
      </c>
      <c r="C532" s="14" t="s">
        <v>99</v>
      </c>
      <c r="D532" s="14" t="s">
        <v>99</v>
      </c>
      <c r="E532" s="14" t="s">
        <v>99</v>
      </c>
      <c r="F532" s="14" t="s">
        <v>9883</v>
      </c>
      <c r="G532" s="14" t="s">
        <v>99</v>
      </c>
      <c r="H532" s="14" t="s">
        <v>99</v>
      </c>
      <c r="I532" s="14" t="s">
        <v>9884</v>
      </c>
      <c r="J532" s="14" t="s">
        <v>9885</v>
      </c>
      <c r="K532" s="14" t="s">
        <v>99</v>
      </c>
      <c r="L532" s="14" t="s">
        <v>99</v>
      </c>
      <c r="M532" s="14" t="s">
        <v>103</v>
      </c>
      <c r="N532" s="14" t="s">
        <v>104</v>
      </c>
      <c r="O532" s="14" t="s">
        <v>99</v>
      </c>
      <c r="P532" s="14" t="s">
        <v>99</v>
      </c>
      <c r="Q532" s="14" t="s">
        <v>99</v>
      </c>
      <c r="R532" s="14" t="s">
        <v>99</v>
      </c>
      <c r="S532" s="14" t="s">
        <v>99</v>
      </c>
      <c r="T532" s="14" t="s">
        <v>9886</v>
      </c>
      <c r="U532" s="14" t="s">
        <v>9887</v>
      </c>
      <c r="V532" s="14" t="s">
        <v>9888</v>
      </c>
      <c r="W532" s="14" t="s">
        <v>9889</v>
      </c>
      <c r="X532" s="14" t="s">
        <v>9890</v>
      </c>
      <c r="Y532" s="14" t="s">
        <v>9891</v>
      </c>
      <c r="Z532" s="14" t="s">
        <v>99</v>
      </c>
      <c r="AA532" s="14" t="s">
        <v>9892</v>
      </c>
      <c r="AB532" s="14" t="s">
        <v>9893</v>
      </c>
      <c r="AC532" s="14" t="s">
        <v>99</v>
      </c>
      <c r="AD532" s="14" t="s">
        <v>99</v>
      </c>
      <c r="AE532" s="14" t="s">
        <v>99</v>
      </c>
      <c r="AF532" s="14" t="s">
        <v>99</v>
      </c>
      <c r="AG532" s="14">
        <v>72.0</v>
      </c>
      <c r="AH532" s="14">
        <v>261.0</v>
      </c>
      <c r="AI532" s="14">
        <v>312.0</v>
      </c>
      <c r="AJ532" s="14">
        <v>1.0</v>
      </c>
      <c r="AK532" s="14">
        <v>159.0</v>
      </c>
      <c r="AL532" s="14" t="s">
        <v>9894</v>
      </c>
      <c r="AM532" s="14" t="s">
        <v>468</v>
      </c>
      <c r="AN532" s="14" t="s">
        <v>9895</v>
      </c>
      <c r="AO532" s="14" t="s">
        <v>9896</v>
      </c>
      <c r="AP532" s="14" t="s">
        <v>99</v>
      </c>
      <c r="AQ532" s="14" t="s">
        <v>99</v>
      </c>
      <c r="AR532" s="14" t="s">
        <v>9897</v>
      </c>
      <c r="AS532" s="14" t="s">
        <v>9898</v>
      </c>
      <c r="AT532" s="14" t="s">
        <v>1485</v>
      </c>
      <c r="AU532" s="14">
        <v>2001.0</v>
      </c>
      <c r="AV532" s="14">
        <v>70.0</v>
      </c>
      <c r="AW532" s="14">
        <v>2.0</v>
      </c>
      <c r="AX532" s="14" t="s">
        <v>99</v>
      </c>
      <c r="AY532" s="14" t="s">
        <v>99</v>
      </c>
      <c r="AZ532" s="14" t="s">
        <v>99</v>
      </c>
      <c r="BA532" s="14" t="s">
        <v>99</v>
      </c>
      <c r="BB532" s="14">
        <v>201.0</v>
      </c>
      <c r="BC532" s="14">
        <v>217.0</v>
      </c>
      <c r="BD532" s="14" t="s">
        <v>99</v>
      </c>
      <c r="BE532" s="14" t="s">
        <v>9899</v>
      </c>
      <c r="BF532" s="15" t="str">
        <f>HYPERLINK("http://dx.doi.org/10.1046/j.1365-2656.2001.00480.x","http://dx.doi.org/10.1046/j.1365-2656.2001.00480.x")</f>
        <v>http://dx.doi.org/10.1046/j.1365-2656.2001.00480.x</v>
      </c>
      <c r="BG532" s="14" t="s">
        <v>99</v>
      </c>
      <c r="BH532" s="14" t="s">
        <v>99</v>
      </c>
      <c r="BI532" s="14">
        <v>17.0</v>
      </c>
      <c r="BJ532" s="14" t="s">
        <v>189</v>
      </c>
      <c r="BK532" s="14" t="s">
        <v>122</v>
      </c>
      <c r="BL532" s="14" t="s">
        <v>190</v>
      </c>
      <c r="BM532" s="14" t="s">
        <v>9900</v>
      </c>
      <c r="BN532" s="14" t="s">
        <v>99</v>
      </c>
      <c r="BO532" s="14" t="s">
        <v>99</v>
      </c>
      <c r="BP532" s="14" t="s">
        <v>99</v>
      </c>
      <c r="BQ532" s="14" t="s">
        <v>99</v>
      </c>
      <c r="BR532" s="14" t="s">
        <v>124</v>
      </c>
      <c r="BS532" s="14" t="s">
        <v>9901</v>
      </c>
      <c r="BT532" s="14" t="str">
        <f>HYPERLINK("https%3A%2F%2Fwww.webofscience.com%2Fwos%2Fwoscc%2Ffull-record%2FWOS:000169014300004","View Full Record in Web of Science")</f>
        <v>View Full Record in Web of Science</v>
      </c>
    </row>
    <row r="533" ht="12.75" customHeight="1">
      <c r="A533" s="14" t="s">
        <v>97</v>
      </c>
      <c r="B533" s="14" t="s">
        <v>9902</v>
      </c>
      <c r="C533" s="14" t="s">
        <v>99</v>
      </c>
      <c r="D533" s="14" t="s">
        <v>99</v>
      </c>
      <c r="E533" s="14" t="s">
        <v>99</v>
      </c>
      <c r="F533" s="14" t="s">
        <v>9902</v>
      </c>
      <c r="G533" s="14" t="s">
        <v>99</v>
      </c>
      <c r="H533" s="14" t="s">
        <v>99</v>
      </c>
      <c r="I533" s="14" t="s">
        <v>9903</v>
      </c>
      <c r="J533" s="14" t="s">
        <v>2142</v>
      </c>
      <c r="K533" s="14" t="s">
        <v>99</v>
      </c>
      <c r="L533" s="14" t="s">
        <v>99</v>
      </c>
      <c r="M533" s="14" t="s">
        <v>103</v>
      </c>
      <c r="N533" s="14" t="s">
        <v>104</v>
      </c>
      <c r="O533" s="14" t="s">
        <v>99</v>
      </c>
      <c r="P533" s="14" t="s">
        <v>99</v>
      </c>
      <c r="Q533" s="14" t="s">
        <v>99</v>
      </c>
      <c r="R533" s="14" t="s">
        <v>99</v>
      </c>
      <c r="S533" s="14" t="s">
        <v>99</v>
      </c>
      <c r="T533" s="14" t="s">
        <v>99</v>
      </c>
      <c r="U533" s="14" t="s">
        <v>9904</v>
      </c>
      <c r="V533" s="14" t="s">
        <v>9905</v>
      </c>
      <c r="W533" s="14" t="s">
        <v>9906</v>
      </c>
      <c r="X533" s="14" t="s">
        <v>9907</v>
      </c>
      <c r="Y533" s="14" t="s">
        <v>99</v>
      </c>
      <c r="Z533" s="14" t="s">
        <v>9908</v>
      </c>
      <c r="AA533" s="14" t="s">
        <v>99</v>
      </c>
      <c r="AB533" s="14" t="s">
        <v>9909</v>
      </c>
      <c r="AC533" s="14" t="s">
        <v>99</v>
      </c>
      <c r="AD533" s="14" t="s">
        <v>99</v>
      </c>
      <c r="AE533" s="14" t="s">
        <v>99</v>
      </c>
      <c r="AF533" s="14" t="s">
        <v>99</v>
      </c>
      <c r="AG533" s="14">
        <v>53.0</v>
      </c>
      <c r="AH533" s="14">
        <v>100.0</v>
      </c>
      <c r="AI533" s="14">
        <v>118.0</v>
      </c>
      <c r="AJ533" s="14">
        <v>1.0</v>
      </c>
      <c r="AK533" s="14">
        <v>74.0</v>
      </c>
      <c r="AL533" s="14" t="s">
        <v>341</v>
      </c>
      <c r="AM533" s="14" t="s">
        <v>342</v>
      </c>
      <c r="AN533" s="14" t="s">
        <v>343</v>
      </c>
      <c r="AO533" s="14" t="s">
        <v>2155</v>
      </c>
      <c r="AP533" s="14" t="s">
        <v>2156</v>
      </c>
      <c r="AQ533" s="14" t="s">
        <v>99</v>
      </c>
      <c r="AR533" s="14" t="s">
        <v>2157</v>
      </c>
      <c r="AS533" s="14" t="s">
        <v>2158</v>
      </c>
      <c r="AT533" s="14" t="s">
        <v>1058</v>
      </c>
      <c r="AU533" s="14">
        <v>2000.0</v>
      </c>
      <c r="AV533" s="14">
        <v>14.0</v>
      </c>
      <c r="AW533" s="14">
        <v>6.0</v>
      </c>
      <c r="AX533" s="14" t="s">
        <v>99</v>
      </c>
      <c r="AY533" s="14" t="s">
        <v>99</v>
      </c>
      <c r="AZ533" s="14" t="s">
        <v>99</v>
      </c>
      <c r="BA533" s="14" t="s">
        <v>99</v>
      </c>
      <c r="BB533" s="14">
        <v>1580.0</v>
      </c>
      <c r="BC533" s="14">
        <v>1591.0</v>
      </c>
      <c r="BD533" s="14" t="s">
        <v>99</v>
      </c>
      <c r="BE533" s="14" t="s">
        <v>9910</v>
      </c>
      <c r="BF533" s="15" t="str">
        <f>HYPERLINK("http://dx.doi.org/10.1046/j.1523-1739.2000.99103.x","http://dx.doi.org/10.1046/j.1523-1739.2000.99103.x")</f>
        <v>http://dx.doi.org/10.1046/j.1523-1739.2000.99103.x</v>
      </c>
      <c r="BG533" s="14" t="s">
        <v>99</v>
      </c>
      <c r="BH533" s="14" t="s">
        <v>99</v>
      </c>
      <c r="BI533" s="14">
        <v>12.0</v>
      </c>
      <c r="BJ533" s="14" t="s">
        <v>351</v>
      </c>
      <c r="BK533" s="14" t="s">
        <v>122</v>
      </c>
      <c r="BL533" s="14" t="s">
        <v>352</v>
      </c>
      <c r="BM533" s="14" t="s">
        <v>9911</v>
      </c>
      <c r="BN533" s="14" t="s">
        <v>99</v>
      </c>
      <c r="BO533" s="14" t="s">
        <v>99</v>
      </c>
      <c r="BP533" s="14" t="s">
        <v>99</v>
      </c>
      <c r="BQ533" s="14" t="s">
        <v>99</v>
      </c>
      <c r="BR533" s="14" t="s">
        <v>124</v>
      </c>
      <c r="BS533" s="14" t="s">
        <v>9912</v>
      </c>
      <c r="BT533" s="14" t="str">
        <f>HYPERLINK("https%3A%2F%2Fwww.webofscience.com%2Fwos%2Fwoscc%2Ffull-record%2FWOS:000166035800007","View Full Record in Web of Science")</f>
        <v>View Full Record in Web of Science</v>
      </c>
    </row>
    <row r="534" ht="12.75" customHeight="1">
      <c r="A534" s="14" t="s">
        <v>97</v>
      </c>
      <c r="B534" s="14" t="s">
        <v>9913</v>
      </c>
      <c r="C534" s="14" t="s">
        <v>99</v>
      </c>
      <c r="D534" s="14" t="s">
        <v>99</v>
      </c>
      <c r="E534" s="14" t="s">
        <v>99</v>
      </c>
      <c r="F534" s="14" t="s">
        <v>9913</v>
      </c>
      <c r="G534" s="14" t="s">
        <v>99</v>
      </c>
      <c r="H534" s="14" t="s">
        <v>99</v>
      </c>
      <c r="I534" s="14" t="s">
        <v>9914</v>
      </c>
      <c r="J534" s="14" t="s">
        <v>532</v>
      </c>
      <c r="K534" s="14" t="s">
        <v>99</v>
      </c>
      <c r="L534" s="14" t="s">
        <v>99</v>
      </c>
      <c r="M534" s="14" t="s">
        <v>103</v>
      </c>
      <c r="N534" s="14" t="s">
        <v>104</v>
      </c>
      <c r="O534" s="14" t="s">
        <v>99</v>
      </c>
      <c r="P534" s="14" t="s">
        <v>99</v>
      </c>
      <c r="Q534" s="14" t="s">
        <v>99</v>
      </c>
      <c r="R534" s="14" t="s">
        <v>99</v>
      </c>
      <c r="S534" s="14" t="s">
        <v>99</v>
      </c>
      <c r="T534" s="14" t="s">
        <v>9915</v>
      </c>
      <c r="U534" s="14" t="s">
        <v>9916</v>
      </c>
      <c r="V534" s="14" t="s">
        <v>9917</v>
      </c>
      <c r="W534" s="14" t="s">
        <v>9918</v>
      </c>
      <c r="X534" s="14" t="s">
        <v>9919</v>
      </c>
      <c r="Y534" s="14" t="s">
        <v>9920</v>
      </c>
      <c r="Z534" s="14" t="s">
        <v>9921</v>
      </c>
      <c r="AA534" s="14" t="s">
        <v>99</v>
      </c>
      <c r="AB534" s="14" t="s">
        <v>99</v>
      </c>
      <c r="AC534" s="14" t="s">
        <v>99</v>
      </c>
      <c r="AD534" s="14" t="s">
        <v>99</v>
      </c>
      <c r="AE534" s="14" t="s">
        <v>99</v>
      </c>
      <c r="AF534" s="14" t="s">
        <v>99</v>
      </c>
      <c r="AG534" s="14">
        <v>66.0</v>
      </c>
      <c r="AH534" s="14">
        <v>119.0</v>
      </c>
      <c r="AI534" s="14">
        <v>134.0</v>
      </c>
      <c r="AJ534" s="14">
        <v>3.0</v>
      </c>
      <c r="AK534" s="14">
        <v>92.0</v>
      </c>
      <c r="AL534" s="14" t="s">
        <v>341</v>
      </c>
      <c r="AM534" s="14" t="s">
        <v>342</v>
      </c>
      <c r="AN534" s="14" t="s">
        <v>343</v>
      </c>
      <c r="AO534" s="14" t="s">
        <v>545</v>
      </c>
      <c r="AP534" s="14" t="s">
        <v>546</v>
      </c>
      <c r="AQ534" s="14" t="s">
        <v>99</v>
      </c>
      <c r="AR534" s="14" t="s">
        <v>547</v>
      </c>
      <c r="AS534" s="14" t="s">
        <v>548</v>
      </c>
      <c r="AT534" s="14" t="s">
        <v>1058</v>
      </c>
      <c r="AU534" s="14">
        <v>2000.0</v>
      </c>
      <c r="AV534" s="14">
        <v>37.0</v>
      </c>
      <c r="AW534" s="14">
        <v>6.0</v>
      </c>
      <c r="AX534" s="14" t="s">
        <v>99</v>
      </c>
      <c r="AY534" s="14" t="s">
        <v>99</v>
      </c>
      <c r="AZ534" s="14" t="s">
        <v>99</v>
      </c>
      <c r="BA534" s="14" t="s">
        <v>99</v>
      </c>
      <c r="BB534" s="14">
        <v>1029.0</v>
      </c>
      <c r="BC534" s="14">
        <v>1043.0</v>
      </c>
      <c r="BD534" s="14" t="s">
        <v>99</v>
      </c>
      <c r="BE534" s="14" t="s">
        <v>9922</v>
      </c>
      <c r="BF534" s="15" t="str">
        <f>HYPERLINK("http://dx.doi.org/10.1046/j.1365-2664.2000.00566.x","http://dx.doi.org/10.1046/j.1365-2664.2000.00566.x")</f>
        <v>http://dx.doi.org/10.1046/j.1365-2664.2000.00566.x</v>
      </c>
      <c r="BG534" s="14" t="s">
        <v>99</v>
      </c>
      <c r="BH534" s="14" t="s">
        <v>99</v>
      </c>
      <c r="BI534" s="14">
        <v>15.0</v>
      </c>
      <c r="BJ534" s="14" t="s">
        <v>550</v>
      </c>
      <c r="BK534" s="14" t="s">
        <v>122</v>
      </c>
      <c r="BL534" s="14" t="s">
        <v>352</v>
      </c>
      <c r="BM534" s="14" t="s">
        <v>9923</v>
      </c>
      <c r="BN534" s="14" t="s">
        <v>99</v>
      </c>
      <c r="BO534" s="14" t="s">
        <v>238</v>
      </c>
      <c r="BP534" s="14" t="s">
        <v>99</v>
      </c>
      <c r="BQ534" s="14" t="s">
        <v>99</v>
      </c>
      <c r="BR534" s="14" t="s">
        <v>124</v>
      </c>
      <c r="BS534" s="14" t="s">
        <v>9924</v>
      </c>
      <c r="BT534" s="14" t="str">
        <f>HYPERLINK("https%3A%2F%2Fwww.webofscience.com%2Fwos%2Fwoscc%2Ffull-record%2FWOS:000166979900012","View Full Record in Web of Science")</f>
        <v>View Full Record in Web of Science</v>
      </c>
    </row>
    <row r="535" ht="12.75" customHeight="1">
      <c r="A535" s="14" t="s">
        <v>97</v>
      </c>
      <c r="B535" s="14" t="s">
        <v>9925</v>
      </c>
      <c r="C535" s="14" t="s">
        <v>99</v>
      </c>
      <c r="D535" s="14" t="s">
        <v>99</v>
      </c>
      <c r="E535" s="14" t="s">
        <v>99</v>
      </c>
      <c r="F535" s="14" t="s">
        <v>9925</v>
      </c>
      <c r="G535" s="14" t="s">
        <v>99</v>
      </c>
      <c r="H535" s="14" t="s">
        <v>99</v>
      </c>
      <c r="I535" s="14" t="s">
        <v>9926</v>
      </c>
      <c r="J535" s="14" t="s">
        <v>5603</v>
      </c>
      <c r="K535" s="14" t="s">
        <v>99</v>
      </c>
      <c r="L535" s="14" t="s">
        <v>99</v>
      </c>
      <c r="M535" s="14" t="s">
        <v>103</v>
      </c>
      <c r="N535" s="14" t="s">
        <v>104</v>
      </c>
      <c r="O535" s="14" t="s">
        <v>99</v>
      </c>
      <c r="P535" s="14" t="s">
        <v>99</v>
      </c>
      <c r="Q535" s="14" t="s">
        <v>99</v>
      </c>
      <c r="R535" s="14" t="s">
        <v>99</v>
      </c>
      <c r="S535" s="14" t="s">
        <v>99</v>
      </c>
      <c r="T535" s="14" t="s">
        <v>9927</v>
      </c>
      <c r="U535" s="14" t="s">
        <v>9928</v>
      </c>
      <c r="V535" s="14" t="s">
        <v>9929</v>
      </c>
      <c r="W535" s="14" t="s">
        <v>9930</v>
      </c>
      <c r="X535" s="14" t="s">
        <v>9931</v>
      </c>
      <c r="Y535" s="14" t="s">
        <v>9932</v>
      </c>
      <c r="Z535" s="14" t="s">
        <v>99</v>
      </c>
      <c r="AA535" s="14" t="s">
        <v>99</v>
      </c>
      <c r="AB535" s="14" t="s">
        <v>99</v>
      </c>
      <c r="AC535" s="14" t="s">
        <v>99</v>
      </c>
      <c r="AD535" s="14" t="s">
        <v>99</v>
      </c>
      <c r="AE535" s="14" t="s">
        <v>99</v>
      </c>
      <c r="AF535" s="14" t="s">
        <v>99</v>
      </c>
      <c r="AG535" s="14">
        <v>29.0</v>
      </c>
      <c r="AH535" s="14">
        <v>13.0</v>
      </c>
      <c r="AI535" s="14">
        <v>15.0</v>
      </c>
      <c r="AJ535" s="14">
        <v>0.0</v>
      </c>
      <c r="AK535" s="14">
        <v>6.0</v>
      </c>
      <c r="AL535" s="14" t="s">
        <v>1033</v>
      </c>
      <c r="AM535" s="14" t="s">
        <v>442</v>
      </c>
      <c r="AN535" s="14" t="s">
        <v>1034</v>
      </c>
      <c r="AO535" s="14" t="s">
        <v>5616</v>
      </c>
      <c r="AP535" s="14" t="s">
        <v>99</v>
      </c>
      <c r="AQ535" s="14" t="s">
        <v>99</v>
      </c>
      <c r="AR535" s="14" t="s">
        <v>5618</v>
      </c>
      <c r="AS535" s="14" t="s">
        <v>5619</v>
      </c>
      <c r="AT535" s="14" t="s">
        <v>348</v>
      </c>
      <c r="AU535" s="14">
        <v>2000.0</v>
      </c>
      <c r="AV535" s="14">
        <v>81.0</v>
      </c>
      <c r="AW535" s="14">
        <v>3.0</v>
      </c>
      <c r="AX535" s="14" t="s">
        <v>99</v>
      </c>
      <c r="AY535" s="14" t="s">
        <v>99</v>
      </c>
      <c r="AZ535" s="14" t="s">
        <v>99</v>
      </c>
      <c r="BA535" s="14" t="s">
        <v>99</v>
      </c>
      <c r="BB535" s="14">
        <v>209.0</v>
      </c>
      <c r="BC535" s="14">
        <v>216.0</v>
      </c>
      <c r="BD535" s="14" t="s">
        <v>99</v>
      </c>
      <c r="BE535" s="14" t="s">
        <v>9933</v>
      </c>
      <c r="BF535" s="15" t="str">
        <f>HYPERLINK("http://dx.doi.org/10.1016/S0167-8809(00)00158-4","http://dx.doi.org/10.1016/S0167-8809(00)00158-4")</f>
        <v>http://dx.doi.org/10.1016/S0167-8809(00)00158-4</v>
      </c>
      <c r="BG535" s="14" t="s">
        <v>99</v>
      </c>
      <c r="BH535" s="14" t="s">
        <v>99</v>
      </c>
      <c r="BI535" s="14">
        <v>8.0</v>
      </c>
      <c r="BJ535" s="14" t="s">
        <v>5622</v>
      </c>
      <c r="BK535" s="14" t="s">
        <v>122</v>
      </c>
      <c r="BL535" s="14" t="s">
        <v>5623</v>
      </c>
      <c r="BM535" s="14" t="s">
        <v>9934</v>
      </c>
      <c r="BN535" s="14" t="s">
        <v>99</v>
      </c>
      <c r="BO535" s="14" t="s">
        <v>99</v>
      </c>
      <c r="BP535" s="14" t="s">
        <v>99</v>
      </c>
      <c r="BQ535" s="14" t="s">
        <v>99</v>
      </c>
      <c r="BR535" s="14" t="s">
        <v>124</v>
      </c>
      <c r="BS535" s="14" t="s">
        <v>9935</v>
      </c>
      <c r="BT535" s="14" t="str">
        <f>HYPERLINK("https%3A%2F%2Fwww.webofscience.com%2Fwos%2Fwoscc%2Ffull-record%2FWOS:000089961200005","View Full Record in Web of Science")</f>
        <v>View Full Record in Web of Science</v>
      </c>
    </row>
    <row r="536" ht="12.75" customHeight="1">
      <c r="A536" s="14" t="s">
        <v>97</v>
      </c>
      <c r="B536" s="14" t="s">
        <v>9936</v>
      </c>
      <c r="C536" s="14" t="s">
        <v>99</v>
      </c>
      <c r="D536" s="14" t="s">
        <v>99</v>
      </c>
      <c r="E536" s="14" t="s">
        <v>99</v>
      </c>
      <c r="F536" s="14" t="s">
        <v>9936</v>
      </c>
      <c r="G536" s="14" t="s">
        <v>99</v>
      </c>
      <c r="H536" s="14" t="s">
        <v>99</v>
      </c>
      <c r="I536" s="14" t="s">
        <v>9937</v>
      </c>
      <c r="J536" s="14" t="s">
        <v>1102</v>
      </c>
      <c r="K536" s="14" t="s">
        <v>99</v>
      </c>
      <c r="L536" s="14" t="s">
        <v>99</v>
      </c>
      <c r="M536" s="14" t="s">
        <v>103</v>
      </c>
      <c r="N536" s="14" t="s">
        <v>104</v>
      </c>
      <c r="O536" s="14" t="s">
        <v>99</v>
      </c>
      <c r="P536" s="14" t="s">
        <v>99</v>
      </c>
      <c r="Q536" s="14" t="s">
        <v>99</v>
      </c>
      <c r="R536" s="14" t="s">
        <v>99</v>
      </c>
      <c r="S536" s="14" t="s">
        <v>99</v>
      </c>
      <c r="T536" s="14" t="s">
        <v>9938</v>
      </c>
      <c r="U536" s="14" t="s">
        <v>9939</v>
      </c>
      <c r="V536" s="14" t="s">
        <v>9940</v>
      </c>
      <c r="W536" s="14" t="s">
        <v>9941</v>
      </c>
      <c r="X536" s="14" t="s">
        <v>9942</v>
      </c>
      <c r="Y536" s="14" t="s">
        <v>9943</v>
      </c>
      <c r="Z536" s="14" t="s">
        <v>99</v>
      </c>
      <c r="AA536" s="14" t="s">
        <v>99</v>
      </c>
      <c r="AB536" s="14" t="s">
        <v>99</v>
      </c>
      <c r="AC536" s="14" t="s">
        <v>99</v>
      </c>
      <c r="AD536" s="14" t="s">
        <v>99</v>
      </c>
      <c r="AE536" s="14" t="s">
        <v>99</v>
      </c>
      <c r="AF536" s="14" t="s">
        <v>99</v>
      </c>
      <c r="AG536" s="14">
        <v>79.0</v>
      </c>
      <c r="AH536" s="14">
        <v>50.0</v>
      </c>
      <c r="AI536" s="14">
        <v>62.0</v>
      </c>
      <c r="AJ536" s="14">
        <v>0.0</v>
      </c>
      <c r="AK536" s="14">
        <v>28.0</v>
      </c>
      <c r="AL536" s="14" t="s">
        <v>493</v>
      </c>
      <c r="AM536" s="14" t="s">
        <v>468</v>
      </c>
      <c r="AN536" s="14" t="s">
        <v>635</v>
      </c>
      <c r="AO536" s="14" t="s">
        <v>1112</v>
      </c>
      <c r="AP536" s="14" t="s">
        <v>99</v>
      </c>
      <c r="AQ536" s="14" t="s">
        <v>99</v>
      </c>
      <c r="AR536" s="14" t="s">
        <v>1114</v>
      </c>
      <c r="AS536" s="14" t="s">
        <v>1115</v>
      </c>
      <c r="AT536" s="14" t="s">
        <v>421</v>
      </c>
      <c r="AU536" s="14">
        <v>2000.0</v>
      </c>
      <c r="AV536" s="14">
        <v>95.0</v>
      </c>
      <c r="AW536" s="14">
        <v>2.0</v>
      </c>
      <c r="AX536" s="14" t="s">
        <v>99</v>
      </c>
      <c r="AY536" s="14" t="s">
        <v>99</v>
      </c>
      <c r="AZ536" s="14" t="s">
        <v>99</v>
      </c>
      <c r="BA536" s="14" t="s">
        <v>99</v>
      </c>
      <c r="BB536" s="14">
        <v>209.0</v>
      </c>
      <c r="BC536" s="14">
        <v>217.0</v>
      </c>
      <c r="BD536" s="14" t="s">
        <v>99</v>
      </c>
      <c r="BE536" s="14" t="s">
        <v>9944</v>
      </c>
      <c r="BF536" s="15" t="str">
        <f>HYPERLINK("http://dx.doi.org/10.1016/S0006-3207(00)00035-5","http://dx.doi.org/10.1016/S0006-3207(00)00035-5")</f>
        <v>http://dx.doi.org/10.1016/S0006-3207(00)00035-5</v>
      </c>
      <c r="BG536" s="14" t="s">
        <v>99</v>
      </c>
      <c r="BH536" s="14" t="s">
        <v>99</v>
      </c>
      <c r="BI536" s="14">
        <v>9.0</v>
      </c>
      <c r="BJ536" s="14" t="s">
        <v>351</v>
      </c>
      <c r="BK536" s="14" t="s">
        <v>122</v>
      </c>
      <c r="BL536" s="14" t="s">
        <v>352</v>
      </c>
      <c r="BM536" s="14" t="s">
        <v>9945</v>
      </c>
      <c r="BN536" s="14" t="s">
        <v>99</v>
      </c>
      <c r="BO536" s="14" t="s">
        <v>99</v>
      </c>
      <c r="BP536" s="14" t="s">
        <v>99</v>
      </c>
      <c r="BQ536" s="14" t="s">
        <v>99</v>
      </c>
      <c r="BR536" s="14" t="s">
        <v>124</v>
      </c>
      <c r="BS536" s="14" t="s">
        <v>9946</v>
      </c>
      <c r="BT536" s="14" t="str">
        <f>HYPERLINK("https%3A%2F%2Fwww.webofscience.com%2Fwos%2Fwoscc%2Ffull-record%2FWOS:000087932400010","View Full Record in Web of Science")</f>
        <v>View Full Record in Web of Science</v>
      </c>
    </row>
    <row r="537" ht="12.75" customHeight="1">
      <c r="A537" s="14" t="s">
        <v>97</v>
      </c>
      <c r="B537" s="14" t="s">
        <v>9947</v>
      </c>
      <c r="C537" s="14" t="s">
        <v>99</v>
      </c>
      <c r="D537" s="14" t="s">
        <v>99</v>
      </c>
      <c r="E537" s="14" t="s">
        <v>99</v>
      </c>
      <c r="F537" s="14" t="s">
        <v>9947</v>
      </c>
      <c r="G537" s="14" t="s">
        <v>99</v>
      </c>
      <c r="H537" s="14" t="s">
        <v>99</v>
      </c>
      <c r="I537" s="14" t="s">
        <v>9948</v>
      </c>
      <c r="J537" s="14" t="s">
        <v>9949</v>
      </c>
      <c r="K537" s="14" t="s">
        <v>99</v>
      </c>
      <c r="L537" s="14" t="s">
        <v>99</v>
      </c>
      <c r="M537" s="14" t="s">
        <v>103</v>
      </c>
      <c r="N537" s="14" t="s">
        <v>104</v>
      </c>
      <c r="O537" s="14" t="s">
        <v>99</v>
      </c>
      <c r="P537" s="14" t="s">
        <v>99</v>
      </c>
      <c r="Q537" s="14" t="s">
        <v>99</v>
      </c>
      <c r="R537" s="14" t="s">
        <v>99</v>
      </c>
      <c r="S537" s="14" t="s">
        <v>99</v>
      </c>
      <c r="T537" s="14" t="s">
        <v>9950</v>
      </c>
      <c r="U537" s="14" t="s">
        <v>9951</v>
      </c>
      <c r="V537" s="14" t="s">
        <v>9952</v>
      </c>
      <c r="W537" s="14" t="s">
        <v>9953</v>
      </c>
      <c r="X537" s="14" t="s">
        <v>9954</v>
      </c>
      <c r="Y537" s="14" t="s">
        <v>9955</v>
      </c>
      <c r="Z537" s="14" t="s">
        <v>99</v>
      </c>
      <c r="AA537" s="14" t="s">
        <v>9956</v>
      </c>
      <c r="AB537" s="14" t="s">
        <v>9957</v>
      </c>
      <c r="AC537" s="14" t="s">
        <v>99</v>
      </c>
      <c r="AD537" s="14" t="s">
        <v>99</v>
      </c>
      <c r="AE537" s="14" t="s">
        <v>99</v>
      </c>
      <c r="AF537" s="14" t="s">
        <v>99</v>
      </c>
      <c r="AG537" s="14">
        <v>100.0</v>
      </c>
      <c r="AH537" s="14">
        <v>338.0</v>
      </c>
      <c r="AI537" s="14">
        <v>414.0</v>
      </c>
      <c r="AJ537" s="14">
        <v>3.0</v>
      </c>
      <c r="AK537" s="14">
        <v>195.0</v>
      </c>
      <c r="AL537" s="14" t="s">
        <v>493</v>
      </c>
      <c r="AM537" s="14" t="s">
        <v>468</v>
      </c>
      <c r="AN537" s="14" t="s">
        <v>635</v>
      </c>
      <c r="AO537" s="14" t="s">
        <v>9958</v>
      </c>
      <c r="AP537" s="14" t="s">
        <v>99</v>
      </c>
      <c r="AQ537" s="14" t="s">
        <v>99</v>
      </c>
      <c r="AR537" s="14" t="s">
        <v>9959</v>
      </c>
      <c r="AS537" s="14" t="s">
        <v>9960</v>
      </c>
      <c r="AT537" s="14" t="s">
        <v>474</v>
      </c>
      <c r="AU537" s="14">
        <v>2000.0</v>
      </c>
      <c r="AV537" s="14">
        <v>65.0</v>
      </c>
      <c r="AW537" s="14">
        <v>2.0</v>
      </c>
      <c r="AX537" s="14" t="s">
        <v>99</v>
      </c>
      <c r="AY537" s="14" t="s">
        <v>99</v>
      </c>
      <c r="AZ537" s="14" t="s">
        <v>99</v>
      </c>
      <c r="BA537" s="14" t="s">
        <v>99</v>
      </c>
      <c r="BB537" s="14">
        <v>113.0</v>
      </c>
      <c r="BC537" s="14">
        <v>136.0</v>
      </c>
      <c r="BD537" s="14" t="s">
        <v>99</v>
      </c>
      <c r="BE537" s="14" t="s">
        <v>9961</v>
      </c>
      <c r="BF537" s="15" t="str">
        <f>HYPERLINK("http://dx.doi.org/10.1016/S0308-521X(00)00031-7","http://dx.doi.org/10.1016/S0308-521X(00)00031-7")</f>
        <v>http://dx.doi.org/10.1016/S0308-521X(00)00031-7</v>
      </c>
      <c r="BG537" s="14" t="s">
        <v>99</v>
      </c>
      <c r="BH537" s="14" t="s">
        <v>99</v>
      </c>
      <c r="BI537" s="14">
        <v>24.0</v>
      </c>
      <c r="BJ537" s="14" t="s">
        <v>5344</v>
      </c>
      <c r="BK537" s="14" t="s">
        <v>122</v>
      </c>
      <c r="BL537" s="14" t="s">
        <v>2969</v>
      </c>
      <c r="BM537" s="14" t="s">
        <v>9962</v>
      </c>
      <c r="BN537" s="14" t="s">
        <v>99</v>
      </c>
      <c r="BO537" s="14" t="s">
        <v>99</v>
      </c>
      <c r="BP537" s="14" t="s">
        <v>99</v>
      </c>
      <c r="BQ537" s="14" t="s">
        <v>99</v>
      </c>
      <c r="BR537" s="14" t="s">
        <v>124</v>
      </c>
      <c r="BS537" s="14" t="s">
        <v>9963</v>
      </c>
      <c r="BT537" s="14" t="str">
        <f>HYPERLINK("https%3A%2F%2Fwww.webofscience.com%2Fwos%2Fwoscc%2Ffull-record%2FWOS:000089669800003","View Full Record in Web of Science")</f>
        <v>View Full Record in Web of Science</v>
      </c>
    </row>
    <row r="538" ht="12.75" customHeight="1">
      <c r="A538" s="14" t="s">
        <v>97</v>
      </c>
      <c r="B538" s="14" t="s">
        <v>9964</v>
      </c>
      <c r="C538" s="14" t="s">
        <v>99</v>
      </c>
      <c r="D538" s="14" t="s">
        <v>99</v>
      </c>
      <c r="E538" s="14" t="s">
        <v>99</v>
      </c>
      <c r="F538" s="14" t="s">
        <v>9964</v>
      </c>
      <c r="G538" s="14" t="s">
        <v>99</v>
      </c>
      <c r="H538" s="14" t="s">
        <v>99</v>
      </c>
      <c r="I538" s="14" t="s">
        <v>9965</v>
      </c>
      <c r="J538" s="14" t="s">
        <v>2142</v>
      </c>
      <c r="K538" s="14" t="s">
        <v>99</v>
      </c>
      <c r="L538" s="14" t="s">
        <v>99</v>
      </c>
      <c r="M538" s="14" t="s">
        <v>103</v>
      </c>
      <c r="N538" s="14" t="s">
        <v>104</v>
      </c>
      <c r="O538" s="14" t="s">
        <v>99</v>
      </c>
      <c r="P538" s="14" t="s">
        <v>99</v>
      </c>
      <c r="Q538" s="14" t="s">
        <v>99</v>
      </c>
      <c r="R538" s="14" t="s">
        <v>99</v>
      </c>
      <c r="S538" s="14" t="s">
        <v>99</v>
      </c>
      <c r="T538" s="14" t="s">
        <v>99</v>
      </c>
      <c r="U538" s="14" t="s">
        <v>9966</v>
      </c>
      <c r="V538" s="14" t="s">
        <v>9967</v>
      </c>
      <c r="W538" s="14" t="s">
        <v>9968</v>
      </c>
      <c r="X538" s="14" t="s">
        <v>9969</v>
      </c>
      <c r="Y538" s="14" t="s">
        <v>9970</v>
      </c>
      <c r="Z538" s="14" t="s">
        <v>99</v>
      </c>
      <c r="AA538" s="14" t="s">
        <v>9971</v>
      </c>
      <c r="AB538" s="14" t="s">
        <v>9972</v>
      </c>
      <c r="AC538" s="14" t="s">
        <v>99</v>
      </c>
      <c r="AD538" s="14" t="s">
        <v>99</v>
      </c>
      <c r="AE538" s="14" t="s">
        <v>99</v>
      </c>
      <c r="AF538" s="14" t="s">
        <v>99</v>
      </c>
      <c r="AG538" s="14">
        <v>42.0</v>
      </c>
      <c r="AH538" s="14">
        <v>250.0</v>
      </c>
      <c r="AI538" s="14">
        <v>301.0</v>
      </c>
      <c r="AJ538" s="14">
        <v>1.0</v>
      </c>
      <c r="AK538" s="14">
        <v>88.0</v>
      </c>
      <c r="AL538" s="14" t="s">
        <v>9973</v>
      </c>
      <c r="AM538" s="14" t="s">
        <v>6591</v>
      </c>
      <c r="AN538" s="14" t="s">
        <v>9974</v>
      </c>
      <c r="AO538" s="14" t="s">
        <v>2155</v>
      </c>
      <c r="AP538" s="14" t="s">
        <v>99</v>
      </c>
      <c r="AQ538" s="14" t="s">
        <v>99</v>
      </c>
      <c r="AR538" s="14" t="s">
        <v>2157</v>
      </c>
      <c r="AS538" s="14" t="s">
        <v>2158</v>
      </c>
      <c r="AT538" s="14" t="s">
        <v>280</v>
      </c>
      <c r="AU538" s="14">
        <v>2000.0</v>
      </c>
      <c r="AV538" s="14">
        <v>14.0</v>
      </c>
      <c r="AW538" s="14">
        <v>1.0</v>
      </c>
      <c r="AX538" s="14" t="s">
        <v>99</v>
      </c>
      <c r="AY538" s="14" t="s">
        <v>99</v>
      </c>
      <c r="AZ538" s="14" t="s">
        <v>99</v>
      </c>
      <c r="BA538" s="14" t="s">
        <v>99</v>
      </c>
      <c r="BB538" s="14">
        <v>227.0</v>
      </c>
      <c r="BC538" s="14">
        <v>239.0</v>
      </c>
      <c r="BD538" s="14" t="s">
        <v>99</v>
      </c>
      <c r="BE538" s="14" t="s">
        <v>9975</v>
      </c>
      <c r="BF538" s="15" t="str">
        <f>HYPERLINK("http://dx.doi.org/10.1046/j.1523-1739.2000.98333.x","http://dx.doi.org/10.1046/j.1523-1739.2000.98333.x")</f>
        <v>http://dx.doi.org/10.1046/j.1523-1739.2000.98333.x</v>
      </c>
      <c r="BG538" s="14" t="s">
        <v>99</v>
      </c>
      <c r="BH538" s="14" t="s">
        <v>99</v>
      </c>
      <c r="BI538" s="14">
        <v>13.0</v>
      </c>
      <c r="BJ538" s="14" t="s">
        <v>351</v>
      </c>
      <c r="BK538" s="14" t="s">
        <v>122</v>
      </c>
      <c r="BL538" s="14" t="s">
        <v>352</v>
      </c>
      <c r="BM538" s="14" t="s">
        <v>9976</v>
      </c>
      <c r="BN538" s="14" t="s">
        <v>99</v>
      </c>
      <c r="BO538" s="14" t="s">
        <v>99</v>
      </c>
      <c r="BP538" s="14" t="s">
        <v>99</v>
      </c>
      <c r="BQ538" s="14" t="s">
        <v>99</v>
      </c>
      <c r="BR538" s="14" t="s">
        <v>124</v>
      </c>
      <c r="BS538" s="14" t="s">
        <v>9977</v>
      </c>
      <c r="BT538" s="14" t="str">
        <f>HYPERLINK("https%3A%2F%2Fwww.webofscience.com%2Fwos%2Fwoscc%2Ffull-record%2FWOS:000085366700028","View Full Record in Web of Science")</f>
        <v>View Full Record in Web of Science</v>
      </c>
    </row>
    <row r="539" ht="12.75" customHeight="1">
      <c r="A539" s="14" t="s">
        <v>97</v>
      </c>
      <c r="B539" s="14" t="s">
        <v>9978</v>
      </c>
      <c r="C539" s="14" t="s">
        <v>99</v>
      </c>
      <c r="D539" s="14" t="s">
        <v>99</v>
      </c>
      <c r="E539" s="14" t="s">
        <v>99</v>
      </c>
      <c r="F539" s="14" t="s">
        <v>9978</v>
      </c>
      <c r="G539" s="14" t="s">
        <v>99</v>
      </c>
      <c r="H539" s="14" t="s">
        <v>99</v>
      </c>
      <c r="I539" s="14" t="s">
        <v>9979</v>
      </c>
      <c r="J539" s="14" t="s">
        <v>900</v>
      </c>
      <c r="K539" s="14" t="s">
        <v>99</v>
      </c>
      <c r="L539" s="14" t="s">
        <v>99</v>
      </c>
      <c r="M539" s="14" t="s">
        <v>103</v>
      </c>
      <c r="N539" s="14" t="s">
        <v>104</v>
      </c>
      <c r="O539" s="14" t="s">
        <v>99</v>
      </c>
      <c r="P539" s="14" t="s">
        <v>99</v>
      </c>
      <c r="Q539" s="14" t="s">
        <v>99</v>
      </c>
      <c r="R539" s="14" t="s">
        <v>99</v>
      </c>
      <c r="S539" s="14" t="s">
        <v>99</v>
      </c>
      <c r="T539" s="14" t="s">
        <v>99</v>
      </c>
      <c r="U539" s="14" t="s">
        <v>9980</v>
      </c>
      <c r="V539" s="14" t="s">
        <v>9981</v>
      </c>
      <c r="W539" s="14" t="s">
        <v>9982</v>
      </c>
      <c r="X539" s="14" t="s">
        <v>9983</v>
      </c>
      <c r="Y539" s="14" t="s">
        <v>9984</v>
      </c>
      <c r="Z539" s="14" t="s">
        <v>9985</v>
      </c>
      <c r="AA539" s="14" t="s">
        <v>9986</v>
      </c>
      <c r="AB539" s="14" t="s">
        <v>9987</v>
      </c>
      <c r="AC539" s="14" t="s">
        <v>99</v>
      </c>
      <c r="AD539" s="14" t="s">
        <v>99</v>
      </c>
      <c r="AE539" s="14" t="s">
        <v>99</v>
      </c>
      <c r="AF539" s="14" t="s">
        <v>99</v>
      </c>
      <c r="AG539" s="14">
        <v>30.0</v>
      </c>
      <c r="AH539" s="14">
        <v>702.0</v>
      </c>
      <c r="AI539" s="14">
        <v>780.0</v>
      </c>
      <c r="AJ539" s="14">
        <v>2.0</v>
      </c>
      <c r="AK539" s="14">
        <v>259.0</v>
      </c>
      <c r="AL539" s="14" t="s">
        <v>1326</v>
      </c>
      <c r="AM539" s="14" t="s">
        <v>274</v>
      </c>
      <c r="AN539" s="14" t="s">
        <v>1327</v>
      </c>
      <c r="AO539" s="14" t="s">
        <v>912</v>
      </c>
      <c r="AP539" s="14" t="s">
        <v>99</v>
      </c>
      <c r="AQ539" s="14" t="s">
        <v>99</v>
      </c>
      <c r="AR539" s="14" t="s">
        <v>900</v>
      </c>
      <c r="AS539" s="14" t="s">
        <v>914</v>
      </c>
      <c r="AT539" s="14" t="s">
        <v>9988</v>
      </c>
      <c r="AU539" s="14">
        <v>1999.0</v>
      </c>
      <c r="AV539" s="14">
        <v>401.0</v>
      </c>
      <c r="AW539" s="14">
        <v>6753.0</v>
      </c>
      <c r="AX539" s="14" t="s">
        <v>99</v>
      </c>
      <c r="AY539" s="14" t="s">
        <v>99</v>
      </c>
      <c r="AZ539" s="14" t="s">
        <v>99</v>
      </c>
      <c r="BA539" s="14" t="s">
        <v>99</v>
      </c>
      <c r="BB539" s="14">
        <v>575.0</v>
      </c>
      <c r="BC539" s="14">
        <v>578.0</v>
      </c>
      <c r="BD539" s="14" t="s">
        <v>99</v>
      </c>
      <c r="BE539" s="14" t="s">
        <v>9989</v>
      </c>
      <c r="BF539" s="15" t="str">
        <f>HYPERLINK("http://dx.doi.org/10.1038/44114","http://dx.doi.org/10.1038/44114")</f>
        <v>http://dx.doi.org/10.1038/44114</v>
      </c>
      <c r="BG539" s="14" t="s">
        <v>99</v>
      </c>
      <c r="BH539" s="14" t="s">
        <v>99</v>
      </c>
      <c r="BI539" s="14">
        <v>4.0</v>
      </c>
      <c r="BJ539" s="14" t="s">
        <v>799</v>
      </c>
      <c r="BK539" s="14" t="s">
        <v>122</v>
      </c>
      <c r="BL539" s="14" t="s">
        <v>801</v>
      </c>
      <c r="BM539" s="14" t="s">
        <v>9990</v>
      </c>
      <c r="BN539" s="14" t="s">
        <v>99</v>
      </c>
      <c r="BO539" s="14" t="s">
        <v>99</v>
      </c>
      <c r="BP539" s="14" t="s">
        <v>99</v>
      </c>
      <c r="BQ539" s="14" t="s">
        <v>99</v>
      </c>
      <c r="BR539" s="14" t="s">
        <v>124</v>
      </c>
      <c r="BS539" s="14" t="s">
        <v>9991</v>
      </c>
      <c r="BT539" s="14" t="str">
        <f>HYPERLINK("https%3A%2F%2Fwww.webofscience.com%2Fwos%2Fwoscc%2Ffull-record%2FWOS:000083054900046","View Full Record in Web of Science")</f>
        <v>View Full Record in Web of Science</v>
      </c>
    </row>
    <row r="540" ht="12.75" customHeight="1">
      <c r="A540" s="14" t="s">
        <v>97</v>
      </c>
      <c r="B540" s="14" t="s">
        <v>9992</v>
      </c>
      <c r="C540" s="14" t="s">
        <v>99</v>
      </c>
      <c r="D540" s="14" t="s">
        <v>99</v>
      </c>
      <c r="E540" s="14" t="s">
        <v>99</v>
      </c>
      <c r="F540" s="14" t="s">
        <v>9992</v>
      </c>
      <c r="G540" s="14" t="s">
        <v>99</v>
      </c>
      <c r="H540" s="14" t="s">
        <v>99</v>
      </c>
      <c r="I540" s="14" t="s">
        <v>9993</v>
      </c>
      <c r="J540" s="14" t="s">
        <v>1721</v>
      </c>
      <c r="K540" s="14" t="s">
        <v>99</v>
      </c>
      <c r="L540" s="14" t="s">
        <v>99</v>
      </c>
      <c r="M540" s="14" t="s">
        <v>103</v>
      </c>
      <c r="N540" s="14" t="s">
        <v>104</v>
      </c>
      <c r="O540" s="14" t="s">
        <v>99</v>
      </c>
      <c r="P540" s="14" t="s">
        <v>99</v>
      </c>
      <c r="Q540" s="14" t="s">
        <v>99</v>
      </c>
      <c r="R540" s="14" t="s">
        <v>99</v>
      </c>
      <c r="S540" s="14" t="s">
        <v>99</v>
      </c>
      <c r="T540" s="14" t="s">
        <v>9994</v>
      </c>
      <c r="U540" s="14" t="s">
        <v>9995</v>
      </c>
      <c r="V540" s="14" t="s">
        <v>9996</v>
      </c>
      <c r="W540" s="14" t="s">
        <v>9997</v>
      </c>
      <c r="X540" s="14" t="s">
        <v>9998</v>
      </c>
      <c r="Y540" s="14" t="s">
        <v>9999</v>
      </c>
      <c r="Z540" s="14" t="s">
        <v>10000</v>
      </c>
      <c r="AA540" s="14" t="s">
        <v>99</v>
      </c>
      <c r="AB540" s="14" t="s">
        <v>99</v>
      </c>
      <c r="AC540" s="14" t="s">
        <v>99</v>
      </c>
      <c r="AD540" s="14" t="s">
        <v>99</v>
      </c>
      <c r="AE540" s="14" t="s">
        <v>99</v>
      </c>
      <c r="AF540" s="14" t="s">
        <v>99</v>
      </c>
      <c r="AG540" s="14">
        <v>37.0</v>
      </c>
      <c r="AH540" s="14">
        <v>89.0</v>
      </c>
      <c r="AI540" s="14">
        <v>117.0</v>
      </c>
      <c r="AJ540" s="14">
        <v>0.0</v>
      </c>
      <c r="AK540" s="14">
        <v>33.0</v>
      </c>
      <c r="AL540" s="14" t="s">
        <v>1731</v>
      </c>
      <c r="AM540" s="14" t="s">
        <v>1732</v>
      </c>
      <c r="AN540" s="14" t="s">
        <v>1733</v>
      </c>
      <c r="AO540" s="14" t="s">
        <v>1734</v>
      </c>
      <c r="AP540" s="14" t="s">
        <v>1735</v>
      </c>
      <c r="AQ540" s="14" t="s">
        <v>99</v>
      </c>
      <c r="AR540" s="14" t="s">
        <v>1736</v>
      </c>
      <c r="AS540" s="14" t="s">
        <v>1737</v>
      </c>
      <c r="AT540" s="14" t="s">
        <v>2372</v>
      </c>
      <c r="AU540" s="14">
        <v>1999.0</v>
      </c>
      <c r="AV540" s="14">
        <v>8.0</v>
      </c>
      <c r="AW540" s="14">
        <v>10.0</v>
      </c>
      <c r="AX540" s="14" t="s">
        <v>99</v>
      </c>
      <c r="AY540" s="14" t="s">
        <v>99</v>
      </c>
      <c r="AZ540" s="14" t="s">
        <v>99</v>
      </c>
      <c r="BA540" s="14" t="s">
        <v>99</v>
      </c>
      <c r="BB540" s="14">
        <v>1365.0</v>
      </c>
      <c r="BC540" s="14">
        <v>1381.0</v>
      </c>
      <c r="BD540" s="14" t="s">
        <v>99</v>
      </c>
      <c r="BE540" s="14" t="s">
        <v>10001</v>
      </c>
      <c r="BF540" s="15" t="str">
        <f>HYPERLINK("http://dx.doi.org/10.1023/A:1008949407385","http://dx.doi.org/10.1023/A:1008949407385")</f>
        <v>http://dx.doi.org/10.1023/A:1008949407385</v>
      </c>
      <c r="BG540" s="14" t="s">
        <v>99</v>
      </c>
      <c r="BH540" s="14" t="s">
        <v>99</v>
      </c>
      <c r="BI540" s="14">
        <v>17.0</v>
      </c>
      <c r="BJ540" s="14" t="s">
        <v>351</v>
      </c>
      <c r="BK540" s="14" t="s">
        <v>122</v>
      </c>
      <c r="BL540" s="14" t="s">
        <v>352</v>
      </c>
      <c r="BM540" s="14" t="s">
        <v>10002</v>
      </c>
      <c r="BN540" s="14" t="s">
        <v>99</v>
      </c>
      <c r="BO540" s="14" t="s">
        <v>99</v>
      </c>
      <c r="BP540" s="14" t="s">
        <v>99</v>
      </c>
      <c r="BQ540" s="14" t="s">
        <v>99</v>
      </c>
      <c r="BR540" s="14" t="s">
        <v>124</v>
      </c>
      <c r="BS540" s="14" t="s">
        <v>10003</v>
      </c>
      <c r="BT540" s="14" t="str">
        <f>HYPERLINK("https%3A%2F%2Fwww.webofscience.com%2Fwos%2Fwoscc%2Ffull-record%2FWOS:000083412800004","View Full Record in Web of Science")</f>
        <v>View Full Record in Web of Science</v>
      </c>
    </row>
    <row r="541" ht="12.75" customHeight="1">
      <c r="A541" s="14" t="s">
        <v>97</v>
      </c>
      <c r="B541" s="14" t="s">
        <v>10004</v>
      </c>
      <c r="C541" s="14" t="s">
        <v>99</v>
      </c>
      <c r="D541" s="14" t="s">
        <v>99</v>
      </c>
      <c r="E541" s="14" t="s">
        <v>99</v>
      </c>
      <c r="F541" s="14" t="s">
        <v>10004</v>
      </c>
      <c r="G541" s="14" t="s">
        <v>99</v>
      </c>
      <c r="H541" s="14" t="s">
        <v>99</v>
      </c>
      <c r="I541" s="14" t="s">
        <v>10005</v>
      </c>
      <c r="J541" s="14" t="s">
        <v>8468</v>
      </c>
      <c r="K541" s="14" t="s">
        <v>99</v>
      </c>
      <c r="L541" s="14" t="s">
        <v>99</v>
      </c>
      <c r="M541" s="14" t="s">
        <v>103</v>
      </c>
      <c r="N541" s="14" t="s">
        <v>104</v>
      </c>
      <c r="O541" s="14" t="s">
        <v>99</v>
      </c>
      <c r="P541" s="14" t="s">
        <v>99</v>
      </c>
      <c r="Q541" s="14" t="s">
        <v>99</v>
      </c>
      <c r="R541" s="14" t="s">
        <v>99</v>
      </c>
      <c r="S541" s="14" t="s">
        <v>99</v>
      </c>
      <c r="T541" s="14" t="s">
        <v>10006</v>
      </c>
      <c r="U541" s="14" t="s">
        <v>10007</v>
      </c>
      <c r="V541" s="14" t="s">
        <v>10008</v>
      </c>
      <c r="W541" s="14" t="s">
        <v>10009</v>
      </c>
      <c r="X541" s="14" t="s">
        <v>10010</v>
      </c>
      <c r="Y541" s="14" t="s">
        <v>10011</v>
      </c>
      <c r="Z541" s="14" t="s">
        <v>99</v>
      </c>
      <c r="AA541" s="14" t="s">
        <v>10012</v>
      </c>
      <c r="AB541" s="14" t="s">
        <v>10013</v>
      </c>
      <c r="AC541" s="14" t="s">
        <v>99</v>
      </c>
      <c r="AD541" s="14" t="s">
        <v>99</v>
      </c>
      <c r="AE541" s="14" t="s">
        <v>99</v>
      </c>
      <c r="AF541" s="14" t="s">
        <v>99</v>
      </c>
      <c r="AG541" s="14">
        <v>51.0</v>
      </c>
      <c r="AH541" s="14">
        <v>87.0</v>
      </c>
      <c r="AI541" s="14">
        <v>109.0</v>
      </c>
      <c r="AJ541" s="14">
        <v>2.0</v>
      </c>
      <c r="AK541" s="14">
        <v>72.0</v>
      </c>
      <c r="AL541" s="14" t="s">
        <v>467</v>
      </c>
      <c r="AM541" s="14" t="s">
        <v>468</v>
      </c>
      <c r="AN541" s="14" t="s">
        <v>469</v>
      </c>
      <c r="AO541" s="14" t="s">
        <v>8477</v>
      </c>
      <c r="AP541" s="14" t="s">
        <v>99</v>
      </c>
      <c r="AQ541" s="14" t="s">
        <v>99</v>
      </c>
      <c r="AR541" s="14" t="s">
        <v>8478</v>
      </c>
      <c r="AS541" s="14" t="s">
        <v>8479</v>
      </c>
      <c r="AT541" s="14" t="s">
        <v>2372</v>
      </c>
      <c r="AU541" s="14">
        <v>1999.0</v>
      </c>
      <c r="AV541" s="14">
        <v>31.0</v>
      </c>
      <c r="AW541" s="14">
        <v>12.0</v>
      </c>
      <c r="AX541" s="14" t="s">
        <v>99</v>
      </c>
      <c r="AY541" s="14" t="s">
        <v>99</v>
      </c>
      <c r="AZ541" s="14" t="s">
        <v>99</v>
      </c>
      <c r="BA541" s="14" t="s">
        <v>99</v>
      </c>
      <c r="BB541" s="14">
        <v>1691.0</v>
      </c>
      <c r="BC541" s="14">
        <v>1706.0</v>
      </c>
      <c r="BD541" s="14" t="s">
        <v>99</v>
      </c>
      <c r="BE541" s="14" t="s">
        <v>10014</v>
      </c>
      <c r="BF541" s="15" t="str">
        <f>HYPERLINK("http://dx.doi.org/10.1016/S0038-0717(99)00089-9","http://dx.doi.org/10.1016/S0038-0717(99)00089-9")</f>
        <v>http://dx.doi.org/10.1016/S0038-0717(99)00089-9</v>
      </c>
      <c r="BG541" s="14" t="s">
        <v>99</v>
      </c>
      <c r="BH541" s="14" t="s">
        <v>99</v>
      </c>
      <c r="BI541" s="14">
        <v>16.0</v>
      </c>
      <c r="BJ541" s="14" t="s">
        <v>6815</v>
      </c>
      <c r="BK541" s="14" t="s">
        <v>122</v>
      </c>
      <c r="BL541" s="14" t="s">
        <v>2969</v>
      </c>
      <c r="BM541" s="14" t="s">
        <v>10015</v>
      </c>
      <c r="BN541" s="14" t="s">
        <v>99</v>
      </c>
      <c r="BO541" s="14" t="s">
        <v>99</v>
      </c>
      <c r="BP541" s="14" t="s">
        <v>99</v>
      </c>
      <c r="BQ541" s="14" t="s">
        <v>99</v>
      </c>
      <c r="BR541" s="14" t="s">
        <v>124</v>
      </c>
      <c r="BS541" s="14" t="s">
        <v>10016</v>
      </c>
      <c r="BT541" s="14" t="str">
        <f>HYPERLINK("https%3A%2F%2Fwww.webofscience.com%2Fwos%2Fwoscc%2Ffull-record%2FWOS:000082491400009","View Full Record in Web of Science")</f>
        <v>View Full Record in Web of Science</v>
      </c>
    </row>
    <row r="542" ht="12.75" customHeight="1">
      <c r="A542" s="14" t="s">
        <v>97</v>
      </c>
      <c r="B542" s="14" t="s">
        <v>9728</v>
      </c>
      <c r="C542" s="14" t="s">
        <v>99</v>
      </c>
      <c r="D542" s="14" t="s">
        <v>99</v>
      </c>
      <c r="E542" s="14" t="s">
        <v>99</v>
      </c>
      <c r="F542" s="14" t="s">
        <v>9728</v>
      </c>
      <c r="G542" s="14" t="s">
        <v>99</v>
      </c>
      <c r="H542" s="14" t="s">
        <v>99</v>
      </c>
      <c r="I542" s="14" t="s">
        <v>10017</v>
      </c>
      <c r="J542" s="14" t="s">
        <v>10018</v>
      </c>
      <c r="K542" s="14" t="s">
        <v>99</v>
      </c>
      <c r="L542" s="14" t="s">
        <v>99</v>
      </c>
      <c r="M542" s="14" t="s">
        <v>103</v>
      </c>
      <c r="N542" s="14" t="s">
        <v>104</v>
      </c>
      <c r="O542" s="14" t="s">
        <v>99</v>
      </c>
      <c r="P542" s="14" t="s">
        <v>99</v>
      </c>
      <c r="Q542" s="14" t="s">
        <v>99</v>
      </c>
      <c r="R542" s="14" t="s">
        <v>99</v>
      </c>
      <c r="S542" s="14" t="s">
        <v>99</v>
      </c>
      <c r="T542" s="14" t="s">
        <v>10019</v>
      </c>
      <c r="U542" s="14" t="s">
        <v>10020</v>
      </c>
      <c r="V542" s="14" t="s">
        <v>10021</v>
      </c>
      <c r="W542" s="14" t="s">
        <v>10022</v>
      </c>
      <c r="X542" s="14" t="s">
        <v>4839</v>
      </c>
      <c r="Y542" s="14" t="s">
        <v>10023</v>
      </c>
      <c r="Z542" s="14" t="s">
        <v>99</v>
      </c>
      <c r="AA542" s="14" t="s">
        <v>99</v>
      </c>
      <c r="AB542" s="14" t="s">
        <v>99</v>
      </c>
      <c r="AC542" s="14" t="s">
        <v>99</v>
      </c>
      <c r="AD542" s="14" t="s">
        <v>99</v>
      </c>
      <c r="AE542" s="14" t="s">
        <v>99</v>
      </c>
      <c r="AF542" s="14" t="s">
        <v>99</v>
      </c>
      <c r="AG542" s="14">
        <v>39.0</v>
      </c>
      <c r="AH542" s="14">
        <v>35.0</v>
      </c>
      <c r="AI542" s="14">
        <v>40.0</v>
      </c>
      <c r="AJ542" s="14">
        <v>0.0</v>
      </c>
      <c r="AK542" s="14">
        <v>17.0</v>
      </c>
      <c r="AL542" s="14" t="s">
        <v>1033</v>
      </c>
      <c r="AM542" s="14" t="s">
        <v>442</v>
      </c>
      <c r="AN542" s="14" t="s">
        <v>1034</v>
      </c>
      <c r="AO542" s="14" t="s">
        <v>10024</v>
      </c>
      <c r="AP542" s="14" t="s">
        <v>99</v>
      </c>
      <c r="AQ542" s="14" t="s">
        <v>99</v>
      </c>
      <c r="AR542" s="14" t="s">
        <v>10025</v>
      </c>
      <c r="AS542" s="14" t="s">
        <v>10026</v>
      </c>
      <c r="AT542" s="14" t="s">
        <v>640</v>
      </c>
      <c r="AU542" s="14">
        <v>1999.0</v>
      </c>
      <c r="AV542" s="14">
        <v>50.0</v>
      </c>
      <c r="AW542" s="14" t="s">
        <v>5620</v>
      </c>
      <c r="AX542" s="14" t="s">
        <v>99</v>
      </c>
      <c r="AY542" s="14" t="s">
        <v>99</v>
      </c>
      <c r="AZ542" s="14" t="s">
        <v>99</v>
      </c>
      <c r="BA542" s="14" t="s">
        <v>99</v>
      </c>
      <c r="BB542" s="14">
        <v>283.0</v>
      </c>
      <c r="BC542" s="14">
        <v>293.0</v>
      </c>
      <c r="BD542" s="14" t="s">
        <v>99</v>
      </c>
      <c r="BE542" s="14" t="s">
        <v>10027</v>
      </c>
      <c r="BF542" s="15" t="str">
        <f>HYPERLINK("http://dx.doi.org/10.1016/S0167-1987(99)00017-3","http://dx.doi.org/10.1016/S0167-1987(99)00017-3")</f>
        <v>http://dx.doi.org/10.1016/S0167-1987(99)00017-3</v>
      </c>
      <c r="BG542" s="14" t="s">
        <v>99</v>
      </c>
      <c r="BH542" s="14" t="s">
        <v>99</v>
      </c>
      <c r="BI542" s="14">
        <v>11.0</v>
      </c>
      <c r="BJ542" s="14" t="s">
        <v>6815</v>
      </c>
      <c r="BK542" s="14" t="s">
        <v>122</v>
      </c>
      <c r="BL542" s="14" t="s">
        <v>2969</v>
      </c>
      <c r="BM542" s="14" t="s">
        <v>10028</v>
      </c>
      <c r="BN542" s="14" t="s">
        <v>99</v>
      </c>
      <c r="BO542" s="14" t="s">
        <v>99</v>
      </c>
      <c r="BP542" s="14" t="s">
        <v>99</v>
      </c>
      <c r="BQ542" s="14" t="s">
        <v>99</v>
      </c>
      <c r="BR542" s="14" t="s">
        <v>124</v>
      </c>
      <c r="BS542" s="14" t="s">
        <v>10029</v>
      </c>
      <c r="BT542" s="14" t="str">
        <f>HYPERLINK("https%3A%2F%2Fwww.webofscience.com%2Fwos%2Fwoscc%2Ffull-record%2FWOS:000080892900009","View Full Record in Web of Science")</f>
        <v>View Full Record in Web of Science</v>
      </c>
    </row>
    <row r="543" ht="12.75" customHeight="1">
      <c r="A543" s="14" t="s">
        <v>97</v>
      </c>
      <c r="B543" s="14" t="s">
        <v>10030</v>
      </c>
      <c r="C543" s="14" t="s">
        <v>99</v>
      </c>
      <c r="D543" s="14" t="s">
        <v>99</v>
      </c>
      <c r="E543" s="14" t="s">
        <v>99</v>
      </c>
      <c r="F543" s="14" t="s">
        <v>10030</v>
      </c>
      <c r="G543" s="14" t="s">
        <v>99</v>
      </c>
      <c r="H543" s="14" t="s">
        <v>99</v>
      </c>
      <c r="I543" s="14" t="s">
        <v>10031</v>
      </c>
      <c r="J543" s="14" t="s">
        <v>851</v>
      </c>
      <c r="K543" s="14" t="s">
        <v>99</v>
      </c>
      <c r="L543" s="14" t="s">
        <v>99</v>
      </c>
      <c r="M543" s="14" t="s">
        <v>103</v>
      </c>
      <c r="N543" s="14" t="s">
        <v>2284</v>
      </c>
      <c r="O543" s="14" t="s">
        <v>10032</v>
      </c>
      <c r="P543" s="14" t="s">
        <v>10033</v>
      </c>
      <c r="Q543" s="14" t="s">
        <v>10034</v>
      </c>
      <c r="R543" s="14" t="s">
        <v>10035</v>
      </c>
      <c r="S543" s="14" t="s">
        <v>10036</v>
      </c>
      <c r="T543" s="14" t="s">
        <v>10037</v>
      </c>
      <c r="U543" s="14" t="s">
        <v>10038</v>
      </c>
      <c r="V543" s="14" t="s">
        <v>10039</v>
      </c>
      <c r="W543" s="14" t="s">
        <v>10040</v>
      </c>
      <c r="X543" s="14" t="s">
        <v>10041</v>
      </c>
      <c r="Y543" s="14" t="s">
        <v>10042</v>
      </c>
      <c r="Z543" s="14" t="s">
        <v>10043</v>
      </c>
      <c r="AA543" s="14" t="s">
        <v>99</v>
      </c>
      <c r="AB543" s="14" t="s">
        <v>9766</v>
      </c>
      <c r="AC543" s="14" t="s">
        <v>99</v>
      </c>
      <c r="AD543" s="14" t="s">
        <v>99</v>
      </c>
      <c r="AE543" s="14" t="s">
        <v>99</v>
      </c>
      <c r="AF543" s="14" t="s">
        <v>99</v>
      </c>
      <c r="AG543" s="14">
        <v>45.0</v>
      </c>
      <c r="AH543" s="14">
        <v>153.0</v>
      </c>
      <c r="AI543" s="14">
        <v>191.0</v>
      </c>
      <c r="AJ543" s="14">
        <v>1.0</v>
      </c>
      <c r="AK543" s="14">
        <v>68.0</v>
      </c>
      <c r="AL543" s="14" t="s">
        <v>341</v>
      </c>
      <c r="AM543" s="14" t="s">
        <v>342</v>
      </c>
      <c r="AN543" s="14" t="s">
        <v>343</v>
      </c>
      <c r="AO543" s="14" t="s">
        <v>864</v>
      </c>
      <c r="AP543" s="14" t="s">
        <v>865</v>
      </c>
      <c r="AQ543" s="14" t="s">
        <v>99</v>
      </c>
      <c r="AR543" s="14" t="s">
        <v>866</v>
      </c>
      <c r="AS543" s="14" t="s">
        <v>867</v>
      </c>
      <c r="AT543" s="14" t="s">
        <v>10044</v>
      </c>
      <c r="AU543" s="14">
        <v>1999.0</v>
      </c>
      <c r="AV543" s="14">
        <v>8.0</v>
      </c>
      <c r="AW543" s="14" t="s">
        <v>5620</v>
      </c>
      <c r="AX543" s="14" t="s">
        <v>99</v>
      </c>
      <c r="AY543" s="14" t="s">
        <v>99</v>
      </c>
      <c r="AZ543" s="14" t="s">
        <v>99</v>
      </c>
      <c r="BA543" s="14" t="s">
        <v>99</v>
      </c>
      <c r="BB543" s="14">
        <v>191.0</v>
      </c>
      <c r="BC543" s="14">
        <v>198.0</v>
      </c>
      <c r="BD543" s="14" t="s">
        <v>99</v>
      </c>
      <c r="BE543" s="14" t="s">
        <v>10045</v>
      </c>
      <c r="BF543" s="15" t="str">
        <f>HYPERLINK("http://dx.doi.org/10.1046/j.1365-2699.1999.00123.x","http://dx.doi.org/10.1046/j.1365-2699.1999.00123.x")</f>
        <v>http://dx.doi.org/10.1046/j.1365-2699.1999.00123.x</v>
      </c>
      <c r="BG543" s="14" t="s">
        <v>99</v>
      </c>
      <c r="BH543" s="14" t="s">
        <v>99</v>
      </c>
      <c r="BI543" s="14">
        <v>8.0</v>
      </c>
      <c r="BJ543" s="14" t="s">
        <v>869</v>
      </c>
      <c r="BK543" s="14" t="s">
        <v>2311</v>
      </c>
      <c r="BL543" s="14" t="s">
        <v>870</v>
      </c>
      <c r="BM543" s="14" t="s">
        <v>10046</v>
      </c>
      <c r="BN543" s="14" t="s">
        <v>99</v>
      </c>
      <c r="BO543" s="14" t="s">
        <v>99</v>
      </c>
      <c r="BP543" s="14" t="s">
        <v>99</v>
      </c>
      <c r="BQ543" s="14" t="s">
        <v>99</v>
      </c>
      <c r="BR543" s="14" t="s">
        <v>124</v>
      </c>
      <c r="BS543" s="14" t="s">
        <v>10047</v>
      </c>
      <c r="BT543" s="14" t="str">
        <f>HYPERLINK("https%3A%2F%2Fwww.webofscience.com%2Fwos%2Fwoscc%2Ffull-record%2FWOS:000084868000003","View Full Record in Web of Science")</f>
        <v>View Full Record in Web of Science</v>
      </c>
    </row>
    <row r="544" ht="12.75" customHeight="1">
      <c r="A544" s="14" t="s">
        <v>97</v>
      </c>
      <c r="B544" s="14" t="s">
        <v>10048</v>
      </c>
      <c r="C544" s="14" t="s">
        <v>99</v>
      </c>
      <c r="D544" s="14" t="s">
        <v>99</v>
      </c>
      <c r="E544" s="14" t="s">
        <v>99</v>
      </c>
      <c r="F544" s="14" t="s">
        <v>10048</v>
      </c>
      <c r="G544" s="14" t="s">
        <v>99</v>
      </c>
      <c r="H544" s="14" t="s">
        <v>99</v>
      </c>
      <c r="I544" s="14" t="s">
        <v>10049</v>
      </c>
      <c r="J544" s="14" t="s">
        <v>2142</v>
      </c>
      <c r="K544" s="14" t="s">
        <v>99</v>
      </c>
      <c r="L544" s="14" t="s">
        <v>99</v>
      </c>
      <c r="M544" s="14" t="s">
        <v>103</v>
      </c>
      <c r="N544" s="14" t="s">
        <v>104</v>
      </c>
      <c r="O544" s="14" t="s">
        <v>99</v>
      </c>
      <c r="P544" s="14" t="s">
        <v>99</v>
      </c>
      <c r="Q544" s="14" t="s">
        <v>99</v>
      </c>
      <c r="R544" s="14" t="s">
        <v>99</v>
      </c>
      <c r="S544" s="14" t="s">
        <v>99</v>
      </c>
      <c r="T544" s="14" t="s">
        <v>99</v>
      </c>
      <c r="U544" s="14" t="s">
        <v>10050</v>
      </c>
      <c r="V544" s="14" t="s">
        <v>10051</v>
      </c>
      <c r="W544" s="14" t="s">
        <v>10052</v>
      </c>
      <c r="X544" s="14" t="s">
        <v>99</v>
      </c>
      <c r="Y544" s="14" t="s">
        <v>10053</v>
      </c>
      <c r="Z544" s="14" t="s">
        <v>99</v>
      </c>
      <c r="AA544" s="14" t="s">
        <v>99</v>
      </c>
      <c r="AB544" s="14" t="s">
        <v>99</v>
      </c>
      <c r="AC544" s="14" t="s">
        <v>99</v>
      </c>
      <c r="AD544" s="14" t="s">
        <v>99</v>
      </c>
      <c r="AE544" s="14" t="s">
        <v>99</v>
      </c>
      <c r="AF544" s="14" t="s">
        <v>99</v>
      </c>
      <c r="AG544" s="14">
        <v>21.0</v>
      </c>
      <c r="AH544" s="14">
        <v>120.0</v>
      </c>
      <c r="AI544" s="14">
        <v>148.0</v>
      </c>
      <c r="AJ544" s="14">
        <v>0.0</v>
      </c>
      <c r="AK544" s="14">
        <v>33.0</v>
      </c>
      <c r="AL544" s="14" t="s">
        <v>9973</v>
      </c>
      <c r="AM544" s="14" t="s">
        <v>6591</v>
      </c>
      <c r="AN544" s="14" t="s">
        <v>9974</v>
      </c>
      <c r="AO544" s="14" t="s">
        <v>2155</v>
      </c>
      <c r="AP544" s="14" t="s">
        <v>99</v>
      </c>
      <c r="AQ544" s="14" t="s">
        <v>99</v>
      </c>
      <c r="AR544" s="14" t="s">
        <v>2157</v>
      </c>
      <c r="AS544" s="14" t="s">
        <v>2158</v>
      </c>
      <c r="AT544" s="14" t="s">
        <v>718</v>
      </c>
      <c r="AU544" s="14">
        <v>1999.0</v>
      </c>
      <c r="AV544" s="14">
        <v>13.0</v>
      </c>
      <c r="AW544" s="14">
        <v>2.0</v>
      </c>
      <c r="AX544" s="14" t="s">
        <v>99</v>
      </c>
      <c r="AY544" s="14" t="s">
        <v>99</v>
      </c>
      <c r="AZ544" s="14" t="s">
        <v>99</v>
      </c>
      <c r="BA544" s="14" t="s">
        <v>99</v>
      </c>
      <c r="BB544" s="14">
        <v>385.0</v>
      </c>
      <c r="BC544" s="14">
        <v>396.0</v>
      </c>
      <c r="BD544" s="14" t="s">
        <v>99</v>
      </c>
      <c r="BE544" s="14" t="s">
        <v>10054</v>
      </c>
      <c r="BF544" s="15" t="str">
        <f>HYPERLINK("http://dx.doi.org/10.1046/j.1523-1739.1999.013002385.x","http://dx.doi.org/10.1046/j.1523-1739.1999.013002385.x")</f>
        <v>http://dx.doi.org/10.1046/j.1523-1739.1999.013002385.x</v>
      </c>
      <c r="BG544" s="14" t="s">
        <v>99</v>
      </c>
      <c r="BH544" s="14" t="s">
        <v>99</v>
      </c>
      <c r="BI544" s="14">
        <v>12.0</v>
      </c>
      <c r="BJ544" s="14" t="s">
        <v>351</v>
      </c>
      <c r="BK544" s="14" t="s">
        <v>122</v>
      </c>
      <c r="BL544" s="14" t="s">
        <v>352</v>
      </c>
      <c r="BM544" s="14" t="s">
        <v>10055</v>
      </c>
      <c r="BN544" s="14" t="s">
        <v>99</v>
      </c>
      <c r="BO544" s="14" t="s">
        <v>99</v>
      </c>
      <c r="BP544" s="14" t="s">
        <v>99</v>
      </c>
      <c r="BQ544" s="14" t="s">
        <v>99</v>
      </c>
      <c r="BR544" s="14" t="s">
        <v>124</v>
      </c>
      <c r="BS544" s="14" t="s">
        <v>10056</v>
      </c>
      <c r="BT544" s="14" t="str">
        <f>HYPERLINK("https%3A%2F%2Fwww.webofscience.com%2Fwos%2Fwoscc%2Ffull-record%2FWOS:000079472000022","View Full Record in Web of Science")</f>
        <v>View Full Record in Web of Science</v>
      </c>
    </row>
    <row r="545" ht="12.75" customHeight="1">
      <c r="A545" s="14" t="s">
        <v>97</v>
      </c>
      <c r="B545" s="14" t="s">
        <v>10057</v>
      </c>
      <c r="C545" s="14" t="s">
        <v>99</v>
      </c>
      <c r="D545" s="14" t="s">
        <v>99</v>
      </c>
      <c r="E545" s="14" t="s">
        <v>99</v>
      </c>
      <c r="F545" s="14" t="s">
        <v>10057</v>
      </c>
      <c r="G545" s="14" t="s">
        <v>99</v>
      </c>
      <c r="H545" s="14" t="s">
        <v>99</v>
      </c>
      <c r="I545" s="14" t="s">
        <v>10058</v>
      </c>
      <c r="J545" s="14" t="s">
        <v>2357</v>
      </c>
      <c r="K545" s="14" t="s">
        <v>99</v>
      </c>
      <c r="L545" s="14" t="s">
        <v>99</v>
      </c>
      <c r="M545" s="14" t="s">
        <v>103</v>
      </c>
      <c r="N545" s="14" t="s">
        <v>104</v>
      </c>
      <c r="O545" s="14" t="s">
        <v>99</v>
      </c>
      <c r="P545" s="14" t="s">
        <v>99</v>
      </c>
      <c r="Q545" s="14" t="s">
        <v>99</v>
      </c>
      <c r="R545" s="14" t="s">
        <v>99</v>
      </c>
      <c r="S545" s="14" t="s">
        <v>99</v>
      </c>
      <c r="T545" s="14" t="s">
        <v>99</v>
      </c>
      <c r="U545" s="14" t="s">
        <v>10059</v>
      </c>
      <c r="V545" s="14" t="s">
        <v>10060</v>
      </c>
      <c r="W545" s="14" t="s">
        <v>10061</v>
      </c>
      <c r="X545" s="14" t="s">
        <v>10062</v>
      </c>
      <c r="Y545" s="14" t="s">
        <v>10063</v>
      </c>
      <c r="Z545" s="14" t="s">
        <v>99</v>
      </c>
      <c r="AA545" s="14" t="s">
        <v>99</v>
      </c>
      <c r="AB545" s="14" t="s">
        <v>99</v>
      </c>
      <c r="AC545" s="14" t="s">
        <v>99</v>
      </c>
      <c r="AD545" s="14" t="s">
        <v>99</v>
      </c>
      <c r="AE545" s="14" t="s">
        <v>99</v>
      </c>
      <c r="AF545" s="14" t="s">
        <v>99</v>
      </c>
      <c r="AG545" s="14">
        <v>71.0</v>
      </c>
      <c r="AH545" s="14">
        <v>54.0</v>
      </c>
      <c r="AI545" s="14">
        <v>60.0</v>
      </c>
      <c r="AJ545" s="14">
        <v>0.0</v>
      </c>
      <c r="AK545" s="14">
        <v>11.0</v>
      </c>
      <c r="AL545" s="14" t="s">
        <v>9352</v>
      </c>
      <c r="AM545" s="14" t="s">
        <v>1732</v>
      </c>
      <c r="AN545" s="14" t="s">
        <v>9822</v>
      </c>
      <c r="AO545" s="14" t="s">
        <v>2369</v>
      </c>
      <c r="AP545" s="14" t="s">
        <v>99</v>
      </c>
      <c r="AQ545" s="14" t="s">
        <v>99</v>
      </c>
      <c r="AR545" s="14" t="s">
        <v>2357</v>
      </c>
      <c r="AS545" s="14" t="s">
        <v>2371</v>
      </c>
      <c r="AT545" s="14" t="s">
        <v>280</v>
      </c>
      <c r="AU545" s="14">
        <v>1999.0</v>
      </c>
      <c r="AV545" s="14">
        <v>41.0</v>
      </c>
      <c r="AW545" s="14">
        <v>2.0</v>
      </c>
      <c r="AX545" s="14" t="s">
        <v>99</v>
      </c>
      <c r="AY545" s="14" t="s">
        <v>99</v>
      </c>
      <c r="AZ545" s="14" t="s">
        <v>99</v>
      </c>
      <c r="BA545" s="14" t="s">
        <v>99</v>
      </c>
      <c r="BB545" s="14">
        <v>213.0</v>
      </c>
      <c r="BC545" s="14">
        <v>248.0</v>
      </c>
      <c r="BD545" s="14" t="s">
        <v>99</v>
      </c>
      <c r="BE545" s="14" t="s">
        <v>10064</v>
      </c>
      <c r="BF545" s="15" t="str">
        <f>HYPERLINK("http://dx.doi.org/10.1023/A:1005483507351","http://dx.doi.org/10.1023/A:1005483507351")</f>
        <v>http://dx.doi.org/10.1023/A:1005483507351</v>
      </c>
      <c r="BG545" s="14" t="s">
        <v>99</v>
      </c>
      <c r="BH545" s="14" t="s">
        <v>99</v>
      </c>
      <c r="BI545" s="14">
        <v>36.0</v>
      </c>
      <c r="BJ545" s="14" t="s">
        <v>573</v>
      </c>
      <c r="BK545" s="14" t="s">
        <v>122</v>
      </c>
      <c r="BL545" s="14" t="s">
        <v>574</v>
      </c>
      <c r="BM545" s="14" t="s">
        <v>10065</v>
      </c>
      <c r="BN545" s="14" t="s">
        <v>99</v>
      </c>
      <c r="BO545" s="14" t="s">
        <v>99</v>
      </c>
      <c r="BP545" s="14" t="s">
        <v>99</v>
      </c>
      <c r="BQ545" s="14" t="s">
        <v>99</v>
      </c>
      <c r="BR545" s="14" t="s">
        <v>124</v>
      </c>
      <c r="BS545" s="14" t="s">
        <v>10066</v>
      </c>
      <c r="BT545" s="14" t="str">
        <f>HYPERLINK("https%3A%2F%2Fwww.webofscience.com%2Fwos%2Fwoscc%2Ffull-record%2FWOS:000078751700005","View Full Record in Web of Science")</f>
        <v>View Full Record in Web of Science</v>
      </c>
    </row>
    <row r="546" ht="12.75" customHeight="1">
      <c r="A546" s="14" t="s">
        <v>97</v>
      </c>
      <c r="B546" s="14" t="s">
        <v>10067</v>
      </c>
      <c r="C546" s="14" t="s">
        <v>99</v>
      </c>
      <c r="D546" s="14" t="s">
        <v>99</v>
      </c>
      <c r="E546" s="14" t="s">
        <v>99</v>
      </c>
      <c r="F546" s="14" t="s">
        <v>10067</v>
      </c>
      <c r="G546" s="14" t="s">
        <v>99</v>
      </c>
      <c r="H546" s="14" t="s">
        <v>99</v>
      </c>
      <c r="I546" s="14" t="s">
        <v>10068</v>
      </c>
      <c r="J546" s="14" t="s">
        <v>10069</v>
      </c>
      <c r="K546" s="14" t="s">
        <v>99</v>
      </c>
      <c r="L546" s="14" t="s">
        <v>99</v>
      </c>
      <c r="M546" s="14" t="s">
        <v>103</v>
      </c>
      <c r="N546" s="14" t="s">
        <v>104</v>
      </c>
      <c r="O546" s="14" t="s">
        <v>99</v>
      </c>
      <c r="P546" s="14" t="s">
        <v>99</v>
      </c>
      <c r="Q546" s="14" t="s">
        <v>99</v>
      </c>
      <c r="R546" s="14" t="s">
        <v>99</v>
      </c>
      <c r="S546" s="14" t="s">
        <v>99</v>
      </c>
      <c r="T546" s="14" t="s">
        <v>10070</v>
      </c>
      <c r="U546" s="14" t="s">
        <v>10071</v>
      </c>
      <c r="V546" s="14" t="s">
        <v>10072</v>
      </c>
      <c r="W546" s="14" t="s">
        <v>10073</v>
      </c>
      <c r="X546" s="14" t="s">
        <v>4231</v>
      </c>
      <c r="Y546" s="14" t="s">
        <v>10074</v>
      </c>
      <c r="Z546" s="14" t="s">
        <v>99</v>
      </c>
      <c r="AA546" s="14" t="s">
        <v>99</v>
      </c>
      <c r="AB546" s="14" t="s">
        <v>99</v>
      </c>
      <c r="AC546" s="14" t="s">
        <v>99</v>
      </c>
      <c r="AD546" s="14" t="s">
        <v>99</v>
      </c>
      <c r="AE546" s="14" t="s">
        <v>99</v>
      </c>
      <c r="AF546" s="14" t="s">
        <v>99</v>
      </c>
      <c r="AG546" s="14">
        <v>19.0</v>
      </c>
      <c r="AH546" s="14">
        <v>32.0</v>
      </c>
      <c r="AI546" s="14">
        <v>38.0</v>
      </c>
      <c r="AJ546" s="14">
        <v>0.0</v>
      </c>
      <c r="AK546" s="14">
        <v>8.0</v>
      </c>
      <c r="AL546" s="14" t="s">
        <v>10075</v>
      </c>
      <c r="AM546" s="14" t="s">
        <v>9737</v>
      </c>
      <c r="AN546" s="14" t="s">
        <v>10076</v>
      </c>
      <c r="AO546" s="14" t="s">
        <v>10077</v>
      </c>
      <c r="AP546" s="14" t="s">
        <v>99</v>
      </c>
      <c r="AQ546" s="14" t="s">
        <v>99</v>
      </c>
      <c r="AR546" s="14" t="s">
        <v>10069</v>
      </c>
      <c r="AS546" s="14" t="s">
        <v>10078</v>
      </c>
      <c r="AT546" s="14" t="s">
        <v>280</v>
      </c>
      <c r="AU546" s="14">
        <v>1999.0</v>
      </c>
      <c r="AV546" s="14">
        <v>101.0</v>
      </c>
      <c r="AW546" s="14">
        <v>1.0</v>
      </c>
      <c r="AX546" s="14" t="s">
        <v>99</v>
      </c>
      <c r="AY546" s="14" t="s">
        <v>99</v>
      </c>
      <c r="AZ546" s="14" t="s">
        <v>99</v>
      </c>
      <c r="BA546" s="14" t="s">
        <v>99</v>
      </c>
      <c r="BB546" s="14">
        <v>14.0</v>
      </c>
      <c r="BC546" s="14">
        <v>20.0</v>
      </c>
      <c r="BD546" s="14" t="s">
        <v>99</v>
      </c>
      <c r="BE546" s="14" t="s">
        <v>10079</v>
      </c>
      <c r="BF546" s="15" t="str">
        <f>HYPERLINK("http://dx.doi.org/10.2307/1370441","http://dx.doi.org/10.2307/1370441")</f>
        <v>http://dx.doi.org/10.2307/1370441</v>
      </c>
      <c r="BG546" s="14" t="s">
        <v>99</v>
      </c>
      <c r="BH546" s="14" t="s">
        <v>99</v>
      </c>
      <c r="BI546" s="14">
        <v>7.0</v>
      </c>
      <c r="BJ546" s="14" t="s">
        <v>1183</v>
      </c>
      <c r="BK546" s="14" t="s">
        <v>122</v>
      </c>
      <c r="BL546" s="14" t="s">
        <v>121</v>
      </c>
      <c r="BM546" s="14" t="s">
        <v>10080</v>
      </c>
      <c r="BN546" s="14" t="s">
        <v>99</v>
      </c>
      <c r="BO546" s="14" t="s">
        <v>238</v>
      </c>
      <c r="BP546" s="14" t="s">
        <v>99</v>
      </c>
      <c r="BQ546" s="14" t="s">
        <v>99</v>
      </c>
      <c r="BR546" s="14" t="s">
        <v>124</v>
      </c>
      <c r="BS546" s="14" t="s">
        <v>10081</v>
      </c>
      <c r="BT546" s="14" t="str">
        <f>HYPERLINK("https%3A%2F%2Fwww.webofscience.com%2Fwos%2Fwoscc%2Ffull-record%2FWOS:000078730200002","View Full Record in Web of Science")</f>
        <v>View Full Record in Web of Science</v>
      </c>
    </row>
    <row r="547" ht="12.75" customHeight="1">
      <c r="A547" s="14" t="s">
        <v>97</v>
      </c>
      <c r="B547" s="14" t="s">
        <v>10082</v>
      </c>
      <c r="C547" s="14" t="s">
        <v>99</v>
      </c>
      <c r="D547" s="14" t="s">
        <v>99</v>
      </c>
      <c r="E547" s="14" t="s">
        <v>99</v>
      </c>
      <c r="F547" s="14" t="s">
        <v>10082</v>
      </c>
      <c r="G547" s="14" t="s">
        <v>99</v>
      </c>
      <c r="H547" s="14" t="s">
        <v>99</v>
      </c>
      <c r="I547" s="14" t="s">
        <v>10083</v>
      </c>
      <c r="J547" s="14" t="s">
        <v>430</v>
      </c>
      <c r="K547" s="14" t="s">
        <v>99</v>
      </c>
      <c r="L547" s="14" t="s">
        <v>99</v>
      </c>
      <c r="M547" s="14" t="s">
        <v>103</v>
      </c>
      <c r="N547" s="14" t="s">
        <v>104</v>
      </c>
      <c r="O547" s="14" t="s">
        <v>99</v>
      </c>
      <c r="P547" s="14" t="s">
        <v>99</v>
      </c>
      <c r="Q547" s="14" t="s">
        <v>99</v>
      </c>
      <c r="R547" s="14" t="s">
        <v>99</v>
      </c>
      <c r="S547" s="14" t="s">
        <v>99</v>
      </c>
      <c r="T547" s="14" t="s">
        <v>10084</v>
      </c>
      <c r="U547" s="14" t="s">
        <v>10085</v>
      </c>
      <c r="V547" s="14" t="s">
        <v>10086</v>
      </c>
      <c r="W547" s="14" t="s">
        <v>10087</v>
      </c>
      <c r="X547" s="14" t="s">
        <v>5828</v>
      </c>
      <c r="Y547" s="14" t="s">
        <v>10088</v>
      </c>
      <c r="Z547" s="14" t="s">
        <v>99</v>
      </c>
      <c r="AA547" s="14" t="s">
        <v>99</v>
      </c>
      <c r="AB547" s="14" t="s">
        <v>99</v>
      </c>
      <c r="AC547" s="14" t="s">
        <v>99</v>
      </c>
      <c r="AD547" s="14" t="s">
        <v>99</v>
      </c>
      <c r="AE547" s="14" t="s">
        <v>99</v>
      </c>
      <c r="AF547" s="14" t="s">
        <v>99</v>
      </c>
      <c r="AG547" s="14">
        <v>46.0</v>
      </c>
      <c r="AH547" s="14">
        <v>99.0</v>
      </c>
      <c r="AI547" s="14">
        <v>126.0</v>
      </c>
      <c r="AJ547" s="14">
        <v>3.0</v>
      </c>
      <c r="AK547" s="14">
        <v>33.0</v>
      </c>
      <c r="AL547" s="14" t="s">
        <v>1033</v>
      </c>
      <c r="AM547" s="14" t="s">
        <v>442</v>
      </c>
      <c r="AN547" s="14" t="s">
        <v>1034</v>
      </c>
      <c r="AO547" s="14" t="s">
        <v>444</v>
      </c>
      <c r="AP547" s="14" t="s">
        <v>99</v>
      </c>
      <c r="AQ547" s="14" t="s">
        <v>99</v>
      </c>
      <c r="AR547" s="14" t="s">
        <v>446</v>
      </c>
      <c r="AS547" s="14" t="s">
        <v>447</v>
      </c>
      <c r="AT547" s="14" t="s">
        <v>10089</v>
      </c>
      <c r="AU547" s="14">
        <v>1998.0</v>
      </c>
      <c r="AV547" s="14">
        <v>109.0</v>
      </c>
      <c r="AW547" s="14" t="s">
        <v>8123</v>
      </c>
      <c r="AX547" s="14" t="s">
        <v>99</v>
      </c>
      <c r="AY547" s="14" t="s">
        <v>99</v>
      </c>
      <c r="AZ547" s="14" t="s">
        <v>99</v>
      </c>
      <c r="BA547" s="14" t="s">
        <v>99</v>
      </c>
      <c r="BB547" s="14">
        <v>57.0</v>
      </c>
      <c r="BC547" s="14">
        <v>74.0</v>
      </c>
      <c r="BD547" s="14" t="s">
        <v>99</v>
      </c>
      <c r="BE547" s="14" t="s">
        <v>10090</v>
      </c>
      <c r="BF547" s="15" t="str">
        <f>HYPERLINK("http://dx.doi.org/10.1016/S0378-1127(98)00256-4","http://dx.doi.org/10.1016/S0378-1127(98)00256-4")</f>
        <v>http://dx.doi.org/10.1016/S0378-1127(98)00256-4</v>
      </c>
      <c r="BG547" s="14" t="s">
        <v>99</v>
      </c>
      <c r="BH547" s="14" t="s">
        <v>99</v>
      </c>
      <c r="BI547" s="14">
        <v>18.0</v>
      </c>
      <c r="BJ547" s="14" t="s">
        <v>281</v>
      </c>
      <c r="BK547" s="14" t="s">
        <v>122</v>
      </c>
      <c r="BL547" s="14" t="s">
        <v>281</v>
      </c>
      <c r="BM547" s="14" t="s">
        <v>10091</v>
      </c>
      <c r="BN547" s="14" t="s">
        <v>99</v>
      </c>
      <c r="BO547" s="14" t="s">
        <v>99</v>
      </c>
      <c r="BP547" s="14" t="s">
        <v>99</v>
      </c>
      <c r="BQ547" s="14" t="s">
        <v>99</v>
      </c>
      <c r="BR547" s="14" t="s">
        <v>124</v>
      </c>
      <c r="BS547" s="14" t="s">
        <v>10092</v>
      </c>
      <c r="BT547" s="14" t="str">
        <f>HYPERLINK("https%3A%2F%2Fwww.webofscience.com%2Fwos%2Fwoscc%2Ffull-record%2FWOS:000076592300006","View Full Record in Web of Science")</f>
        <v>View Full Record in Web of Science</v>
      </c>
    </row>
    <row r="548" ht="12.75" customHeight="1">
      <c r="A548" s="14" t="s">
        <v>97</v>
      </c>
      <c r="B548" s="14" t="s">
        <v>10093</v>
      </c>
      <c r="C548" s="14" t="s">
        <v>99</v>
      </c>
      <c r="D548" s="14" t="s">
        <v>99</v>
      </c>
      <c r="E548" s="14" t="s">
        <v>99</v>
      </c>
      <c r="F548" s="14" t="s">
        <v>10093</v>
      </c>
      <c r="G548" s="14" t="s">
        <v>99</v>
      </c>
      <c r="H548" s="14" t="s">
        <v>99</v>
      </c>
      <c r="I548" s="14" t="s">
        <v>10094</v>
      </c>
      <c r="J548" s="14" t="s">
        <v>9030</v>
      </c>
      <c r="K548" s="14" t="s">
        <v>99</v>
      </c>
      <c r="L548" s="14" t="s">
        <v>99</v>
      </c>
      <c r="M548" s="14" t="s">
        <v>103</v>
      </c>
      <c r="N548" s="14" t="s">
        <v>104</v>
      </c>
      <c r="O548" s="14" t="s">
        <v>99</v>
      </c>
      <c r="P548" s="14" t="s">
        <v>99</v>
      </c>
      <c r="Q548" s="14" t="s">
        <v>99</v>
      </c>
      <c r="R548" s="14" t="s">
        <v>99</v>
      </c>
      <c r="S548" s="14" t="s">
        <v>99</v>
      </c>
      <c r="T548" s="14" t="s">
        <v>10095</v>
      </c>
      <c r="U548" s="14" t="s">
        <v>10096</v>
      </c>
      <c r="V548" s="14" t="s">
        <v>10097</v>
      </c>
      <c r="W548" s="14" t="s">
        <v>10098</v>
      </c>
      <c r="X548" s="14" t="s">
        <v>10099</v>
      </c>
      <c r="Y548" s="14" t="s">
        <v>10100</v>
      </c>
      <c r="Z548" s="14" t="s">
        <v>10101</v>
      </c>
      <c r="AA548" s="14" t="s">
        <v>99</v>
      </c>
      <c r="AB548" s="14" t="s">
        <v>99</v>
      </c>
      <c r="AC548" s="14" t="s">
        <v>99</v>
      </c>
      <c r="AD548" s="14" t="s">
        <v>99</v>
      </c>
      <c r="AE548" s="14" t="s">
        <v>99</v>
      </c>
      <c r="AF548" s="14" t="s">
        <v>99</v>
      </c>
      <c r="AG548" s="14">
        <v>46.0</v>
      </c>
      <c r="AH548" s="14">
        <v>17.0</v>
      </c>
      <c r="AI548" s="14">
        <v>22.0</v>
      </c>
      <c r="AJ548" s="14">
        <v>0.0</v>
      </c>
      <c r="AK548" s="14">
        <v>6.0</v>
      </c>
      <c r="AL548" s="14" t="s">
        <v>1593</v>
      </c>
      <c r="AM548" s="14" t="s">
        <v>1594</v>
      </c>
      <c r="AN548" s="14" t="s">
        <v>1595</v>
      </c>
      <c r="AO548" s="14" t="s">
        <v>9038</v>
      </c>
      <c r="AP548" s="14" t="s">
        <v>99</v>
      </c>
      <c r="AQ548" s="14" t="s">
        <v>99</v>
      </c>
      <c r="AR548" s="14" t="s">
        <v>9040</v>
      </c>
      <c r="AS548" s="14" t="s">
        <v>9041</v>
      </c>
      <c r="AT548" s="14" t="s">
        <v>421</v>
      </c>
      <c r="AU548" s="14">
        <v>1998.0</v>
      </c>
      <c r="AV548" s="14">
        <v>14.0</v>
      </c>
      <c r="AW548" s="14" t="s">
        <v>99</v>
      </c>
      <c r="AX548" s="14">
        <v>5.0</v>
      </c>
      <c r="AY548" s="14" t="s">
        <v>99</v>
      </c>
      <c r="AZ548" s="14" t="s">
        <v>99</v>
      </c>
      <c r="BA548" s="14" t="s">
        <v>99</v>
      </c>
      <c r="BB548" s="14">
        <v>629.0</v>
      </c>
      <c r="BC548" s="14">
        <v>643.0</v>
      </c>
      <c r="BD548" s="14" t="s">
        <v>99</v>
      </c>
      <c r="BE548" s="14" t="s">
        <v>10102</v>
      </c>
      <c r="BF548" s="15" t="str">
        <f>HYPERLINK("http://dx.doi.org/10.1017/S0266467498000443","http://dx.doi.org/10.1017/S0266467498000443")</f>
        <v>http://dx.doi.org/10.1017/S0266467498000443</v>
      </c>
      <c r="BG548" s="14" t="s">
        <v>99</v>
      </c>
      <c r="BH548" s="14" t="s">
        <v>99</v>
      </c>
      <c r="BI548" s="14">
        <v>15.0</v>
      </c>
      <c r="BJ548" s="14" t="s">
        <v>259</v>
      </c>
      <c r="BK548" s="14" t="s">
        <v>122</v>
      </c>
      <c r="BL548" s="14" t="s">
        <v>260</v>
      </c>
      <c r="BM548" s="14" t="s">
        <v>10103</v>
      </c>
      <c r="BN548" s="14" t="s">
        <v>99</v>
      </c>
      <c r="BO548" s="14" t="s">
        <v>99</v>
      </c>
      <c r="BP548" s="14" t="s">
        <v>99</v>
      </c>
      <c r="BQ548" s="14" t="s">
        <v>99</v>
      </c>
      <c r="BR548" s="14" t="s">
        <v>124</v>
      </c>
      <c r="BS548" s="14" t="s">
        <v>10104</v>
      </c>
      <c r="BT548" s="14" t="str">
        <f>HYPERLINK("https%3A%2F%2Fwww.webofscience.com%2Fwos%2Fwoscc%2Ffull-record%2FWOS:000077020100005","View Full Record in Web of Science")</f>
        <v>View Full Record in Web of Science</v>
      </c>
    </row>
    <row r="549" ht="12.75" customHeight="1">
      <c r="A549" s="14" t="s">
        <v>97</v>
      </c>
      <c r="B549" s="14" t="s">
        <v>10105</v>
      </c>
      <c r="C549" s="14" t="s">
        <v>99</v>
      </c>
      <c r="D549" s="14" t="s">
        <v>99</v>
      </c>
      <c r="E549" s="14" t="s">
        <v>99</v>
      </c>
      <c r="F549" s="14" t="s">
        <v>10105</v>
      </c>
      <c r="G549" s="14" t="s">
        <v>99</v>
      </c>
      <c r="H549" s="14" t="s">
        <v>99</v>
      </c>
      <c r="I549" s="14" t="s">
        <v>10106</v>
      </c>
      <c r="J549" s="14" t="s">
        <v>3065</v>
      </c>
      <c r="K549" s="14" t="s">
        <v>99</v>
      </c>
      <c r="L549" s="14" t="s">
        <v>99</v>
      </c>
      <c r="M549" s="14" t="s">
        <v>103</v>
      </c>
      <c r="N549" s="14" t="s">
        <v>2284</v>
      </c>
      <c r="O549" s="14" t="s">
        <v>10107</v>
      </c>
      <c r="P549" s="14" t="s">
        <v>10108</v>
      </c>
      <c r="Q549" s="14" t="s">
        <v>10109</v>
      </c>
      <c r="R549" s="14" t="s">
        <v>10110</v>
      </c>
      <c r="S549" s="14" t="s">
        <v>99</v>
      </c>
      <c r="T549" s="14" t="s">
        <v>10111</v>
      </c>
      <c r="U549" s="14" t="s">
        <v>10112</v>
      </c>
      <c r="V549" s="14" t="s">
        <v>10113</v>
      </c>
      <c r="W549" s="14" t="s">
        <v>10114</v>
      </c>
      <c r="X549" s="14" t="s">
        <v>99</v>
      </c>
      <c r="Y549" s="14" t="s">
        <v>10115</v>
      </c>
      <c r="Z549" s="14" t="s">
        <v>99</v>
      </c>
      <c r="AA549" s="14" t="s">
        <v>99</v>
      </c>
      <c r="AB549" s="14" t="s">
        <v>99</v>
      </c>
      <c r="AC549" s="14" t="s">
        <v>99</v>
      </c>
      <c r="AD549" s="14" t="s">
        <v>99</v>
      </c>
      <c r="AE549" s="14" t="s">
        <v>99</v>
      </c>
      <c r="AF549" s="14" t="s">
        <v>99</v>
      </c>
      <c r="AG549" s="14">
        <v>44.0</v>
      </c>
      <c r="AH549" s="14">
        <v>68.0</v>
      </c>
      <c r="AI549" s="14">
        <v>76.0</v>
      </c>
      <c r="AJ549" s="14">
        <v>0.0</v>
      </c>
      <c r="AK549" s="14">
        <v>7.0</v>
      </c>
      <c r="AL549" s="14" t="s">
        <v>10116</v>
      </c>
      <c r="AM549" s="14" t="s">
        <v>274</v>
      </c>
      <c r="AN549" s="14" t="s">
        <v>2074</v>
      </c>
      <c r="AO549" s="14" t="s">
        <v>3080</v>
      </c>
      <c r="AP549" s="14" t="s">
        <v>99</v>
      </c>
      <c r="AQ549" s="14" t="s">
        <v>99</v>
      </c>
      <c r="AR549" s="14" t="s">
        <v>3082</v>
      </c>
      <c r="AS549" s="14" t="s">
        <v>3083</v>
      </c>
      <c r="AT549" s="14" t="s">
        <v>474</v>
      </c>
      <c r="AU549" s="14">
        <v>1998.0</v>
      </c>
      <c r="AV549" s="14">
        <v>55.0</v>
      </c>
      <c r="AW549" s="14">
        <v>4.0</v>
      </c>
      <c r="AX549" s="14" t="s">
        <v>99</v>
      </c>
      <c r="AY549" s="14" t="s">
        <v>99</v>
      </c>
      <c r="AZ549" s="14" t="s">
        <v>99</v>
      </c>
      <c r="BA549" s="14" t="s">
        <v>99</v>
      </c>
      <c r="BB549" s="14">
        <v>818.0</v>
      </c>
      <c r="BC549" s="14">
        <v>823.0</v>
      </c>
      <c r="BD549" s="14" t="s">
        <v>99</v>
      </c>
      <c r="BE549" s="14" t="s">
        <v>10117</v>
      </c>
      <c r="BF549" s="15" t="str">
        <f>HYPERLINK("http://dx.doi.org/10.1006/jmsc.1998.0389","http://dx.doi.org/10.1006/jmsc.1998.0389")</f>
        <v>http://dx.doi.org/10.1006/jmsc.1998.0389</v>
      </c>
      <c r="BG549" s="14" t="s">
        <v>99</v>
      </c>
      <c r="BH549" s="14" t="s">
        <v>99</v>
      </c>
      <c r="BI549" s="14">
        <v>6.0</v>
      </c>
      <c r="BJ549" s="14" t="s">
        <v>3086</v>
      </c>
      <c r="BK549" s="14" t="s">
        <v>9825</v>
      </c>
      <c r="BL549" s="14" t="s">
        <v>3086</v>
      </c>
      <c r="BM549" s="14" t="s">
        <v>10118</v>
      </c>
      <c r="BN549" s="14" t="s">
        <v>99</v>
      </c>
      <c r="BO549" s="14" t="s">
        <v>238</v>
      </c>
      <c r="BP549" s="14" t="s">
        <v>99</v>
      </c>
      <c r="BQ549" s="14" t="s">
        <v>99</v>
      </c>
      <c r="BR549" s="14" t="s">
        <v>124</v>
      </c>
      <c r="BS549" s="14" t="s">
        <v>10119</v>
      </c>
      <c r="BT549" s="14" t="str">
        <f>HYPERLINK("https%3A%2F%2Fwww.webofscience.com%2Fwos%2Fwoscc%2Ffull-record%2FWOS:000076754200032","View Full Record in Web of Science")</f>
        <v>View Full Record in Web of Science</v>
      </c>
    </row>
    <row r="550" ht="12.75" customHeight="1">
      <c r="A550" s="14" t="s">
        <v>97</v>
      </c>
      <c r="B550" s="14" t="s">
        <v>10120</v>
      </c>
      <c r="C550" s="14" t="s">
        <v>99</v>
      </c>
      <c r="D550" s="14" t="s">
        <v>99</v>
      </c>
      <c r="E550" s="14" t="s">
        <v>99</v>
      </c>
      <c r="F550" s="14" t="s">
        <v>10120</v>
      </c>
      <c r="G550" s="14" t="s">
        <v>99</v>
      </c>
      <c r="H550" s="14" t="s">
        <v>99</v>
      </c>
      <c r="I550" s="14" t="s">
        <v>10121</v>
      </c>
      <c r="J550" s="14" t="s">
        <v>456</v>
      </c>
      <c r="K550" s="14" t="s">
        <v>99</v>
      </c>
      <c r="L550" s="14" t="s">
        <v>99</v>
      </c>
      <c r="M550" s="14" t="s">
        <v>103</v>
      </c>
      <c r="N550" s="14" t="s">
        <v>104</v>
      </c>
      <c r="O550" s="14" t="s">
        <v>99</v>
      </c>
      <c r="P550" s="14" t="s">
        <v>99</v>
      </c>
      <c r="Q550" s="14" t="s">
        <v>99</v>
      </c>
      <c r="R550" s="14" t="s">
        <v>99</v>
      </c>
      <c r="S550" s="14" t="s">
        <v>99</v>
      </c>
      <c r="T550" s="14" t="s">
        <v>10122</v>
      </c>
      <c r="U550" s="14" t="s">
        <v>10123</v>
      </c>
      <c r="V550" s="14" t="s">
        <v>10124</v>
      </c>
      <c r="W550" s="14" t="s">
        <v>10125</v>
      </c>
      <c r="X550" s="14" t="s">
        <v>6206</v>
      </c>
      <c r="Y550" s="14" t="s">
        <v>10126</v>
      </c>
      <c r="Z550" s="14" t="s">
        <v>10127</v>
      </c>
      <c r="AA550" s="14" t="s">
        <v>99</v>
      </c>
      <c r="AB550" s="14" t="s">
        <v>99</v>
      </c>
      <c r="AC550" s="14" t="s">
        <v>99</v>
      </c>
      <c r="AD550" s="14" t="s">
        <v>99</v>
      </c>
      <c r="AE550" s="14" t="s">
        <v>99</v>
      </c>
      <c r="AF550" s="14" t="s">
        <v>99</v>
      </c>
      <c r="AG550" s="14">
        <v>33.0</v>
      </c>
      <c r="AH550" s="14">
        <v>45.0</v>
      </c>
      <c r="AI550" s="14">
        <v>56.0</v>
      </c>
      <c r="AJ550" s="14">
        <v>0.0</v>
      </c>
      <c r="AK550" s="14">
        <v>15.0</v>
      </c>
      <c r="AL550" s="14" t="s">
        <v>467</v>
      </c>
      <c r="AM550" s="14" t="s">
        <v>468</v>
      </c>
      <c r="AN550" s="14" t="s">
        <v>469</v>
      </c>
      <c r="AO550" s="14" t="s">
        <v>470</v>
      </c>
      <c r="AP550" s="14" t="s">
        <v>471</v>
      </c>
      <c r="AQ550" s="14" t="s">
        <v>99</v>
      </c>
      <c r="AR550" s="14" t="s">
        <v>472</v>
      </c>
      <c r="AS550" s="14" t="s">
        <v>473</v>
      </c>
      <c r="AT550" s="14" t="s">
        <v>525</v>
      </c>
      <c r="AU550" s="14">
        <v>1998.0</v>
      </c>
      <c r="AV550" s="14">
        <v>36.0</v>
      </c>
      <c r="AW550" s="14">
        <v>7.0</v>
      </c>
      <c r="AX550" s="14" t="s">
        <v>99</v>
      </c>
      <c r="AY550" s="14" t="s">
        <v>99</v>
      </c>
      <c r="AZ550" s="14" t="s">
        <v>99</v>
      </c>
      <c r="BA550" s="14" t="s">
        <v>99</v>
      </c>
      <c r="BB550" s="14">
        <v>519.0</v>
      </c>
      <c r="BC550" s="14">
        <v>526.0</v>
      </c>
      <c r="BD550" s="14" t="s">
        <v>99</v>
      </c>
      <c r="BE550" s="14" t="s">
        <v>10128</v>
      </c>
      <c r="BF550" s="15" t="str">
        <f>HYPERLINK("http://dx.doi.org/10.1016/S0025-326X(98)80018-0","http://dx.doi.org/10.1016/S0025-326X(98)80018-0")</f>
        <v>http://dx.doi.org/10.1016/S0025-326X(98)80018-0</v>
      </c>
      <c r="BG550" s="14" t="s">
        <v>99</v>
      </c>
      <c r="BH550" s="14" t="s">
        <v>99</v>
      </c>
      <c r="BI550" s="14">
        <v>8.0</v>
      </c>
      <c r="BJ550" s="14" t="s">
        <v>396</v>
      </c>
      <c r="BK550" s="14" t="s">
        <v>122</v>
      </c>
      <c r="BL550" s="14" t="s">
        <v>397</v>
      </c>
      <c r="BM550" s="14" t="s">
        <v>10129</v>
      </c>
      <c r="BN550" s="14" t="s">
        <v>99</v>
      </c>
      <c r="BO550" s="14" t="s">
        <v>99</v>
      </c>
      <c r="BP550" s="14" t="s">
        <v>99</v>
      </c>
      <c r="BQ550" s="14" t="s">
        <v>99</v>
      </c>
      <c r="BR550" s="14" t="s">
        <v>124</v>
      </c>
      <c r="BS550" s="14" t="s">
        <v>10130</v>
      </c>
      <c r="BT550" s="14" t="str">
        <f>HYPERLINK("https%3A%2F%2Fwww.webofscience.com%2Fwos%2Fwoscc%2Ffull-record%2FWOS:000075376600012","View Full Record in Web of Science")</f>
        <v>View Full Record in Web of Science</v>
      </c>
    </row>
    <row r="551" ht="12.75" customHeight="1">
      <c r="A551" s="14" t="s">
        <v>97</v>
      </c>
      <c r="B551" s="14" t="s">
        <v>10131</v>
      </c>
      <c r="C551" s="14" t="s">
        <v>99</v>
      </c>
      <c r="D551" s="14" t="s">
        <v>99</v>
      </c>
      <c r="E551" s="14" t="s">
        <v>99</v>
      </c>
      <c r="F551" s="14" t="s">
        <v>10131</v>
      </c>
      <c r="G551" s="14" t="s">
        <v>99</v>
      </c>
      <c r="H551" s="14" t="s">
        <v>99</v>
      </c>
      <c r="I551" s="14" t="s">
        <v>10132</v>
      </c>
      <c r="J551" s="14" t="s">
        <v>3065</v>
      </c>
      <c r="K551" s="14" t="s">
        <v>99</v>
      </c>
      <c r="L551" s="14" t="s">
        <v>99</v>
      </c>
      <c r="M551" s="14" t="s">
        <v>103</v>
      </c>
      <c r="N551" s="14" t="s">
        <v>2284</v>
      </c>
      <c r="O551" s="14" t="s">
        <v>10133</v>
      </c>
      <c r="P551" s="14">
        <v>1996.0</v>
      </c>
      <c r="Q551" s="14" t="s">
        <v>10134</v>
      </c>
      <c r="R551" s="14" t="s">
        <v>99</v>
      </c>
      <c r="S551" s="14" t="s">
        <v>99</v>
      </c>
      <c r="T551" s="14" t="s">
        <v>10135</v>
      </c>
      <c r="U551" s="14" t="s">
        <v>10136</v>
      </c>
      <c r="V551" s="14" t="s">
        <v>10137</v>
      </c>
      <c r="W551" s="14" t="s">
        <v>10138</v>
      </c>
      <c r="X551" s="14" t="s">
        <v>6206</v>
      </c>
      <c r="Y551" s="14" t="s">
        <v>10139</v>
      </c>
      <c r="Z551" s="14" t="s">
        <v>99</v>
      </c>
      <c r="AA551" s="14" t="s">
        <v>99</v>
      </c>
      <c r="AB551" s="14" t="s">
        <v>99</v>
      </c>
      <c r="AC551" s="14" t="s">
        <v>99</v>
      </c>
      <c r="AD551" s="14" t="s">
        <v>99</v>
      </c>
      <c r="AE551" s="14" t="s">
        <v>99</v>
      </c>
      <c r="AF551" s="14" t="s">
        <v>99</v>
      </c>
      <c r="AG551" s="14">
        <v>34.0</v>
      </c>
      <c r="AH551" s="14">
        <v>58.0</v>
      </c>
      <c r="AI551" s="14">
        <v>62.0</v>
      </c>
      <c r="AJ551" s="14">
        <v>0.0</v>
      </c>
      <c r="AK551" s="14">
        <v>23.0</v>
      </c>
      <c r="AL551" s="14" t="s">
        <v>10116</v>
      </c>
      <c r="AM551" s="14" t="s">
        <v>274</v>
      </c>
      <c r="AN551" s="14" t="s">
        <v>2074</v>
      </c>
      <c r="AO551" s="14" t="s">
        <v>3080</v>
      </c>
      <c r="AP551" s="14" t="s">
        <v>99</v>
      </c>
      <c r="AQ551" s="14" t="s">
        <v>99</v>
      </c>
      <c r="AR551" s="14" t="s">
        <v>3082</v>
      </c>
      <c r="AS551" s="14" t="s">
        <v>3083</v>
      </c>
      <c r="AT551" s="14" t="s">
        <v>616</v>
      </c>
      <c r="AU551" s="14">
        <v>1998.0</v>
      </c>
      <c r="AV551" s="14">
        <v>55.0</v>
      </c>
      <c r="AW551" s="14">
        <v>3.0</v>
      </c>
      <c r="AX551" s="14" t="s">
        <v>99</v>
      </c>
      <c r="AY551" s="14" t="s">
        <v>99</v>
      </c>
      <c r="AZ551" s="14" t="s">
        <v>99</v>
      </c>
      <c r="BA551" s="14" t="s">
        <v>99</v>
      </c>
      <c r="BB551" s="14">
        <v>342.0</v>
      </c>
      <c r="BC551" s="14">
        <v>352.0</v>
      </c>
      <c r="BD551" s="14" t="s">
        <v>99</v>
      </c>
      <c r="BE551" s="14" t="s">
        <v>10140</v>
      </c>
      <c r="BF551" s="15" t="str">
        <f>HYPERLINK("http://dx.doi.org/10.1006/jmsc.1997.0321","http://dx.doi.org/10.1006/jmsc.1997.0321")</f>
        <v>http://dx.doi.org/10.1006/jmsc.1997.0321</v>
      </c>
      <c r="BG551" s="14" t="s">
        <v>99</v>
      </c>
      <c r="BH551" s="14" t="s">
        <v>99</v>
      </c>
      <c r="BI551" s="14">
        <v>11.0</v>
      </c>
      <c r="BJ551" s="14" t="s">
        <v>3086</v>
      </c>
      <c r="BK551" s="14" t="s">
        <v>9825</v>
      </c>
      <c r="BL551" s="14" t="s">
        <v>3086</v>
      </c>
      <c r="BM551" s="14" t="s">
        <v>10141</v>
      </c>
      <c r="BN551" s="14" t="s">
        <v>99</v>
      </c>
      <c r="BO551" s="14" t="s">
        <v>238</v>
      </c>
      <c r="BP551" s="14" t="s">
        <v>99</v>
      </c>
      <c r="BQ551" s="14" t="s">
        <v>99</v>
      </c>
      <c r="BR551" s="14" t="s">
        <v>124</v>
      </c>
      <c r="BS551" s="14" t="s">
        <v>10142</v>
      </c>
      <c r="BT551" s="14" t="str">
        <f>HYPERLINK("https%3A%2F%2Fwww.webofscience.com%2Fwos%2Fwoscc%2Ffull-record%2FWOS:000074867800003","View Full Record in Web of Science")</f>
        <v>View Full Record in Web of Science</v>
      </c>
    </row>
    <row r="552" ht="12.75" customHeight="1">
      <c r="A552" s="14" t="s">
        <v>97</v>
      </c>
      <c r="B552" s="14" t="s">
        <v>10143</v>
      </c>
      <c r="C552" s="14" t="s">
        <v>99</v>
      </c>
      <c r="D552" s="14" t="s">
        <v>99</v>
      </c>
      <c r="E552" s="14" t="s">
        <v>99</v>
      </c>
      <c r="F552" s="14" t="s">
        <v>10143</v>
      </c>
      <c r="G552" s="14" t="s">
        <v>99</v>
      </c>
      <c r="H552" s="14" t="s">
        <v>99</v>
      </c>
      <c r="I552" s="14" t="s">
        <v>10144</v>
      </c>
      <c r="J552" s="14" t="s">
        <v>7335</v>
      </c>
      <c r="K552" s="14" t="s">
        <v>99</v>
      </c>
      <c r="L552" s="14" t="s">
        <v>99</v>
      </c>
      <c r="M552" s="14" t="s">
        <v>103</v>
      </c>
      <c r="N552" s="14" t="s">
        <v>104</v>
      </c>
      <c r="O552" s="14" t="s">
        <v>99</v>
      </c>
      <c r="P552" s="14" t="s">
        <v>99</v>
      </c>
      <c r="Q552" s="14" t="s">
        <v>99</v>
      </c>
      <c r="R552" s="14" t="s">
        <v>99</v>
      </c>
      <c r="S552" s="14" t="s">
        <v>99</v>
      </c>
      <c r="T552" s="14" t="s">
        <v>10145</v>
      </c>
      <c r="U552" s="14" t="s">
        <v>10146</v>
      </c>
      <c r="V552" s="14" t="s">
        <v>10147</v>
      </c>
      <c r="W552" s="14" t="s">
        <v>10148</v>
      </c>
      <c r="X552" s="14" t="s">
        <v>10149</v>
      </c>
      <c r="Y552" s="14" t="s">
        <v>10150</v>
      </c>
      <c r="Z552" s="14" t="s">
        <v>10151</v>
      </c>
      <c r="AA552" s="14" t="s">
        <v>10152</v>
      </c>
      <c r="AB552" s="14" t="s">
        <v>10153</v>
      </c>
      <c r="AC552" s="14" t="s">
        <v>99</v>
      </c>
      <c r="AD552" s="14" t="s">
        <v>99</v>
      </c>
      <c r="AE552" s="14" t="s">
        <v>99</v>
      </c>
      <c r="AF552" s="14" t="s">
        <v>99</v>
      </c>
      <c r="AG552" s="14">
        <v>47.0</v>
      </c>
      <c r="AH552" s="14">
        <v>63.0</v>
      </c>
      <c r="AI552" s="14">
        <v>72.0</v>
      </c>
      <c r="AJ552" s="14">
        <v>0.0</v>
      </c>
      <c r="AK552" s="14">
        <v>30.0</v>
      </c>
      <c r="AL552" s="14" t="s">
        <v>1731</v>
      </c>
      <c r="AM552" s="14" t="s">
        <v>1594</v>
      </c>
      <c r="AN552" s="14" t="s">
        <v>3585</v>
      </c>
      <c r="AO552" s="14" t="s">
        <v>7351</v>
      </c>
      <c r="AP552" s="14" t="s">
        <v>7352</v>
      </c>
      <c r="AQ552" s="14" t="s">
        <v>99</v>
      </c>
      <c r="AR552" s="14" t="s">
        <v>7353</v>
      </c>
      <c r="AS552" s="14" t="s">
        <v>7354</v>
      </c>
      <c r="AT552" s="14" t="s">
        <v>718</v>
      </c>
      <c r="AU552" s="14">
        <v>1998.0</v>
      </c>
      <c r="AV552" s="14">
        <v>19.0</v>
      </c>
      <c r="AW552" s="14">
        <v>2.0</v>
      </c>
      <c r="AX552" s="14" t="s">
        <v>99</v>
      </c>
      <c r="AY552" s="14" t="s">
        <v>99</v>
      </c>
      <c r="AZ552" s="14" t="s">
        <v>99</v>
      </c>
      <c r="BA552" s="14" t="s">
        <v>99</v>
      </c>
      <c r="BB552" s="14">
        <v>207.0</v>
      </c>
      <c r="BC552" s="14">
        <v>235.0</v>
      </c>
      <c r="BD552" s="14" t="s">
        <v>99</v>
      </c>
      <c r="BE552" s="14" t="s">
        <v>10154</v>
      </c>
      <c r="BF552" s="15" t="str">
        <f>HYPERLINK("http://dx.doi.org/10.1023/A:1020375430965","http://dx.doi.org/10.1023/A:1020375430965")</f>
        <v>http://dx.doi.org/10.1023/A:1020375430965</v>
      </c>
      <c r="BG552" s="14" t="s">
        <v>99</v>
      </c>
      <c r="BH552" s="14" t="s">
        <v>99</v>
      </c>
      <c r="BI552" s="14">
        <v>29.0</v>
      </c>
      <c r="BJ552" s="14" t="s">
        <v>121</v>
      </c>
      <c r="BK552" s="14" t="s">
        <v>122</v>
      </c>
      <c r="BL552" s="14" t="s">
        <v>121</v>
      </c>
      <c r="BM552" s="14" t="s">
        <v>10155</v>
      </c>
      <c r="BN552" s="14" t="s">
        <v>99</v>
      </c>
      <c r="BO552" s="14" t="s">
        <v>99</v>
      </c>
      <c r="BP552" s="14" t="s">
        <v>99</v>
      </c>
      <c r="BQ552" s="14" t="s">
        <v>99</v>
      </c>
      <c r="BR552" s="14" t="s">
        <v>124</v>
      </c>
      <c r="BS552" s="14" t="s">
        <v>10156</v>
      </c>
      <c r="BT552" s="14" t="str">
        <f>HYPERLINK("https%3A%2F%2Fwww.webofscience.com%2Fwos%2Fwoscc%2Ffull-record%2FWOS:000073143400002","View Full Record in Web of Science")</f>
        <v>View Full Record in Web of Science</v>
      </c>
    </row>
    <row r="553" ht="12.75" customHeight="1">
      <c r="A553" s="14" t="s">
        <v>97</v>
      </c>
      <c r="B553" s="14" t="s">
        <v>10157</v>
      </c>
      <c r="C553" s="14" t="s">
        <v>99</v>
      </c>
      <c r="D553" s="14" t="s">
        <v>99</v>
      </c>
      <c r="E553" s="14" t="s">
        <v>99</v>
      </c>
      <c r="F553" s="14" t="s">
        <v>10157</v>
      </c>
      <c r="G553" s="14" t="s">
        <v>99</v>
      </c>
      <c r="H553" s="14" t="s">
        <v>99</v>
      </c>
      <c r="I553" s="14" t="s">
        <v>10158</v>
      </c>
      <c r="J553" s="14" t="s">
        <v>1605</v>
      </c>
      <c r="K553" s="14" t="s">
        <v>99</v>
      </c>
      <c r="L553" s="14" t="s">
        <v>99</v>
      </c>
      <c r="M553" s="14" t="s">
        <v>103</v>
      </c>
      <c r="N553" s="14" t="s">
        <v>104</v>
      </c>
      <c r="O553" s="14" t="s">
        <v>99</v>
      </c>
      <c r="P553" s="14" t="s">
        <v>99</v>
      </c>
      <c r="Q553" s="14" t="s">
        <v>99</v>
      </c>
      <c r="R553" s="14" t="s">
        <v>99</v>
      </c>
      <c r="S553" s="14" t="s">
        <v>99</v>
      </c>
      <c r="T553" s="14" t="s">
        <v>10159</v>
      </c>
      <c r="U553" s="14" t="s">
        <v>10160</v>
      </c>
      <c r="V553" s="14" t="s">
        <v>10161</v>
      </c>
      <c r="W553" s="14" t="s">
        <v>10162</v>
      </c>
      <c r="X553" s="14" t="s">
        <v>10163</v>
      </c>
      <c r="Y553" s="14" t="s">
        <v>10164</v>
      </c>
      <c r="Z553" s="14" t="s">
        <v>10165</v>
      </c>
      <c r="AA553" s="14" t="s">
        <v>10166</v>
      </c>
      <c r="AB553" s="14" t="s">
        <v>10167</v>
      </c>
      <c r="AC553" s="14" t="s">
        <v>99</v>
      </c>
      <c r="AD553" s="14" t="s">
        <v>99</v>
      </c>
      <c r="AE553" s="14" t="s">
        <v>99</v>
      </c>
      <c r="AF553" s="14" t="s">
        <v>99</v>
      </c>
      <c r="AG553" s="14">
        <v>93.0</v>
      </c>
      <c r="AH553" s="14">
        <v>55.0</v>
      </c>
      <c r="AI553" s="14">
        <v>60.0</v>
      </c>
      <c r="AJ553" s="14">
        <v>1.0</v>
      </c>
      <c r="AK553" s="14">
        <v>30.0</v>
      </c>
      <c r="AL553" s="14" t="s">
        <v>1822</v>
      </c>
      <c r="AM553" s="14" t="s">
        <v>6591</v>
      </c>
      <c r="AN553" s="14" t="s">
        <v>6592</v>
      </c>
      <c r="AO553" s="14" t="s">
        <v>1618</v>
      </c>
      <c r="AP553" s="14" t="s">
        <v>99</v>
      </c>
      <c r="AQ553" s="14" t="s">
        <v>99</v>
      </c>
      <c r="AR553" s="14" t="s">
        <v>1620</v>
      </c>
      <c r="AS553" s="14" t="s">
        <v>1621</v>
      </c>
      <c r="AT553" s="14" t="s">
        <v>935</v>
      </c>
      <c r="AU553" s="14">
        <v>1998.0</v>
      </c>
      <c r="AV553" s="14">
        <v>25.0</v>
      </c>
      <c r="AW553" s="14">
        <v>1.0</v>
      </c>
      <c r="AX553" s="14" t="s">
        <v>99</v>
      </c>
      <c r="AY553" s="14" t="s">
        <v>99</v>
      </c>
      <c r="AZ553" s="14" t="s">
        <v>99</v>
      </c>
      <c r="BA553" s="14" t="s">
        <v>99</v>
      </c>
      <c r="BB553" s="14">
        <v>111.0</v>
      </c>
      <c r="BC553" s="14">
        <v>122.0</v>
      </c>
      <c r="BD553" s="14" t="s">
        <v>99</v>
      </c>
      <c r="BE553" s="14" t="s">
        <v>10168</v>
      </c>
      <c r="BF553" s="15" t="str">
        <f>HYPERLINK("http://dx.doi.org/10.1046/j.1365-2699.1998.251192.x","http://dx.doi.org/10.1046/j.1365-2699.1998.251192.x")</f>
        <v>http://dx.doi.org/10.1046/j.1365-2699.1998.251192.x</v>
      </c>
      <c r="BG553" s="14" t="s">
        <v>99</v>
      </c>
      <c r="BH553" s="14" t="s">
        <v>99</v>
      </c>
      <c r="BI553" s="14">
        <v>12.0</v>
      </c>
      <c r="BJ553" s="14" t="s">
        <v>869</v>
      </c>
      <c r="BK553" s="14" t="s">
        <v>122</v>
      </c>
      <c r="BL553" s="14" t="s">
        <v>870</v>
      </c>
      <c r="BM553" s="14" t="s">
        <v>10169</v>
      </c>
      <c r="BN553" s="14" t="s">
        <v>99</v>
      </c>
      <c r="BO553" s="14" t="s">
        <v>99</v>
      </c>
      <c r="BP553" s="14" t="s">
        <v>99</v>
      </c>
      <c r="BQ553" s="14" t="s">
        <v>99</v>
      </c>
      <c r="BR553" s="14" t="s">
        <v>124</v>
      </c>
      <c r="BS553" s="14" t="s">
        <v>10170</v>
      </c>
      <c r="BT553" s="14" t="str">
        <f>HYPERLINK("https%3A%2F%2Fwww.webofscience.com%2Fwos%2Fwoscc%2Ffull-record%2FWOS:000073382800011","View Full Record in Web of Science")</f>
        <v>View Full Record in Web of Science</v>
      </c>
    </row>
    <row r="554" ht="12.75" customHeight="1">
      <c r="A554" s="14" t="s">
        <v>97</v>
      </c>
      <c r="B554" s="14" t="s">
        <v>10171</v>
      </c>
      <c r="C554" s="14" t="s">
        <v>99</v>
      </c>
      <c r="D554" s="14" t="s">
        <v>99</v>
      </c>
      <c r="E554" s="14" t="s">
        <v>99</v>
      </c>
      <c r="F554" s="14" t="s">
        <v>10171</v>
      </c>
      <c r="G554" s="14" t="s">
        <v>99</v>
      </c>
      <c r="H554" s="14" t="s">
        <v>99</v>
      </c>
      <c r="I554" s="14" t="s">
        <v>10172</v>
      </c>
      <c r="J554" s="14" t="s">
        <v>2142</v>
      </c>
      <c r="K554" s="14" t="s">
        <v>99</v>
      </c>
      <c r="L554" s="14" t="s">
        <v>99</v>
      </c>
      <c r="M554" s="14" t="s">
        <v>103</v>
      </c>
      <c r="N554" s="14" t="s">
        <v>104</v>
      </c>
      <c r="O554" s="14" t="s">
        <v>99</v>
      </c>
      <c r="P554" s="14" t="s">
        <v>99</v>
      </c>
      <c r="Q554" s="14" t="s">
        <v>99</v>
      </c>
      <c r="R554" s="14" t="s">
        <v>99</v>
      </c>
      <c r="S554" s="14" t="s">
        <v>99</v>
      </c>
      <c r="T554" s="14" t="s">
        <v>99</v>
      </c>
      <c r="U554" s="14" t="s">
        <v>99</v>
      </c>
      <c r="V554" s="14" t="s">
        <v>10173</v>
      </c>
      <c r="W554" s="14" t="s">
        <v>10174</v>
      </c>
      <c r="X554" s="14" t="s">
        <v>99</v>
      </c>
      <c r="Y554" s="14" t="s">
        <v>10175</v>
      </c>
      <c r="Z554" s="14" t="s">
        <v>99</v>
      </c>
      <c r="AA554" s="14" t="s">
        <v>10176</v>
      </c>
      <c r="AB554" s="14" t="s">
        <v>10177</v>
      </c>
      <c r="AC554" s="14" t="s">
        <v>99</v>
      </c>
      <c r="AD554" s="14" t="s">
        <v>99</v>
      </c>
      <c r="AE554" s="14" t="s">
        <v>99</v>
      </c>
      <c r="AF554" s="14" t="s">
        <v>99</v>
      </c>
      <c r="AG554" s="14">
        <v>43.0</v>
      </c>
      <c r="AH554" s="14">
        <v>107.0</v>
      </c>
      <c r="AI554" s="14">
        <v>123.0</v>
      </c>
      <c r="AJ554" s="14">
        <v>0.0</v>
      </c>
      <c r="AK554" s="14">
        <v>23.0</v>
      </c>
      <c r="AL554" s="14" t="s">
        <v>1822</v>
      </c>
      <c r="AM554" s="14" t="s">
        <v>6591</v>
      </c>
      <c r="AN554" s="14" t="s">
        <v>6592</v>
      </c>
      <c r="AO554" s="14" t="s">
        <v>2155</v>
      </c>
      <c r="AP554" s="14" t="s">
        <v>99</v>
      </c>
      <c r="AQ554" s="14" t="s">
        <v>99</v>
      </c>
      <c r="AR554" s="14" t="s">
        <v>2157</v>
      </c>
      <c r="AS554" s="14" t="s">
        <v>2158</v>
      </c>
      <c r="AT554" s="14" t="s">
        <v>1058</v>
      </c>
      <c r="AU554" s="14">
        <v>1997.0</v>
      </c>
      <c r="AV554" s="14">
        <v>11.0</v>
      </c>
      <c r="AW554" s="14">
        <v>6.0</v>
      </c>
      <c r="AX554" s="14" t="s">
        <v>99</v>
      </c>
      <c r="AY554" s="14" t="s">
        <v>99</v>
      </c>
      <c r="AZ554" s="14" t="s">
        <v>99</v>
      </c>
      <c r="BA554" s="14" t="s">
        <v>99</v>
      </c>
      <c r="BB554" s="14">
        <v>1339.0</v>
      </c>
      <c r="BC554" s="14">
        <v>1353.0</v>
      </c>
      <c r="BD554" s="14" t="s">
        <v>99</v>
      </c>
      <c r="BE554" s="14" t="s">
        <v>10178</v>
      </c>
      <c r="BF554" s="15" t="str">
        <f>HYPERLINK("http://dx.doi.org/10.1046/j.1523-1739.1997.96048.x","http://dx.doi.org/10.1046/j.1523-1739.1997.96048.x")</f>
        <v>http://dx.doi.org/10.1046/j.1523-1739.1997.96048.x</v>
      </c>
      <c r="BG554" s="14" t="s">
        <v>99</v>
      </c>
      <c r="BH554" s="14" t="s">
        <v>99</v>
      </c>
      <c r="BI554" s="14">
        <v>15.0</v>
      </c>
      <c r="BJ554" s="14" t="s">
        <v>351</v>
      </c>
      <c r="BK554" s="14" t="s">
        <v>122</v>
      </c>
      <c r="BL554" s="14" t="s">
        <v>352</v>
      </c>
      <c r="BM554" s="14" t="s">
        <v>10179</v>
      </c>
      <c r="BN554" s="14" t="s">
        <v>99</v>
      </c>
      <c r="BO554" s="14" t="s">
        <v>99</v>
      </c>
      <c r="BP554" s="14" t="s">
        <v>99</v>
      </c>
      <c r="BQ554" s="14" t="s">
        <v>99</v>
      </c>
      <c r="BR554" s="14" t="s">
        <v>124</v>
      </c>
      <c r="BS554" s="14" t="s">
        <v>10180</v>
      </c>
      <c r="BT554" s="14" t="str">
        <f>HYPERLINK("https%3A%2F%2Fwww.webofscience.com%2Fwos%2Fwoscc%2Ffull-record%2FWOS:A1997YK80600014","View Full Record in Web of Science")</f>
        <v>View Full Record in Web of Science</v>
      </c>
    </row>
    <row r="555" ht="12.75" customHeight="1">
      <c r="A555" s="14" t="s">
        <v>97</v>
      </c>
      <c r="B555" s="14" t="s">
        <v>10181</v>
      </c>
      <c r="C555" s="14" t="s">
        <v>99</v>
      </c>
      <c r="D555" s="14" t="s">
        <v>99</v>
      </c>
      <c r="E555" s="14" t="s">
        <v>99</v>
      </c>
      <c r="F555" s="14" t="s">
        <v>10181</v>
      </c>
      <c r="G555" s="14" t="s">
        <v>99</v>
      </c>
      <c r="H555" s="14" t="s">
        <v>99</v>
      </c>
      <c r="I555" s="14" t="s">
        <v>10182</v>
      </c>
      <c r="J555" s="14" t="s">
        <v>328</v>
      </c>
      <c r="K555" s="14" t="s">
        <v>99</v>
      </c>
      <c r="L555" s="14" t="s">
        <v>99</v>
      </c>
      <c r="M555" s="14" t="s">
        <v>103</v>
      </c>
      <c r="N555" s="14" t="s">
        <v>104</v>
      </c>
      <c r="O555" s="14" t="s">
        <v>99</v>
      </c>
      <c r="P555" s="14" t="s">
        <v>99</v>
      </c>
      <c r="Q555" s="14" t="s">
        <v>99</v>
      </c>
      <c r="R555" s="14" t="s">
        <v>99</v>
      </c>
      <c r="S555" s="14" t="s">
        <v>99</v>
      </c>
      <c r="T555" s="14" t="s">
        <v>10183</v>
      </c>
      <c r="U555" s="14" t="s">
        <v>10184</v>
      </c>
      <c r="V555" s="14" t="s">
        <v>10185</v>
      </c>
      <c r="W555" s="14" t="s">
        <v>10186</v>
      </c>
      <c r="X555" s="14" t="s">
        <v>10187</v>
      </c>
      <c r="Y555" s="14" t="s">
        <v>10188</v>
      </c>
      <c r="Z555" s="14" t="s">
        <v>99</v>
      </c>
      <c r="AA555" s="14" t="s">
        <v>99</v>
      </c>
      <c r="AB555" s="14" t="s">
        <v>99</v>
      </c>
      <c r="AC555" s="14" t="s">
        <v>99</v>
      </c>
      <c r="AD555" s="14" t="s">
        <v>99</v>
      </c>
      <c r="AE555" s="14" t="s">
        <v>99</v>
      </c>
      <c r="AF555" s="14" t="s">
        <v>99</v>
      </c>
      <c r="AG555" s="14">
        <v>38.0</v>
      </c>
      <c r="AH555" s="14">
        <v>28.0</v>
      </c>
      <c r="AI555" s="14">
        <v>35.0</v>
      </c>
      <c r="AJ555" s="14">
        <v>0.0</v>
      </c>
      <c r="AK555" s="14">
        <v>44.0</v>
      </c>
      <c r="AL555" s="14" t="s">
        <v>9894</v>
      </c>
      <c r="AM555" s="14" t="s">
        <v>468</v>
      </c>
      <c r="AN555" s="14" t="s">
        <v>9895</v>
      </c>
      <c r="AO555" s="14" t="s">
        <v>344</v>
      </c>
      <c r="AP555" s="14" t="s">
        <v>99</v>
      </c>
      <c r="AQ555" s="14" t="s">
        <v>99</v>
      </c>
      <c r="AR555" s="14" t="s">
        <v>10189</v>
      </c>
      <c r="AS555" s="14" t="s">
        <v>347</v>
      </c>
      <c r="AT555" s="14" t="s">
        <v>1058</v>
      </c>
      <c r="AU555" s="14">
        <v>1997.0</v>
      </c>
      <c r="AV555" s="14">
        <v>3.0</v>
      </c>
      <c r="AW555" s="14">
        <v>6.0</v>
      </c>
      <c r="AX555" s="14" t="s">
        <v>99</v>
      </c>
      <c r="AY555" s="14" t="s">
        <v>99</v>
      </c>
      <c r="AZ555" s="14" t="s">
        <v>99</v>
      </c>
      <c r="BA555" s="14" t="s">
        <v>99</v>
      </c>
      <c r="BB555" s="14">
        <v>531.0</v>
      </c>
      <c r="BC555" s="14">
        <v>544.0</v>
      </c>
      <c r="BD555" s="14" t="s">
        <v>99</v>
      </c>
      <c r="BE555" s="14" t="s">
        <v>10190</v>
      </c>
      <c r="BF555" s="15" t="str">
        <f>HYPERLINK("http://dx.doi.org/10.1046/j.1365-2486.1997.00093.x","http://dx.doi.org/10.1046/j.1365-2486.1997.00093.x")</f>
        <v>http://dx.doi.org/10.1046/j.1365-2486.1997.00093.x</v>
      </c>
      <c r="BG555" s="14" t="s">
        <v>99</v>
      </c>
      <c r="BH555" s="14" t="s">
        <v>99</v>
      </c>
      <c r="BI555" s="14">
        <v>14.0</v>
      </c>
      <c r="BJ555" s="14" t="s">
        <v>351</v>
      </c>
      <c r="BK555" s="14" t="s">
        <v>122</v>
      </c>
      <c r="BL555" s="14" t="s">
        <v>352</v>
      </c>
      <c r="BM555" s="14" t="s">
        <v>10191</v>
      </c>
      <c r="BN555" s="14" t="s">
        <v>99</v>
      </c>
      <c r="BO555" s="14" t="s">
        <v>99</v>
      </c>
      <c r="BP555" s="14" t="s">
        <v>99</v>
      </c>
      <c r="BQ555" s="14" t="s">
        <v>99</v>
      </c>
      <c r="BR555" s="14" t="s">
        <v>124</v>
      </c>
      <c r="BS555" s="14" t="s">
        <v>10192</v>
      </c>
      <c r="BT555" s="14" t="str">
        <f>HYPERLINK("https%3A%2F%2Fwww.webofscience.com%2Fwos%2Fwoscc%2Ffull-record%2FWOS:000071220600007","View Full Record in Web of Science")</f>
        <v>View Full Record in Web of Science</v>
      </c>
    </row>
    <row r="556" ht="12.75" customHeight="1">
      <c r="A556" s="14" t="s">
        <v>97</v>
      </c>
      <c r="B556" s="14" t="s">
        <v>10193</v>
      </c>
      <c r="C556" s="14" t="s">
        <v>99</v>
      </c>
      <c r="D556" s="14" t="s">
        <v>99</v>
      </c>
      <c r="E556" s="14" t="s">
        <v>99</v>
      </c>
      <c r="F556" s="14" t="s">
        <v>10193</v>
      </c>
      <c r="G556" s="14" t="s">
        <v>99</v>
      </c>
      <c r="H556" s="14" t="s">
        <v>99</v>
      </c>
      <c r="I556" s="14" t="s">
        <v>10194</v>
      </c>
      <c r="J556" s="14" t="s">
        <v>5708</v>
      </c>
      <c r="K556" s="14" t="s">
        <v>99</v>
      </c>
      <c r="L556" s="14" t="s">
        <v>99</v>
      </c>
      <c r="M556" s="14" t="s">
        <v>103</v>
      </c>
      <c r="N556" s="14" t="s">
        <v>104</v>
      </c>
      <c r="O556" s="14" t="s">
        <v>99</v>
      </c>
      <c r="P556" s="14" t="s">
        <v>99</v>
      </c>
      <c r="Q556" s="14" t="s">
        <v>99</v>
      </c>
      <c r="R556" s="14" t="s">
        <v>99</v>
      </c>
      <c r="S556" s="14" t="s">
        <v>99</v>
      </c>
      <c r="T556" s="14" t="s">
        <v>10195</v>
      </c>
      <c r="U556" s="14" t="s">
        <v>10196</v>
      </c>
      <c r="V556" s="14" t="s">
        <v>10197</v>
      </c>
      <c r="W556" s="14" t="s">
        <v>10198</v>
      </c>
      <c r="X556" s="14" t="s">
        <v>10199</v>
      </c>
      <c r="Y556" s="14" t="s">
        <v>10150</v>
      </c>
      <c r="Z556" s="14" t="s">
        <v>99</v>
      </c>
      <c r="AA556" s="14" t="s">
        <v>10200</v>
      </c>
      <c r="AB556" s="14" t="s">
        <v>10201</v>
      </c>
      <c r="AC556" s="14" t="s">
        <v>99</v>
      </c>
      <c r="AD556" s="14" t="s">
        <v>99</v>
      </c>
      <c r="AE556" s="14" t="s">
        <v>99</v>
      </c>
      <c r="AF556" s="14" t="s">
        <v>99</v>
      </c>
      <c r="AG556" s="14">
        <v>25.0</v>
      </c>
      <c r="AH556" s="14">
        <v>32.0</v>
      </c>
      <c r="AI556" s="14">
        <v>35.0</v>
      </c>
      <c r="AJ556" s="14">
        <v>0.0</v>
      </c>
      <c r="AK556" s="14">
        <v>14.0</v>
      </c>
      <c r="AL556" s="14" t="s">
        <v>341</v>
      </c>
      <c r="AM556" s="14" t="s">
        <v>342</v>
      </c>
      <c r="AN556" s="14" t="s">
        <v>343</v>
      </c>
      <c r="AO556" s="14" t="s">
        <v>5719</v>
      </c>
      <c r="AP556" s="14" t="s">
        <v>5720</v>
      </c>
      <c r="AQ556" s="14" t="s">
        <v>99</v>
      </c>
      <c r="AR556" s="14" t="s">
        <v>5721</v>
      </c>
      <c r="AS556" s="14" t="s">
        <v>5722</v>
      </c>
      <c r="AT556" s="14" t="s">
        <v>421</v>
      </c>
      <c r="AU556" s="14">
        <v>1997.0</v>
      </c>
      <c r="AV556" s="14">
        <v>35.0</v>
      </c>
      <c r="AW556" s="14">
        <v>3.0</v>
      </c>
      <c r="AX556" s="14" t="s">
        <v>99</v>
      </c>
      <c r="AY556" s="14" t="s">
        <v>99</v>
      </c>
      <c r="AZ556" s="14" t="s">
        <v>99</v>
      </c>
      <c r="BA556" s="14" t="s">
        <v>99</v>
      </c>
      <c r="BB556" s="14">
        <v>213.0</v>
      </c>
      <c r="BC556" s="14">
        <v>223.0</v>
      </c>
      <c r="BD556" s="14" t="s">
        <v>99</v>
      </c>
      <c r="BE556" s="14" t="s">
        <v>10202</v>
      </c>
      <c r="BF556" s="15" t="str">
        <f>HYPERLINK("http://dx.doi.org/10.1111/j.1365-2028.1997.088-89088.x","http://dx.doi.org/10.1111/j.1365-2028.1997.088-89088.x")</f>
        <v>http://dx.doi.org/10.1111/j.1365-2028.1997.088-89088.x</v>
      </c>
      <c r="BG556" s="14" t="s">
        <v>99</v>
      </c>
      <c r="BH556" s="14" t="s">
        <v>99</v>
      </c>
      <c r="BI556" s="14">
        <v>11.0</v>
      </c>
      <c r="BJ556" s="14" t="s">
        <v>259</v>
      </c>
      <c r="BK556" s="14" t="s">
        <v>122</v>
      </c>
      <c r="BL556" s="14" t="s">
        <v>260</v>
      </c>
      <c r="BM556" s="14" t="s">
        <v>10203</v>
      </c>
      <c r="BN556" s="14" t="s">
        <v>99</v>
      </c>
      <c r="BO556" s="14" t="s">
        <v>99</v>
      </c>
      <c r="BP556" s="14" t="s">
        <v>99</v>
      </c>
      <c r="BQ556" s="14" t="s">
        <v>99</v>
      </c>
      <c r="BR556" s="14" t="s">
        <v>124</v>
      </c>
      <c r="BS556" s="14" t="s">
        <v>10204</v>
      </c>
      <c r="BT556" s="14" t="str">
        <f>HYPERLINK("https%3A%2F%2Fwww.webofscience.com%2Fwos%2Fwoscc%2Ffull-record%2FWOS:000072183400004","View Full Record in Web of Science")</f>
        <v>View Full Record in Web of Science</v>
      </c>
    </row>
    <row r="557" ht="12.75" customHeight="1">
      <c r="A557" s="14" t="s">
        <v>97</v>
      </c>
      <c r="B557" s="14" t="s">
        <v>10205</v>
      </c>
      <c r="C557" s="14" t="s">
        <v>99</v>
      </c>
      <c r="D557" s="14" t="s">
        <v>99</v>
      </c>
      <c r="E557" s="14" t="s">
        <v>99</v>
      </c>
      <c r="F557" s="14" t="s">
        <v>10205</v>
      </c>
      <c r="G557" s="14" t="s">
        <v>99</v>
      </c>
      <c r="H557" s="14" t="s">
        <v>99</v>
      </c>
      <c r="I557" s="14" t="s">
        <v>10206</v>
      </c>
      <c r="J557" s="14" t="s">
        <v>430</v>
      </c>
      <c r="K557" s="14" t="s">
        <v>99</v>
      </c>
      <c r="L557" s="14" t="s">
        <v>99</v>
      </c>
      <c r="M557" s="14" t="s">
        <v>103</v>
      </c>
      <c r="N557" s="14" t="s">
        <v>104</v>
      </c>
      <c r="O557" s="14" t="s">
        <v>99</v>
      </c>
      <c r="P557" s="14" t="s">
        <v>99</v>
      </c>
      <c r="Q557" s="14" t="s">
        <v>99</v>
      </c>
      <c r="R557" s="14" t="s">
        <v>99</v>
      </c>
      <c r="S557" s="14" t="s">
        <v>99</v>
      </c>
      <c r="T557" s="14" t="s">
        <v>10207</v>
      </c>
      <c r="U557" s="14" t="s">
        <v>10208</v>
      </c>
      <c r="V557" s="14" t="s">
        <v>10209</v>
      </c>
      <c r="W557" s="14" t="s">
        <v>10210</v>
      </c>
      <c r="X557" s="14" t="s">
        <v>10211</v>
      </c>
      <c r="Y557" s="14" t="s">
        <v>99</v>
      </c>
      <c r="Z557" s="14" t="s">
        <v>99</v>
      </c>
      <c r="AA557" s="14" t="s">
        <v>99</v>
      </c>
      <c r="AB557" s="14" t="s">
        <v>99</v>
      </c>
      <c r="AC557" s="14" t="s">
        <v>99</v>
      </c>
      <c r="AD557" s="14" t="s">
        <v>99</v>
      </c>
      <c r="AE557" s="14" t="s">
        <v>99</v>
      </c>
      <c r="AF557" s="14" t="s">
        <v>99</v>
      </c>
      <c r="AG557" s="14">
        <v>57.0</v>
      </c>
      <c r="AH557" s="14">
        <v>42.0</v>
      </c>
      <c r="AI557" s="14">
        <v>53.0</v>
      </c>
      <c r="AJ557" s="14">
        <v>0.0</v>
      </c>
      <c r="AK557" s="14">
        <v>18.0</v>
      </c>
      <c r="AL557" s="14" t="s">
        <v>1033</v>
      </c>
      <c r="AM557" s="14" t="s">
        <v>442</v>
      </c>
      <c r="AN557" s="14" t="s">
        <v>1034</v>
      </c>
      <c r="AO557" s="14" t="s">
        <v>444</v>
      </c>
      <c r="AP557" s="14" t="s">
        <v>99</v>
      </c>
      <c r="AQ557" s="14" t="s">
        <v>99</v>
      </c>
      <c r="AR557" s="14" t="s">
        <v>446</v>
      </c>
      <c r="AS557" s="14" t="s">
        <v>447</v>
      </c>
      <c r="AT557" s="14" t="s">
        <v>448</v>
      </c>
      <c r="AU557" s="14">
        <v>1997.0</v>
      </c>
      <c r="AV557" s="14">
        <v>96.0</v>
      </c>
      <c r="AW557" s="14" t="s">
        <v>1161</v>
      </c>
      <c r="AX557" s="14" t="s">
        <v>99</v>
      </c>
      <c r="AY557" s="14" t="s">
        <v>99</v>
      </c>
      <c r="AZ557" s="14" t="s">
        <v>99</v>
      </c>
      <c r="BA557" s="14" t="s">
        <v>99</v>
      </c>
      <c r="BB557" s="14">
        <v>27.0</v>
      </c>
      <c r="BC557" s="14">
        <v>36.0</v>
      </c>
      <c r="BD557" s="14" t="s">
        <v>99</v>
      </c>
      <c r="BE557" s="14" t="s">
        <v>10212</v>
      </c>
      <c r="BF557" s="15" t="str">
        <f>HYPERLINK("http://dx.doi.org/10.1016/S0378-1127(97)00052-2","http://dx.doi.org/10.1016/S0378-1127(97)00052-2")</f>
        <v>http://dx.doi.org/10.1016/S0378-1127(97)00052-2</v>
      </c>
      <c r="BG557" s="14" t="s">
        <v>99</v>
      </c>
      <c r="BH557" s="14" t="s">
        <v>99</v>
      </c>
      <c r="BI557" s="14">
        <v>10.0</v>
      </c>
      <c r="BJ557" s="14" t="s">
        <v>281</v>
      </c>
      <c r="BK557" s="14" t="s">
        <v>122</v>
      </c>
      <c r="BL557" s="14" t="s">
        <v>281</v>
      </c>
      <c r="BM557" s="14" t="s">
        <v>10213</v>
      </c>
      <c r="BN557" s="14" t="s">
        <v>99</v>
      </c>
      <c r="BO557" s="14" t="s">
        <v>99</v>
      </c>
      <c r="BP557" s="14" t="s">
        <v>99</v>
      </c>
      <c r="BQ557" s="14" t="s">
        <v>99</v>
      </c>
      <c r="BR557" s="14" t="s">
        <v>124</v>
      </c>
      <c r="BS557" s="14" t="s">
        <v>10214</v>
      </c>
      <c r="BT557" s="14" t="str">
        <f>HYPERLINK("https%3A%2F%2Fwww.webofscience.com%2Fwos%2Fwoscc%2Ffull-record%2FWOS:A1997XV22000003","View Full Record in Web of Science")</f>
        <v>View Full Record in Web of Science</v>
      </c>
    </row>
    <row r="558" ht="12.75" customHeight="1">
      <c r="A558" s="14" t="s">
        <v>97</v>
      </c>
      <c r="B558" s="14" t="s">
        <v>10215</v>
      </c>
      <c r="C558" s="14" t="s">
        <v>99</v>
      </c>
      <c r="D558" s="14" t="s">
        <v>99</v>
      </c>
      <c r="E558" s="14" t="s">
        <v>99</v>
      </c>
      <c r="F558" s="14" t="s">
        <v>10215</v>
      </c>
      <c r="G558" s="14" t="s">
        <v>99</v>
      </c>
      <c r="H558" s="14" t="s">
        <v>99</v>
      </c>
      <c r="I558" s="14" t="s">
        <v>10216</v>
      </c>
      <c r="J558" s="14" t="s">
        <v>10217</v>
      </c>
      <c r="K558" s="14" t="s">
        <v>99</v>
      </c>
      <c r="L558" s="14" t="s">
        <v>99</v>
      </c>
      <c r="M558" s="14" t="s">
        <v>103</v>
      </c>
      <c r="N558" s="14" t="s">
        <v>104</v>
      </c>
      <c r="O558" s="14" t="s">
        <v>99</v>
      </c>
      <c r="P558" s="14" t="s">
        <v>99</v>
      </c>
      <c r="Q558" s="14" t="s">
        <v>99</v>
      </c>
      <c r="R558" s="14" t="s">
        <v>99</v>
      </c>
      <c r="S558" s="14" t="s">
        <v>99</v>
      </c>
      <c r="T558" s="14" t="s">
        <v>10218</v>
      </c>
      <c r="U558" s="14" t="s">
        <v>10219</v>
      </c>
      <c r="V558" s="14" t="s">
        <v>10220</v>
      </c>
      <c r="W558" s="14" t="s">
        <v>10221</v>
      </c>
      <c r="X558" s="14" t="s">
        <v>10222</v>
      </c>
      <c r="Y558" s="14" t="s">
        <v>10223</v>
      </c>
      <c r="Z558" s="14" t="s">
        <v>99</v>
      </c>
      <c r="AA558" s="14" t="s">
        <v>99</v>
      </c>
      <c r="AB558" s="14" t="s">
        <v>99</v>
      </c>
      <c r="AC558" s="14" t="s">
        <v>99</v>
      </c>
      <c r="AD558" s="14" t="s">
        <v>99</v>
      </c>
      <c r="AE558" s="14" t="s">
        <v>99</v>
      </c>
      <c r="AF558" s="14" t="s">
        <v>99</v>
      </c>
      <c r="AG558" s="14">
        <v>44.0</v>
      </c>
      <c r="AH558" s="14">
        <v>182.0</v>
      </c>
      <c r="AI558" s="14">
        <v>221.0</v>
      </c>
      <c r="AJ558" s="14">
        <v>0.0</v>
      </c>
      <c r="AK558" s="14">
        <v>67.0</v>
      </c>
      <c r="AL558" s="14" t="s">
        <v>341</v>
      </c>
      <c r="AM558" s="14" t="s">
        <v>342</v>
      </c>
      <c r="AN558" s="14" t="s">
        <v>343</v>
      </c>
      <c r="AO558" s="14" t="s">
        <v>10224</v>
      </c>
      <c r="AP558" s="14" t="s">
        <v>10225</v>
      </c>
      <c r="AQ558" s="14" t="s">
        <v>99</v>
      </c>
      <c r="AR558" s="14" t="s">
        <v>10226</v>
      </c>
      <c r="AS558" s="14" t="s">
        <v>10227</v>
      </c>
      <c r="AT558" s="14" t="s">
        <v>935</v>
      </c>
      <c r="AU558" s="14">
        <v>1997.0</v>
      </c>
      <c r="AV558" s="14">
        <v>61.0</v>
      </c>
      <c r="AW558" s="14">
        <v>1.0</v>
      </c>
      <c r="AX558" s="14" t="s">
        <v>99</v>
      </c>
      <c r="AY558" s="14" t="s">
        <v>99</v>
      </c>
      <c r="AZ558" s="14" t="s">
        <v>99</v>
      </c>
      <c r="BA558" s="14" t="s">
        <v>99</v>
      </c>
      <c r="BB558" s="14">
        <v>159.0</v>
      </c>
      <c r="BC558" s="14">
        <v>171.0</v>
      </c>
      <c r="BD558" s="14" t="s">
        <v>99</v>
      </c>
      <c r="BE558" s="14" t="s">
        <v>10228</v>
      </c>
      <c r="BF558" s="15" t="str">
        <f>HYPERLINK("http://dx.doi.org/10.2307/3802425","http://dx.doi.org/10.2307/3802425")</f>
        <v>http://dx.doi.org/10.2307/3802425</v>
      </c>
      <c r="BG558" s="14" t="s">
        <v>99</v>
      </c>
      <c r="BH558" s="14" t="s">
        <v>99</v>
      </c>
      <c r="BI558" s="14">
        <v>13.0</v>
      </c>
      <c r="BJ558" s="14" t="s">
        <v>189</v>
      </c>
      <c r="BK558" s="14" t="s">
        <v>122</v>
      </c>
      <c r="BL558" s="14" t="s">
        <v>190</v>
      </c>
      <c r="BM558" s="14" t="s">
        <v>10229</v>
      </c>
      <c r="BN558" s="14" t="s">
        <v>99</v>
      </c>
      <c r="BO558" s="14" t="s">
        <v>99</v>
      </c>
      <c r="BP558" s="14" t="s">
        <v>99</v>
      </c>
      <c r="BQ558" s="14" t="s">
        <v>99</v>
      </c>
      <c r="BR558" s="14" t="s">
        <v>124</v>
      </c>
      <c r="BS558" s="14" t="s">
        <v>10230</v>
      </c>
      <c r="BT558" s="14" t="str">
        <f>HYPERLINK("https%3A%2F%2Fwww.webofscience.com%2Fwos%2Fwoscc%2Ffull-record%2FWOS:A1997WL78800017","View Full Record in Web of Science")</f>
        <v>View Full Record in Web of Science</v>
      </c>
    </row>
    <row r="559" ht="12.75" customHeight="1">
      <c r="A559" s="14" t="s">
        <v>97</v>
      </c>
      <c r="B559" s="14" t="s">
        <v>10231</v>
      </c>
      <c r="C559" s="14" t="s">
        <v>99</v>
      </c>
      <c r="D559" s="14" t="s">
        <v>99</v>
      </c>
      <c r="E559" s="14" t="s">
        <v>99</v>
      </c>
      <c r="F559" s="14" t="s">
        <v>10231</v>
      </c>
      <c r="G559" s="14" t="s">
        <v>99</v>
      </c>
      <c r="H559" s="14" t="s">
        <v>99</v>
      </c>
      <c r="I559" s="14" t="s">
        <v>10232</v>
      </c>
      <c r="J559" s="14" t="s">
        <v>3065</v>
      </c>
      <c r="K559" s="14" t="s">
        <v>99</v>
      </c>
      <c r="L559" s="14" t="s">
        <v>99</v>
      </c>
      <c r="M559" s="14" t="s">
        <v>103</v>
      </c>
      <c r="N559" s="14" t="s">
        <v>2284</v>
      </c>
      <c r="O559" s="14" t="s">
        <v>10233</v>
      </c>
      <c r="P559" s="14" t="s">
        <v>10234</v>
      </c>
      <c r="Q559" s="14" t="s">
        <v>10235</v>
      </c>
      <c r="R559" s="14" t="s">
        <v>10236</v>
      </c>
      <c r="S559" s="14" t="s">
        <v>99</v>
      </c>
      <c r="T559" s="14" t="s">
        <v>10237</v>
      </c>
      <c r="U559" s="14" t="s">
        <v>10238</v>
      </c>
      <c r="V559" s="14" t="s">
        <v>10239</v>
      </c>
      <c r="W559" s="14" t="s">
        <v>99</v>
      </c>
      <c r="X559" s="14" t="s">
        <v>99</v>
      </c>
      <c r="Y559" s="14" t="s">
        <v>10240</v>
      </c>
      <c r="Z559" s="14" t="s">
        <v>99</v>
      </c>
      <c r="AA559" s="14" t="s">
        <v>99</v>
      </c>
      <c r="AB559" s="14" t="s">
        <v>99</v>
      </c>
      <c r="AC559" s="14" t="s">
        <v>99</v>
      </c>
      <c r="AD559" s="14" t="s">
        <v>99</v>
      </c>
      <c r="AE559" s="14" t="s">
        <v>99</v>
      </c>
      <c r="AF559" s="14" t="s">
        <v>99</v>
      </c>
      <c r="AG559" s="14">
        <v>18.0</v>
      </c>
      <c r="AH559" s="14">
        <v>39.0</v>
      </c>
      <c r="AI559" s="14">
        <v>41.0</v>
      </c>
      <c r="AJ559" s="14">
        <v>0.0</v>
      </c>
      <c r="AK559" s="14">
        <v>12.0</v>
      </c>
      <c r="AL559" s="14" t="s">
        <v>3078</v>
      </c>
      <c r="AM559" s="14" t="s">
        <v>468</v>
      </c>
      <c r="AN559" s="14" t="s">
        <v>3079</v>
      </c>
      <c r="AO559" s="14" t="s">
        <v>3080</v>
      </c>
      <c r="AP559" s="14" t="s">
        <v>99</v>
      </c>
      <c r="AQ559" s="14" t="s">
        <v>99</v>
      </c>
      <c r="AR559" s="14" t="s">
        <v>3082</v>
      </c>
      <c r="AS559" s="14" t="s">
        <v>3083</v>
      </c>
      <c r="AT559" s="14" t="s">
        <v>1058</v>
      </c>
      <c r="AU559" s="14">
        <v>1996.0</v>
      </c>
      <c r="AV559" s="14">
        <v>53.0</v>
      </c>
      <c r="AW559" s="14">
        <v>6.0</v>
      </c>
      <c r="AX559" s="14" t="s">
        <v>99</v>
      </c>
      <c r="AY559" s="14" t="s">
        <v>99</v>
      </c>
      <c r="AZ559" s="14" t="s">
        <v>99</v>
      </c>
      <c r="BA559" s="14" t="s">
        <v>99</v>
      </c>
      <c r="BB559" s="14">
        <v>951.0</v>
      </c>
      <c r="BC559" s="14">
        <v>956.0</v>
      </c>
      <c r="BD559" s="14" t="s">
        <v>99</v>
      </c>
      <c r="BE559" s="14" t="s">
        <v>10241</v>
      </c>
      <c r="BF559" s="15" t="str">
        <f>HYPERLINK("http://dx.doi.org/10.1006/jmsc.1996.0117","http://dx.doi.org/10.1006/jmsc.1996.0117")</f>
        <v>http://dx.doi.org/10.1006/jmsc.1996.0117</v>
      </c>
      <c r="BG559" s="14" t="s">
        <v>99</v>
      </c>
      <c r="BH559" s="14" t="s">
        <v>99</v>
      </c>
      <c r="BI559" s="14">
        <v>6.0</v>
      </c>
      <c r="BJ559" s="14" t="s">
        <v>3086</v>
      </c>
      <c r="BK559" s="14" t="s">
        <v>2311</v>
      </c>
      <c r="BL559" s="14" t="s">
        <v>3086</v>
      </c>
      <c r="BM559" s="14" t="s">
        <v>10242</v>
      </c>
      <c r="BN559" s="14" t="s">
        <v>99</v>
      </c>
      <c r="BO559" s="14" t="s">
        <v>238</v>
      </c>
      <c r="BP559" s="14" t="s">
        <v>99</v>
      </c>
      <c r="BQ559" s="14" t="s">
        <v>99</v>
      </c>
      <c r="BR559" s="14" t="s">
        <v>124</v>
      </c>
      <c r="BS559" s="14" t="s">
        <v>10243</v>
      </c>
      <c r="BT559" s="14" t="str">
        <f>HYPERLINK("https%3A%2F%2Fwww.webofscience.com%2Fwos%2Fwoscc%2Ffull-record%2FWOS:A1996VZ68900009","View Full Record in Web of Science")</f>
        <v>View Full Record in Web of Science</v>
      </c>
    </row>
    <row r="560" ht="12.75" customHeight="1">
      <c r="A560" s="14" t="s">
        <v>97</v>
      </c>
      <c r="B560" s="14" t="s">
        <v>10244</v>
      </c>
      <c r="C560" s="14" t="s">
        <v>99</v>
      </c>
      <c r="D560" s="14" t="s">
        <v>99</v>
      </c>
      <c r="E560" s="14" t="s">
        <v>99</v>
      </c>
      <c r="F560" s="14" t="s">
        <v>10244</v>
      </c>
      <c r="G560" s="14" t="s">
        <v>99</v>
      </c>
      <c r="H560" s="14" t="s">
        <v>99</v>
      </c>
      <c r="I560" s="14" t="s">
        <v>10245</v>
      </c>
      <c r="J560" s="14" t="s">
        <v>3065</v>
      </c>
      <c r="K560" s="14" t="s">
        <v>99</v>
      </c>
      <c r="L560" s="14" t="s">
        <v>99</v>
      </c>
      <c r="M560" s="14" t="s">
        <v>103</v>
      </c>
      <c r="N560" s="14" t="s">
        <v>2284</v>
      </c>
      <c r="O560" s="14" t="s">
        <v>10233</v>
      </c>
      <c r="P560" s="14" t="s">
        <v>10234</v>
      </c>
      <c r="Q560" s="14" t="s">
        <v>10235</v>
      </c>
      <c r="R560" s="14" t="s">
        <v>10236</v>
      </c>
      <c r="S560" s="14" t="s">
        <v>99</v>
      </c>
      <c r="T560" s="14" t="s">
        <v>10246</v>
      </c>
      <c r="U560" s="14" t="s">
        <v>10247</v>
      </c>
      <c r="V560" s="14" t="s">
        <v>10248</v>
      </c>
      <c r="W560" s="14" t="s">
        <v>99</v>
      </c>
      <c r="X560" s="14" t="s">
        <v>99</v>
      </c>
      <c r="Y560" s="14" t="s">
        <v>10249</v>
      </c>
      <c r="Z560" s="14" t="s">
        <v>99</v>
      </c>
      <c r="AA560" s="14" t="s">
        <v>10250</v>
      </c>
      <c r="AB560" s="14" t="s">
        <v>10251</v>
      </c>
      <c r="AC560" s="14" t="s">
        <v>99</v>
      </c>
      <c r="AD560" s="14" t="s">
        <v>99</v>
      </c>
      <c r="AE560" s="14" t="s">
        <v>99</v>
      </c>
      <c r="AF560" s="14" t="s">
        <v>99</v>
      </c>
      <c r="AG560" s="14">
        <v>37.0</v>
      </c>
      <c r="AH560" s="14">
        <v>113.0</v>
      </c>
      <c r="AI560" s="14">
        <v>122.0</v>
      </c>
      <c r="AJ560" s="14">
        <v>0.0</v>
      </c>
      <c r="AK560" s="14">
        <v>23.0</v>
      </c>
      <c r="AL560" s="14" t="s">
        <v>10116</v>
      </c>
      <c r="AM560" s="14" t="s">
        <v>274</v>
      </c>
      <c r="AN560" s="14" t="s">
        <v>10252</v>
      </c>
      <c r="AO560" s="14" t="s">
        <v>3080</v>
      </c>
      <c r="AP560" s="14" t="s">
        <v>99</v>
      </c>
      <c r="AQ560" s="14" t="s">
        <v>99</v>
      </c>
      <c r="AR560" s="14" t="s">
        <v>3082</v>
      </c>
      <c r="AS560" s="14" t="s">
        <v>3083</v>
      </c>
      <c r="AT560" s="14" t="s">
        <v>1058</v>
      </c>
      <c r="AU560" s="14">
        <v>1996.0</v>
      </c>
      <c r="AV560" s="14">
        <v>53.0</v>
      </c>
      <c r="AW560" s="14">
        <v>6.0</v>
      </c>
      <c r="AX560" s="14" t="s">
        <v>99</v>
      </c>
      <c r="AY560" s="14" t="s">
        <v>99</v>
      </c>
      <c r="AZ560" s="14" t="s">
        <v>99</v>
      </c>
      <c r="BA560" s="14" t="s">
        <v>99</v>
      </c>
      <c r="BB560" s="14">
        <v>1199.0</v>
      </c>
      <c r="BC560" s="14">
        <v>1213.0</v>
      </c>
      <c r="BD560" s="14" t="s">
        <v>99</v>
      </c>
      <c r="BE560" s="14" t="s">
        <v>10253</v>
      </c>
      <c r="BF560" s="15" t="str">
        <f>HYPERLINK("http://dx.doi.org/10.1006/jmsc.1996.0145","http://dx.doi.org/10.1006/jmsc.1996.0145")</f>
        <v>http://dx.doi.org/10.1006/jmsc.1996.0145</v>
      </c>
      <c r="BG560" s="14" t="s">
        <v>99</v>
      </c>
      <c r="BH560" s="14" t="s">
        <v>99</v>
      </c>
      <c r="BI560" s="14">
        <v>15.0</v>
      </c>
      <c r="BJ560" s="14" t="s">
        <v>3086</v>
      </c>
      <c r="BK560" s="14" t="s">
        <v>9825</v>
      </c>
      <c r="BL560" s="14" t="s">
        <v>3086</v>
      </c>
      <c r="BM560" s="14" t="s">
        <v>10242</v>
      </c>
      <c r="BN560" s="14" t="s">
        <v>99</v>
      </c>
      <c r="BO560" s="14" t="s">
        <v>238</v>
      </c>
      <c r="BP560" s="14" t="s">
        <v>99</v>
      </c>
      <c r="BQ560" s="14" t="s">
        <v>99</v>
      </c>
      <c r="BR560" s="14" t="s">
        <v>124</v>
      </c>
      <c r="BS560" s="14" t="s">
        <v>10254</v>
      </c>
      <c r="BT560" s="14" t="str">
        <f>HYPERLINK("https%3A%2F%2Fwww.webofscience.com%2Fwos%2Fwoscc%2Ffull-record%2FWOS:A1996VZ68900037","View Full Record in Web of Science")</f>
        <v>View Full Record in Web of Science</v>
      </c>
    </row>
    <row r="561" ht="12.75" customHeight="1">
      <c r="A561" s="14" t="s">
        <v>97</v>
      </c>
      <c r="B561" s="14" t="s">
        <v>10255</v>
      </c>
      <c r="C561" s="14" t="s">
        <v>99</v>
      </c>
      <c r="D561" s="14" t="s">
        <v>99</v>
      </c>
      <c r="E561" s="14" t="s">
        <v>99</v>
      </c>
      <c r="F561" s="14" t="s">
        <v>10255</v>
      </c>
      <c r="G561" s="14" t="s">
        <v>99</v>
      </c>
      <c r="H561" s="14" t="s">
        <v>99</v>
      </c>
      <c r="I561" s="14" t="s">
        <v>10256</v>
      </c>
      <c r="J561" s="14" t="s">
        <v>10257</v>
      </c>
      <c r="K561" s="14" t="s">
        <v>99</v>
      </c>
      <c r="L561" s="14" t="s">
        <v>99</v>
      </c>
      <c r="M561" s="14" t="s">
        <v>103</v>
      </c>
      <c r="N561" s="14" t="s">
        <v>104</v>
      </c>
      <c r="O561" s="14" t="s">
        <v>99</v>
      </c>
      <c r="P561" s="14" t="s">
        <v>99</v>
      </c>
      <c r="Q561" s="14" t="s">
        <v>99</v>
      </c>
      <c r="R561" s="14" t="s">
        <v>99</v>
      </c>
      <c r="S561" s="14" t="s">
        <v>99</v>
      </c>
      <c r="T561" s="14" t="s">
        <v>10258</v>
      </c>
      <c r="U561" s="14" t="s">
        <v>10259</v>
      </c>
      <c r="V561" s="14" t="s">
        <v>10260</v>
      </c>
      <c r="W561" s="14" t="s">
        <v>99</v>
      </c>
      <c r="X561" s="14" t="s">
        <v>99</v>
      </c>
      <c r="Y561" s="14" t="s">
        <v>10261</v>
      </c>
      <c r="Z561" s="14" t="s">
        <v>99</v>
      </c>
      <c r="AA561" s="14" t="s">
        <v>10262</v>
      </c>
      <c r="AB561" s="14" t="s">
        <v>10263</v>
      </c>
      <c r="AC561" s="14" t="s">
        <v>99</v>
      </c>
      <c r="AD561" s="14" t="s">
        <v>99</v>
      </c>
      <c r="AE561" s="14" t="s">
        <v>99</v>
      </c>
      <c r="AF561" s="14" t="s">
        <v>99</v>
      </c>
      <c r="AG561" s="14">
        <v>43.0</v>
      </c>
      <c r="AH561" s="14">
        <v>4.0</v>
      </c>
      <c r="AI561" s="14">
        <v>4.0</v>
      </c>
      <c r="AJ561" s="14">
        <v>0.0</v>
      </c>
      <c r="AK561" s="14">
        <v>15.0</v>
      </c>
      <c r="AL561" s="14" t="s">
        <v>1593</v>
      </c>
      <c r="AM561" s="14" t="s">
        <v>1594</v>
      </c>
      <c r="AN561" s="14" t="s">
        <v>10264</v>
      </c>
      <c r="AO561" s="14" t="s">
        <v>10265</v>
      </c>
      <c r="AP561" s="14" t="s">
        <v>99</v>
      </c>
      <c r="AQ561" s="14" t="s">
        <v>99</v>
      </c>
      <c r="AR561" s="14" t="s">
        <v>10266</v>
      </c>
      <c r="AS561" s="14" t="s">
        <v>10267</v>
      </c>
      <c r="AT561" s="14" t="s">
        <v>421</v>
      </c>
      <c r="AU561" s="14">
        <v>1996.0</v>
      </c>
      <c r="AV561" s="14">
        <v>23.0</v>
      </c>
      <c r="AW561" s="14">
        <v>3.0</v>
      </c>
      <c r="AX561" s="14" t="s">
        <v>99</v>
      </c>
      <c r="AY561" s="14" t="s">
        <v>99</v>
      </c>
      <c r="AZ561" s="14" t="s">
        <v>99</v>
      </c>
      <c r="BA561" s="14" t="s">
        <v>99</v>
      </c>
      <c r="BB561" s="14">
        <v>198.0</v>
      </c>
      <c r="BC561" s="14">
        <v>206.0</v>
      </c>
      <c r="BD561" s="14" t="s">
        <v>99</v>
      </c>
      <c r="BE561" s="14" t="s">
        <v>10268</v>
      </c>
      <c r="BF561" s="15" t="str">
        <f>HYPERLINK("http://dx.doi.org/10.1017/S0376892900038819","http://dx.doi.org/10.1017/S0376892900038819")</f>
        <v>http://dx.doi.org/10.1017/S0376892900038819</v>
      </c>
      <c r="BG561" s="14" t="s">
        <v>99</v>
      </c>
      <c r="BH561" s="14" t="s">
        <v>99</v>
      </c>
      <c r="BI561" s="14">
        <v>9.0</v>
      </c>
      <c r="BJ561" s="14" t="s">
        <v>598</v>
      </c>
      <c r="BK561" s="14" t="s">
        <v>122</v>
      </c>
      <c r="BL561" s="14" t="s">
        <v>352</v>
      </c>
      <c r="BM561" s="14" t="s">
        <v>10269</v>
      </c>
      <c r="BN561" s="14" t="s">
        <v>99</v>
      </c>
      <c r="BO561" s="14" t="s">
        <v>99</v>
      </c>
      <c r="BP561" s="14" t="s">
        <v>99</v>
      </c>
      <c r="BQ561" s="14" t="s">
        <v>99</v>
      </c>
      <c r="BR561" s="14" t="s">
        <v>124</v>
      </c>
      <c r="BS561" s="14" t="s">
        <v>10270</v>
      </c>
      <c r="BT561" s="14" t="str">
        <f>HYPERLINK("https%3A%2F%2Fwww.webofscience.com%2Fwos%2Fwoscc%2Ffull-record%2FWOS:A1996WL65600004","View Full Record in Web of Science")</f>
        <v>View Full Record in Web of Science</v>
      </c>
    </row>
    <row r="562" ht="12.75" customHeight="1">
      <c r="A562" s="14" t="s">
        <v>97</v>
      </c>
      <c r="B562" s="14" t="s">
        <v>10271</v>
      </c>
      <c r="C562" s="14" t="s">
        <v>99</v>
      </c>
      <c r="D562" s="14" t="s">
        <v>99</v>
      </c>
      <c r="E562" s="14" t="s">
        <v>99</v>
      </c>
      <c r="F562" s="14" t="s">
        <v>10271</v>
      </c>
      <c r="G562" s="14" t="s">
        <v>99</v>
      </c>
      <c r="H562" s="14" t="s">
        <v>99</v>
      </c>
      <c r="I562" s="14" t="s">
        <v>10272</v>
      </c>
      <c r="J562" s="14" t="s">
        <v>10273</v>
      </c>
      <c r="K562" s="14" t="s">
        <v>99</v>
      </c>
      <c r="L562" s="14" t="s">
        <v>99</v>
      </c>
      <c r="M562" s="14" t="s">
        <v>103</v>
      </c>
      <c r="N562" s="14" t="s">
        <v>2284</v>
      </c>
      <c r="O562" s="14" t="s">
        <v>10274</v>
      </c>
      <c r="P562" s="14" t="s">
        <v>10275</v>
      </c>
      <c r="Q562" s="14" t="s">
        <v>10276</v>
      </c>
      <c r="R562" s="14" t="s">
        <v>10277</v>
      </c>
      <c r="S562" s="14" t="s">
        <v>99</v>
      </c>
      <c r="T562" s="14" t="s">
        <v>99</v>
      </c>
      <c r="U562" s="14" t="s">
        <v>10278</v>
      </c>
      <c r="V562" s="14" t="s">
        <v>10279</v>
      </c>
      <c r="W562" s="14" t="s">
        <v>10280</v>
      </c>
      <c r="X562" s="14" t="s">
        <v>99</v>
      </c>
      <c r="Y562" s="14" t="s">
        <v>10281</v>
      </c>
      <c r="Z562" s="14" t="s">
        <v>99</v>
      </c>
      <c r="AA562" s="14" t="s">
        <v>10282</v>
      </c>
      <c r="AB562" s="14" t="s">
        <v>10283</v>
      </c>
      <c r="AC562" s="14" t="s">
        <v>99</v>
      </c>
      <c r="AD562" s="14" t="s">
        <v>99</v>
      </c>
      <c r="AE562" s="14" t="s">
        <v>99</v>
      </c>
      <c r="AF562" s="14" t="s">
        <v>99</v>
      </c>
      <c r="AG562" s="14">
        <v>27.0</v>
      </c>
      <c r="AH562" s="14">
        <v>386.0</v>
      </c>
      <c r="AI562" s="14">
        <v>475.0</v>
      </c>
      <c r="AJ562" s="14">
        <v>0.0</v>
      </c>
      <c r="AK562" s="14">
        <v>91.0</v>
      </c>
      <c r="AL562" s="14" t="s">
        <v>10284</v>
      </c>
      <c r="AM562" s="14" t="s">
        <v>9737</v>
      </c>
      <c r="AN562" s="14" t="s">
        <v>10285</v>
      </c>
      <c r="AO562" s="14" t="s">
        <v>10286</v>
      </c>
      <c r="AP562" s="14" t="s">
        <v>99</v>
      </c>
      <c r="AQ562" s="14" t="s">
        <v>99</v>
      </c>
      <c r="AR562" s="14" t="s">
        <v>10287</v>
      </c>
      <c r="AS562" s="14" t="s">
        <v>10288</v>
      </c>
      <c r="AT562" s="14" t="s">
        <v>525</v>
      </c>
      <c r="AU562" s="14">
        <v>1996.0</v>
      </c>
      <c r="AV562" s="14">
        <v>41.0</v>
      </c>
      <c r="AW562" s="14">
        <v>5.0</v>
      </c>
      <c r="AX562" s="14" t="s">
        <v>99</v>
      </c>
      <c r="AY562" s="14" t="s">
        <v>99</v>
      </c>
      <c r="AZ562" s="14" t="s">
        <v>99</v>
      </c>
      <c r="BA562" s="14" t="s">
        <v>99</v>
      </c>
      <c r="BB562" s="14">
        <v>1109.0</v>
      </c>
      <c r="BC562" s="14">
        <v>1115.0</v>
      </c>
      <c r="BD562" s="14" t="s">
        <v>99</v>
      </c>
      <c r="BE562" s="14" t="s">
        <v>10289</v>
      </c>
      <c r="BF562" s="15" t="str">
        <f>HYPERLINK("http://dx.doi.org/10.4319/lo.1996.41.5.1109","http://dx.doi.org/10.4319/lo.1996.41.5.1109")</f>
        <v>http://dx.doi.org/10.4319/lo.1996.41.5.1109</v>
      </c>
      <c r="BG562" s="14" t="s">
        <v>99</v>
      </c>
      <c r="BH562" s="14" t="s">
        <v>99</v>
      </c>
      <c r="BI562" s="14">
        <v>7.0</v>
      </c>
      <c r="BJ562" s="14" t="s">
        <v>10290</v>
      </c>
      <c r="BK562" s="14" t="s">
        <v>9825</v>
      </c>
      <c r="BL562" s="14" t="s">
        <v>720</v>
      </c>
      <c r="BM562" s="14" t="s">
        <v>10291</v>
      </c>
      <c r="BN562" s="14" t="s">
        <v>99</v>
      </c>
      <c r="BO562" s="14" t="s">
        <v>238</v>
      </c>
      <c r="BP562" s="14" t="s">
        <v>99</v>
      </c>
      <c r="BQ562" s="14" t="s">
        <v>99</v>
      </c>
      <c r="BR562" s="14" t="s">
        <v>124</v>
      </c>
      <c r="BS562" s="14" t="s">
        <v>10292</v>
      </c>
      <c r="BT562" s="14" t="str">
        <f>HYPERLINK("https%3A%2F%2Fwww.webofscience.com%2Fwos%2Fwoscc%2Ffull-record%2FWOS:A1996VN45800034","View Full Record in Web of Science")</f>
        <v>View Full Record in Web of Science</v>
      </c>
    </row>
    <row r="563" ht="12.75" customHeight="1">
      <c r="A563" s="14" t="s">
        <v>97</v>
      </c>
      <c r="B563" s="14" t="s">
        <v>10293</v>
      </c>
      <c r="C563" s="14" t="s">
        <v>99</v>
      </c>
      <c r="D563" s="14" t="s">
        <v>99</v>
      </c>
      <c r="E563" s="14" t="s">
        <v>99</v>
      </c>
      <c r="F563" s="14" t="s">
        <v>10293</v>
      </c>
      <c r="G563" s="14" t="s">
        <v>99</v>
      </c>
      <c r="H563" s="14" t="s">
        <v>99</v>
      </c>
      <c r="I563" s="14" t="s">
        <v>10294</v>
      </c>
      <c r="J563" s="14" t="s">
        <v>10295</v>
      </c>
      <c r="K563" s="14" t="s">
        <v>99</v>
      </c>
      <c r="L563" s="14" t="s">
        <v>99</v>
      </c>
      <c r="M563" s="14" t="s">
        <v>103</v>
      </c>
      <c r="N563" s="14" t="s">
        <v>104</v>
      </c>
      <c r="O563" s="14" t="s">
        <v>99</v>
      </c>
      <c r="P563" s="14" t="s">
        <v>99</v>
      </c>
      <c r="Q563" s="14" t="s">
        <v>99</v>
      </c>
      <c r="R563" s="14" t="s">
        <v>99</v>
      </c>
      <c r="S563" s="14" t="s">
        <v>99</v>
      </c>
      <c r="T563" s="14" t="s">
        <v>99</v>
      </c>
      <c r="U563" s="14" t="s">
        <v>10296</v>
      </c>
      <c r="V563" s="14" t="s">
        <v>10297</v>
      </c>
      <c r="W563" s="14" t="s">
        <v>10298</v>
      </c>
      <c r="X563" s="14" t="s">
        <v>10299</v>
      </c>
      <c r="Y563" s="14" t="s">
        <v>10300</v>
      </c>
      <c r="Z563" s="14" t="s">
        <v>99</v>
      </c>
      <c r="AA563" s="14" t="s">
        <v>10301</v>
      </c>
      <c r="AB563" s="14" t="s">
        <v>99</v>
      </c>
      <c r="AC563" s="14" t="s">
        <v>99</v>
      </c>
      <c r="AD563" s="14" t="s">
        <v>99</v>
      </c>
      <c r="AE563" s="14" t="s">
        <v>99</v>
      </c>
      <c r="AF563" s="14" t="s">
        <v>99</v>
      </c>
      <c r="AG563" s="14">
        <v>46.0</v>
      </c>
      <c r="AH563" s="14">
        <v>92.0</v>
      </c>
      <c r="AI563" s="14">
        <v>106.0</v>
      </c>
      <c r="AJ563" s="14">
        <v>0.0</v>
      </c>
      <c r="AK563" s="14">
        <v>28.0</v>
      </c>
      <c r="AL563" s="14" t="s">
        <v>982</v>
      </c>
      <c r="AM563" s="14" t="s">
        <v>789</v>
      </c>
      <c r="AN563" s="14" t="s">
        <v>983</v>
      </c>
      <c r="AO563" s="14" t="s">
        <v>10302</v>
      </c>
      <c r="AP563" s="14" t="s">
        <v>99</v>
      </c>
      <c r="AQ563" s="14" t="s">
        <v>99</v>
      </c>
      <c r="AR563" s="14" t="s">
        <v>10303</v>
      </c>
      <c r="AS563" s="14" t="s">
        <v>10304</v>
      </c>
      <c r="AT563" s="14" t="s">
        <v>2079</v>
      </c>
      <c r="AU563" s="14">
        <v>1996.0</v>
      </c>
      <c r="AV563" s="14">
        <v>101.0</v>
      </c>
      <c r="AW563" s="14" t="s">
        <v>10305</v>
      </c>
      <c r="AX563" s="14" t="s">
        <v>99</v>
      </c>
      <c r="AY563" s="14" t="s">
        <v>99</v>
      </c>
      <c r="AZ563" s="14" t="s">
        <v>99</v>
      </c>
      <c r="BA563" s="14" t="s">
        <v>99</v>
      </c>
      <c r="BB563" s="14">
        <v>7157.0</v>
      </c>
      <c r="BC563" s="14">
        <v>7162.0</v>
      </c>
      <c r="BD563" s="14" t="s">
        <v>99</v>
      </c>
      <c r="BE563" s="14" t="s">
        <v>10306</v>
      </c>
      <c r="BF563" s="15" t="str">
        <f>HYPERLINK("http://dx.doi.org/10.1029/95JD02138","http://dx.doi.org/10.1029/95JD02138")</f>
        <v>http://dx.doi.org/10.1029/95JD02138</v>
      </c>
      <c r="BG563" s="14" t="s">
        <v>99</v>
      </c>
      <c r="BH563" s="14" t="s">
        <v>99</v>
      </c>
      <c r="BI563" s="14">
        <v>6.0</v>
      </c>
      <c r="BJ563" s="14" t="s">
        <v>963</v>
      </c>
      <c r="BK563" s="14" t="s">
        <v>122</v>
      </c>
      <c r="BL563" s="14" t="s">
        <v>963</v>
      </c>
      <c r="BM563" s="14" t="s">
        <v>10307</v>
      </c>
      <c r="BN563" s="14" t="s">
        <v>99</v>
      </c>
      <c r="BO563" s="14" t="s">
        <v>99</v>
      </c>
      <c r="BP563" s="14" t="s">
        <v>99</v>
      </c>
      <c r="BQ563" s="14" t="s">
        <v>99</v>
      </c>
      <c r="BR563" s="14" t="s">
        <v>124</v>
      </c>
      <c r="BS563" s="14" t="s">
        <v>10308</v>
      </c>
      <c r="BT563" s="14" t="str">
        <f>HYPERLINK("https%3A%2F%2Fwww.webofscience.com%2Fwos%2Fwoscc%2Ffull-record%2FWOS:A1996UB98600039","View Full Record in Web of Science")</f>
        <v>View Full Record in Web of Science</v>
      </c>
    </row>
    <row r="564" ht="12.75" customHeight="1">
      <c r="A564" s="14" t="s">
        <v>97</v>
      </c>
      <c r="B564" s="14" t="s">
        <v>10309</v>
      </c>
      <c r="C564" s="14" t="s">
        <v>99</v>
      </c>
      <c r="D564" s="14" t="s">
        <v>99</v>
      </c>
      <c r="E564" s="14" t="s">
        <v>99</v>
      </c>
      <c r="F564" s="14" t="s">
        <v>10309</v>
      </c>
      <c r="G564" s="14" t="s">
        <v>99</v>
      </c>
      <c r="H564" s="14" t="s">
        <v>99</v>
      </c>
      <c r="I564" s="14" t="s">
        <v>10310</v>
      </c>
      <c r="J564" s="14" t="s">
        <v>10311</v>
      </c>
      <c r="K564" s="14" t="s">
        <v>99</v>
      </c>
      <c r="L564" s="14" t="s">
        <v>99</v>
      </c>
      <c r="M564" s="14" t="s">
        <v>103</v>
      </c>
      <c r="N564" s="14" t="s">
        <v>104</v>
      </c>
      <c r="O564" s="14" t="s">
        <v>99</v>
      </c>
      <c r="P564" s="14" t="s">
        <v>99</v>
      </c>
      <c r="Q564" s="14" t="s">
        <v>99</v>
      </c>
      <c r="R564" s="14" t="s">
        <v>99</v>
      </c>
      <c r="S564" s="14" t="s">
        <v>99</v>
      </c>
      <c r="T564" s="14" t="s">
        <v>10312</v>
      </c>
      <c r="U564" s="14" t="s">
        <v>10313</v>
      </c>
      <c r="V564" s="14" t="s">
        <v>10314</v>
      </c>
      <c r="W564" s="14" t="s">
        <v>10315</v>
      </c>
      <c r="X564" s="14" t="s">
        <v>10316</v>
      </c>
      <c r="Y564" s="14" t="s">
        <v>99</v>
      </c>
      <c r="Z564" s="14" t="s">
        <v>99</v>
      </c>
      <c r="AA564" s="14" t="s">
        <v>10317</v>
      </c>
      <c r="AB564" s="14" t="s">
        <v>10318</v>
      </c>
      <c r="AC564" s="14" t="s">
        <v>99</v>
      </c>
      <c r="AD564" s="14" t="s">
        <v>99</v>
      </c>
      <c r="AE564" s="14" t="s">
        <v>99</v>
      </c>
      <c r="AF564" s="14" t="s">
        <v>99</v>
      </c>
      <c r="AG564" s="14">
        <v>29.0</v>
      </c>
      <c r="AH564" s="14">
        <v>118.0</v>
      </c>
      <c r="AI564" s="14">
        <v>128.0</v>
      </c>
      <c r="AJ564" s="14">
        <v>0.0</v>
      </c>
      <c r="AK564" s="14">
        <v>46.0</v>
      </c>
      <c r="AL564" s="14" t="s">
        <v>9894</v>
      </c>
      <c r="AM564" s="14" t="s">
        <v>468</v>
      </c>
      <c r="AN564" s="14" t="s">
        <v>10319</v>
      </c>
      <c r="AO564" s="14" t="s">
        <v>10320</v>
      </c>
      <c r="AP564" s="14" t="s">
        <v>99</v>
      </c>
      <c r="AQ564" s="14" t="s">
        <v>99</v>
      </c>
      <c r="AR564" s="14" t="s">
        <v>866</v>
      </c>
      <c r="AS564" s="14" t="s">
        <v>10321</v>
      </c>
      <c r="AT564" s="14" t="s">
        <v>935</v>
      </c>
      <c r="AU564" s="14">
        <v>1996.0</v>
      </c>
      <c r="AV564" s="14">
        <v>5.0</v>
      </c>
      <c r="AW564" s="14">
        <v>1.0</v>
      </c>
      <c r="AX564" s="14" t="s">
        <v>99</v>
      </c>
      <c r="AY564" s="14" t="s">
        <v>99</v>
      </c>
      <c r="AZ564" s="14" t="s">
        <v>99</v>
      </c>
      <c r="BA564" s="14" t="s">
        <v>99</v>
      </c>
      <c r="BB564" s="14">
        <v>23.0</v>
      </c>
      <c r="BC564" s="14">
        <v>29.0</v>
      </c>
      <c r="BD564" s="14" t="s">
        <v>99</v>
      </c>
      <c r="BE564" s="14" t="s">
        <v>10322</v>
      </c>
      <c r="BF564" s="15" t="str">
        <f>HYPERLINK("http://dx.doi.org/10.2307/2997467","http://dx.doi.org/10.2307/2997467")</f>
        <v>http://dx.doi.org/10.2307/2997467</v>
      </c>
      <c r="BG564" s="14" t="s">
        <v>99</v>
      </c>
      <c r="BH564" s="14" t="s">
        <v>99</v>
      </c>
      <c r="BI564" s="14">
        <v>7.0</v>
      </c>
      <c r="BJ564" s="14" t="s">
        <v>869</v>
      </c>
      <c r="BK564" s="14" t="s">
        <v>122</v>
      </c>
      <c r="BL564" s="14" t="s">
        <v>870</v>
      </c>
      <c r="BM564" s="14" t="s">
        <v>10323</v>
      </c>
      <c r="BN564" s="14" t="s">
        <v>99</v>
      </c>
      <c r="BO564" s="14" t="s">
        <v>99</v>
      </c>
      <c r="BP564" s="14" t="s">
        <v>99</v>
      </c>
      <c r="BQ564" s="14" t="s">
        <v>99</v>
      </c>
      <c r="BR564" s="14" t="s">
        <v>124</v>
      </c>
      <c r="BS564" s="14" t="s">
        <v>10324</v>
      </c>
      <c r="BT564" s="14" t="str">
        <f>HYPERLINK("https%3A%2F%2Fwww.webofscience.com%2Fwos%2Fwoscc%2Ffull-record%2FWOS:A1996UF43500005","View Full Record in Web of Science")</f>
        <v>View Full Record in Web of Science</v>
      </c>
    </row>
    <row r="565" ht="12.75" customHeight="1">
      <c r="A565" s="14" t="s">
        <v>97</v>
      </c>
      <c r="B565" s="14" t="s">
        <v>10325</v>
      </c>
      <c r="C565" s="14" t="s">
        <v>99</v>
      </c>
      <c r="D565" s="14" t="s">
        <v>99</v>
      </c>
      <c r="E565" s="14" t="s">
        <v>99</v>
      </c>
      <c r="F565" s="14" t="s">
        <v>10325</v>
      </c>
      <c r="G565" s="14" t="s">
        <v>99</v>
      </c>
      <c r="H565" s="14" t="s">
        <v>99</v>
      </c>
      <c r="I565" s="14" t="s">
        <v>10326</v>
      </c>
      <c r="J565" s="14" t="s">
        <v>10327</v>
      </c>
      <c r="K565" s="14" t="s">
        <v>99</v>
      </c>
      <c r="L565" s="14" t="s">
        <v>99</v>
      </c>
      <c r="M565" s="14" t="s">
        <v>103</v>
      </c>
      <c r="N565" s="14" t="s">
        <v>104</v>
      </c>
      <c r="O565" s="14" t="s">
        <v>99</v>
      </c>
      <c r="P565" s="14" t="s">
        <v>99</v>
      </c>
      <c r="Q565" s="14" t="s">
        <v>99</v>
      </c>
      <c r="R565" s="14" t="s">
        <v>99</v>
      </c>
      <c r="S565" s="14" t="s">
        <v>99</v>
      </c>
      <c r="T565" s="14" t="s">
        <v>10328</v>
      </c>
      <c r="U565" s="14" t="s">
        <v>10329</v>
      </c>
      <c r="V565" s="14" t="s">
        <v>10330</v>
      </c>
      <c r="W565" s="14" t="s">
        <v>99</v>
      </c>
      <c r="X565" s="14" t="s">
        <v>99</v>
      </c>
      <c r="Y565" s="14" t="s">
        <v>10331</v>
      </c>
      <c r="Z565" s="14" t="s">
        <v>99</v>
      </c>
      <c r="AA565" s="14" t="s">
        <v>99</v>
      </c>
      <c r="AB565" s="14" t="s">
        <v>99</v>
      </c>
      <c r="AC565" s="14" t="s">
        <v>99</v>
      </c>
      <c r="AD565" s="14" t="s">
        <v>99</v>
      </c>
      <c r="AE565" s="14" t="s">
        <v>99</v>
      </c>
      <c r="AF565" s="14" t="s">
        <v>99</v>
      </c>
      <c r="AG565" s="14">
        <v>23.0</v>
      </c>
      <c r="AH565" s="14">
        <v>17.0</v>
      </c>
      <c r="AI565" s="14">
        <v>18.0</v>
      </c>
      <c r="AJ565" s="14">
        <v>1.0</v>
      </c>
      <c r="AK565" s="14">
        <v>17.0</v>
      </c>
      <c r="AL565" s="14" t="s">
        <v>10332</v>
      </c>
      <c r="AM565" s="14" t="s">
        <v>10333</v>
      </c>
      <c r="AN565" s="14" t="s">
        <v>10334</v>
      </c>
      <c r="AO565" s="14" t="s">
        <v>10335</v>
      </c>
      <c r="AP565" s="14" t="s">
        <v>99</v>
      </c>
      <c r="AQ565" s="14" t="s">
        <v>99</v>
      </c>
      <c r="AR565" s="14" t="s">
        <v>10336</v>
      </c>
      <c r="AS565" s="14" t="s">
        <v>10337</v>
      </c>
      <c r="AT565" s="14" t="s">
        <v>99</v>
      </c>
      <c r="AU565" s="14">
        <v>1996.0</v>
      </c>
      <c r="AV565" s="14">
        <v>143.0</v>
      </c>
      <c r="AW565" s="14" t="s">
        <v>10338</v>
      </c>
      <c r="AX565" s="14" t="s">
        <v>99</v>
      </c>
      <c r="AY565" s="14" t="s">
        <v>99</v>
      </c>
      <c r="AZ565" s="14" t="s">
        <v>99</v>
      </c>
      <c r="BA565" s="14" t="s">
        <v>99</v>
      </c>
      <c r="BB565" s="14">
        <v>451.0</v>
      </c>
      <c r="BC565" s="14">
        <v>461.0</v>
      </c>
      <c r="BD565" s="14" t="s">
        <v>99</v>
      </c>
      <c r="BE565" s="14" t="s">
        <v>10339</v>
      </c>
      <c r="BF565" s="15" t="str">
        <f>HYPERLINK("http://dx.doi.org/10.1080/12538078.1996.10515741","http://dx.doi.org/10.1080/12538078.1996.10515741")</f>
        <v>http://dx.doi.org/10.1080/12538078.1996.10515741</v>
      </c>
      <c r="BG565" s="14" t="s">
        <v>99</v>
      </c>
      <c r="BH565" s="14" t="s">
        <v>99</v>
      </c>
      <c r="BI565" s="14">
        <v>11.0</v>
      </c>
      <c r="BJ565" s="14" t="s">
        <v>214</v>
      </c>
      <c r="BK565" s="14" t="s">
        <v>122</v>
      </c>
      <c r="BL565" s="14" t="s">
        <v>214</v>
      </c>
      <c r="BM565" s="14" t="s">
        <v>10340</v>
      </c>
      <c r="BN565" s="14" t="s">
        <v>99</v>
      </c>
      <c r="BO565" s="14" t="s">
        <v>238</v>
      </c>
      <c r="BP565" s="14" t="s">
        <v>99</v>
      </c>
      <c r="BQ565" s="14" t="s">
        <v>99</v>
      </c>
      <c r="BR565" s="14" t="s">
        <v>124</v>
      </c>
      <c r="BS565" s="14" t="s">
        <v>10341</v>
      </c>
      <c r="BT565" s="14" t="str">
        <f>HYPERLINK("https%3A%2F%2Fwww.webofscience.com%2Fwos%2Fwoscc%2Ffull-record%2FWOS:A1996XZ61700023","View Full Record in Web of Science")</f>
        <v>View Full Record in Web of Science</v>
      </c>
    </row>
    <row r="566" ht="12.75" customHeight="1">
      <c r="A566" s="14" t="s">
        <v>97</v>
      </c>
      <c r="B566" s="14" t="s">
        <v>10342</v>
      </c>
      <c r="C566" s="14" t="s">
        <v>99</v>
      </c>
      <c r="D566" s="14" t="s">
        <v>99</v>
      </c>
      <c r="E566" s="14" t="s">
        <v>99</v>
      </c>
      <c r="F566" s="14" t="s">
        <v>10342</v>
      </c>
      <c r="G566" s="14" t="s">
        <v>99</v>
      </c>
      <c r="H566" s="14" t="s">
        <v>99</v>
      </c>
      <c r="I566" s="14" t="s">
        <v>10343</v>
      </c>
      <c r="J566" s="14" t="s">
        <v>404</v>
      </c>
      <c r="K566" s="14" t="s">
        <v>99</v>
      </c>
      <c r="L566" s="14" t="s">
        <v>99</v>
      </c>
      <c r="M566" s="14" t="s">
        <v>103</v>
      </c>
      <c r="N566" s="14" t="s">
        <v>104</v>
      </c>
      <c r="O566" s="14" t="s">
        <v>99</v>
      </c>
      <c r="P566" s="14" t="s">
        <v>99</v>
      </c>
      <c r="Q566" s="14" t="s">
        <v>99</v>
      </c>
      <c r="R566" s="14" t="s">
        <v>99</v>
      </c>
      <c r="S566" s="14" t="s">
        <v>99</v>
      </c>
      <c r="T566" s="14" t="s">
        <v>10344</v>
      </c>
      <c r="U566" s="14" t="s">
        <v>10345</v>
      </c>
      <c r="V566" s="14" t="s">
        <v>10346</v>
      </c>
      <c r="W566" s="14" t="s">
        <v>10347</v>
      </c>
      <c r="X566" s="14" t="s">
        <v>10348</v>
      </c>
      <c r="Y566" s="14" t="s">
        <v>99</v>
      </c>
      <c r="Z566" s="14" t="s">
        <v>99</v>
      </c>
      <c r="AA566" s="14" t="s">
        <v>10349</v>
      </c>
      <c r="AB566" s="14" t="s">
        <v>10350</v>
      </c>
      <c r="AC566" s="14" t="s">
        <v>99</v>
      </c>
      <c r="AD566" s="14" t="s">
        <v>99</v>
      </c>
      <c r="AE566" s="14" t="s">
        <v>99</v>
      </c>
      <c r="AF566" s="14" t="s">
        <v>99</v>
      </c>
      <c r="AG566" s="14">
        <v>77.0</v>
      </c>
      <c r="AH566" s="14">
        <v>322.0</v>
      </c>
      <c r="AI566" s="14">
        <v>409.0</v>
      </c>
      <c r="AJ566" s="14">
        <v>1.0</v>
      </c>
      <c r="AK566" s="14">
        <v>198.0</v>
      </c>
      <c r="AL566" s="14" t="s">
        <v>7091</v>
      </c>
      <c r="AM566" s="14" t="s">
        <v>10351</v>
      </c>
      <c r="AN566" s="14" t="s">
        <v>10352</v>
      </c>
      <c r="AO566" s="14" t="s">
        <v>417</v>
      </c>
      <c r="AP566" s="14" t="s">
        <v>99</v>
      </c>
      <c r="AQ566" s="14" t="s">
        <v>99</v>
      </c>
      <c r="AR566" s="14" t="s">
        <v>419</v>
      </c>
      <c r="AS566" s="14" t="s">
        <v>420</v>
      </c>
      <c r="AT566" s="14" t="s">
        <v>348</v>
      </c>
      <c r="AU566" s="14">
        <v>1995.0</v>
      </c>
      <c r="AV566" s="14">
        <v>5.0</v>
      </c>
      <c r="AW566" s="14">
        <v>4.0</v>
      </c>
      <c r="AX566" s="14" t="s">
        <v>99</v>
      </c>
      <c r="AY566" s="14" t="s">
        <v>99</v>
      </c>
      <c r="AZ566" s="14" t="s">
        <v>99</v>
      </c>
      <c r="BA566" s="14" t="s">
        <v>99</v>
      </c>
      <c r="BB566" s="14">
        <v>1098.0</v>
      </c>
      <c r="BC566" s="14">
        <v>1112.0</v>
      </c>
      <c r="BD566" s="14" t="s">
        <v>99</v>
      </c>
      <c r="BE566" s="14" t="s">
        <v>10353</v>
      </c>
      <c r="BF566" s="15" t="str">
        <f>HYPERLINK("http://dx.doi.org/10.2307/2269357","http://dx.doi.org/10.2307/2269357")</f>
        <v>http://dx.doi.org/10.2307/2269357</v>
      </c>
      <c r="BG566" s="14" t="s">
        <v>99</v>
      </c>
      <c r="BH566" s="14" t="s">
        <v>99</v>
      </c>
      <c r="BI566" s="14">
        <v>15.0</v>
      </c>
      <c r="BJ566" s="14" t="s">
        <v>423</v>
      </c>
      <c r="BK566" s="14" t="s">
        <v>122</v>
      </c>
      <c r="BL566" s="14" t="s">
        <v>260</v>
      </c>
      <c r="BM566" s="14" t="s">
        <v>10354</v>
      </c>
      <c r="BN566" s="14" t="s">
        <v>99</v>
      </c>
      <c r="BO566" s="14" t="s">
        <v>99</v>
      </c>
      <c r="BP566" s="14" t="s">
        <v>99</v>
      </c>
      <c r="BQ566" s="14" t="s">
        <v>99</v>
      </c>
      <c r="BR566" s="14" t="s">
        <v>124</v>
      </c>
      <c r="BS566" s="14" t="s">
        <v>10355</v>
      </c>
      <c r="BT566" s="14" t="str">
        <f>HYPERLINK("https%3A%2F%2Fwww.webofscience.com%2Fwos%2Fwoscc%2Ffull-record%2FWOS:A1995TF37500022","View Full Record in Web of Science")</f>
        <v>View Full Record in Web of Science</v>
      </c>
    </row>
    <row r="567" ht="12.75" customHeight="1">
      <c r="A567" s="14" t="s">
        <v>97</v>
      </c>
      <c r="B567" s="14" t="s">
        <v>10356</v>
      </c>
      <c r="C567" s="14" t="s">
        <v>99</v>
      </c>
      <c r="D567" s="14" t="s">
        <v>99</v>
      </c>
      <c r="E567" s="14" t="s">
        <v>99</v>
      </c>
      <c r="F567" s="14" t="s">
        <v>10356</v>
      </c>
      <c r="G567" s="14" t="s">
        <v>99</v>
      </c>
      <c r="H567" s="14" t="s">
        <v>99</v>
      </c>
      <c r="I567" s="14" t="s">
        <v>10357</v>
      </c>
      <c r="J567" s="14" t="s">
        <v>1605</v>
      </c>
      <c r="K567" s="14" t="s">
        <v>99</v>
      </c>
      <c r="L567" s="14" t="s">
        <v>99</v>
      </c>
      <c r="M567" s="14" t="s">
        <v>103</v>
      </c>
      <c r="N567" s="14" t="s">
        <v>104</v>
      </c>
      <c r="O567" s="14" t="s">
        <v>99</v>
      </c>
      <c r="P567" s="14" t="s">
        <v>99</v>
      </c>
      <c r="Q567" s="14" t="s">
        <v>99</v>
      </c>
      <c r="R567" s="14" t="s">
        <v>99</v>
      </c>
      <c r="S567" s="14" t="s">
        <v>99</v>
      </c>
      <c r="T567" s="14" t="s">
        <v>10358</v>
      </c>
      <c r="U567" s="14" t="s">
        <v>10359</v>
      </c>
      <c r="V567" s="14" t="s">
        <v>10360</v>
      </c>
      <c r="W567" s="14" t="s">
        <v>10361</v>
      </c>
      <c r="X567" s="14" t="s">
        <v>10362</v>
      </c>
      <c r="Y567" s="14" t="s">
        <v>10363</v>
      </c>
      <c r="Z567" s="14" t="s">
        <v>99</v>
      </c>
      <c r="AA567" s="14" t="s">
        <v>10364</v>
      </c>
      <c r="AB567" s="14" t="s">
        <v>10365</v>
      </c>
      <c r="AC567" s="14" t="s">
        <v>99</v>
      </c>
      <c r="AD567" s="14" t="s">
        <v>99</v>
      </c>
      <c r="AE567" s="14" t="s">
        <v>99</v>
      </c>
      <c r="AF567" s="14" t="s">
        <v>99</v>
      </c>
      <c r="AG567" s="14">
        <v>88.0</v>
      </c>
      <c r="AH567" s="14">
        <v>308.0</v>
      </c>
      <c r="AI567" s="14">
        <v>344.0</v>
      </c>
      <c r="AJ567" s="14">
        <v>0.0</v>
      </c>
      <c r="AK567" s="14">
        <v>88.0</v>
      </c>
      <c r="AL567" s="14" t="s">
        <v>341</v>
      </c>
      <c r="AM567" s="14" t="s">
        <v>342</v>
      </c>
      <c r="AN567" s="14" t="s">
        <v>343</v>
      </c>
      <c r="AO567" s="14" t="s">
        <v>1618</v>
      </c>
      <c r="AP567" s="14" t="s">
        <v>1619</v>
      </c>
      <c r="AQ567" s="14" t="s">
        <v>99</v>
      </c>
      <c r="AR567" s="14" t="s">
        <v>1620</v>
      </c>
      <c r="AS567" s="14" t="s">
        <v>1621</v>
      </c>
      <c r="AT567" s="14" t="s">
        <v>348</v>
      </c>
      <c r="AU567" s="14">
        <v>1995.0</v>
      </c>
      <c r="AV567" s="14">
        <v>22.0</v>
      </c>
      <c r="AW567" s="14">
        <v>6.0</v>
      </c>
      <c r="AX567" s="14" t="s">
        <v>99</v>
      </c>
      <c r="AY567" s="14" t="s">
        <v>99</v>
      </c>
      <c r="AZ567" s="14" t="s">
        <v>99</v>
      </c>
      <c r="BA567" s="14" t="s">
        <v>99</v>
      </c>
      <c r="BB567" s="14">
        <v>967.0</v>
      </c>
      <c r="BC567" s="14">
        <v>1001.0</v>
      </c>
      <c r="BD567" s="14" t="s">
        <v>99</v>
      </c>
      <c r="BE567" s="14" t="s">
        <v>10366</v>
      </c>
      <c r="BF567" s="15" t="str">
        <f>HYPERLINK("http://dx.doi.org/10.2307/2845830","http://dx.doi.org/10.2307/2845830")</f>
        <v>http://dx.doi.org/10.2307/2845830</v>
      </c>
      <c r="BG567" s="14" t="s">
        <v>99</v>
      </c>
      <c r="BH567" s="14" t="s">
        <v>99</v>
      </c>
      <c r="BI567" s="14">
        <v>35.0</v>
      </c>
      <c r="BJ567" s="14" t="s">
        <v>869</v>
      </c>
      <c r="BK567" s="14" t="s">
        <v>122</v>
      </c>
      <c r="BL567" s="14" t="s">
        <v>870</v>
      </c>
      <c r="BM567" s="14" t="s">
        <v>10367</v>
      </c>
      <c r="BN567" s="14" t="s">
        <v>99</v>
      </c>
      <c r="BO567" s="14" t="s">
        <v>99</v>
      </c>
      <c r="BP567" s="14" t="s">
        <v>99</v>
      </c>
      <c r="BQ567" s="14" t="s">
        <v>99</v>
      </c>
      <c r="BR567" s="14" t="s">
        <v>124</v>
      </c>
      <c r="BS567" s="14" t="s">
        <v>10368</v>
      </c>
      <c r="BT567" s="14" t="str">
        <f>HYPERLINK("https%3A%2F%2Fwww.webofscience.com%2Fwos%2Fwoscc%2Ffull-record%2FWOS:A1995UL12900002","View Full Record in Web of Science")</f>
        <v>View Full Record in Web of Science</v>
      </c>
    </row>
    <row r="568" ht="12.75" customHeight="1">
      <c r="A568" s="14" t="s">
        <v>97</v>
      </c>
      <c r="B568" s="14" t="s">
        <v>10369</v>
      </c>
      <c r="C568" s="14" t="s">
        <v>99</v>
      </c>
      <c r="D568" s="14" t="s">
        <v>99</v>
      </c>
      <c r="E568" s="14" t="s">
        <v>99</v>
      </c>
      <c r="F568" s="14" t="s">
        <v>10369</v>
      </c>
      <c r="G568" s="14" t="s">
        <v>99</v>
      </c>
      <c r="H568" s="14" t="s">
        <v>99</v>
      </c>
      <c r="I568" s="14" t="s">
        <v>10370</v>
      </c>
      <c r="J568" s="14" t="s">
        <v>10371</v>
      </c>
      <c r="K568" s="14" t="s">
        <v>99</v>
      </c>
      <c r="L568" s="14" t="s">
        <v>99</v>
      </c>
      <c r="M568" s="14" t="s">
        <v>103</v>
      </c>
      <c r="N568" s="14" t="s">
        <v>104</v>
      </c>
      <c r="O568" s="14" t="s">
        <v>99</v>
      </c>
      <c r="P568" s="14" t="s">
        <v>99</v>
      </c>
      <c r="Q568" s="14" t="s">
        <v>99</v>
      </c>
      <c r="R568" s="14" t="s">
        <v>99</v>
      </c>
      <c r="S568" s="14" t="s">
        <v>99</v>
      </c>
      <c r="T568" s="14" t="s">
        <v>10372</v>
      </c>
      <c r="U568" s="14" t="s">
        <v>10373</v>
      </c>
      <c r="V568" s="14" t="s">
        <v>10374</v>
      </c>
      <c r="W568" s="14" t="s">
        <v>10375</v>
      </c>
      <c r="X568" s="14" t="s">
        <v>8149</v>
      </c>
      <c r="Y568" s="14" t="s">
        <v>10376</v>
      </c>
      <c r="Z568" s="14" t="s">
        <v>99</v>
      </c>
      <c r="AA568" s="14" t="s">
        <v>99</v>
      </c>
      <c r="AB568" s="14" t="s">
        <v>99</v>
      </c>
      <c r="AC568" s="14" t="s">
        <v>99</v>
      </c>
      <c r="AD568" s="14" t="s">
        <v>99</v>
      </c>
      <c r="AE568" s="14" t="s">
        <v>99</v>
      </c>
      <c r="AF568" s="14" t="s">
        <v>99</v>
      </c>
      <c r="AG568" s="14">
        <v>33.0</v>
      </c>
      <c r="AH568" s="14">
        <v>22.0</v>
      </c>
      <c r="AI568" s="14">
        <v>25.0</v>
      </c>
      <c r="AJ568" s="14">
        <v>1.0</v>
      </c>
      <c r="AK568" s="14">
        <v>7.0</v>
      </c>
      <c r="AL568" s="14" t="s">
        <v>10377</v>
      </c>
      <c r="AM568" s="14" t="s">
        <v>10378</v>
      </c>
      <c r="AN568" s="14" t="s">
        <v>10379</v>
      </c>
      <c r="AO568" s="14" t="s">
        <v>10380</v>
      </c>
      <c r="AP568" s="14" t="s">
        <v>99</v>
      </c>
      <c r="AQ568" s="14" t="s">
        <v>99</v>
      </c>
      <c r="AR568" s="14" t="s">
        <v>10381</v>
      </c>
      <c r="AS568" s="14" t="s">
        <v>10382</v>
      </c>
      <c r="AT568" s="14" t="s">
        <v>616</v>
      </c>
      <c r="AU568" s="14">
        <v>1995.0</v>
      </c>
      <c r="AV568" s="14">
        <v>78.0</v>
      </c>
      <c r="AW568" s="14">
        <v>2.0</v>
      </c>
      <c r="AX568" s="14" t="s">
        <v>99</v>
      </c>
      <c r="AY568" s="14" t="s">
        <v>99</v>
      </c>
      <c r="AZ568" s="14" t="s">
        <v>99</v>
      </c>
      <c r="BA568" s="14" t="s">
        <v>99</v>
      </c>
      <c r="BB568" s="14">
        <v>271.0</v>
      </c>
      <c r="BC568" s="14">
        <v>285.0</v>
      </c>
      <c r="BD568" s="14" t="s">
        <v>99</v>
      </c>
      <c r="BE568" s="14" t="s">
        <v>10383</v>
      </c>
      <c r="BF568" s="15" t="str">
        <f>HYPERLINK("http://dx.doi.org/10.2307/3495900","http://dx.doi.org/10.2307/3495900")</f>
        <v>http://dx.doi.org/10.2307/3495900</v>
      </c>
      <c r="BG568" s="14" t="s">
        <v>99</v>
      </c>
      <c r="BH568" s="14" t="s">
        <v>99</v>
      </c>
      <c r="BI568" s="14">
        <v>15.0</v>
      </c>
      <c r="BJ568" s="14" t="s">
        <v>10384</v>
      </c>
      <c r="BK568" s="14" t="s">
        <v>122</v>
      </c>
      <c r="BL568" s="14" t="s">
        <v>10384</v>
      </c>
      <c r="BM568" s="14" t="s">
        <v>10385</v>
      </c>
      <c r="BN568" s="14" t="s">
        <v>99</v>
      </c>
      <c r="BO568" s="14" t="s">
        <v>576</v>
      </c>
      <c r="BP568" s="14" t="s">
        <v>99</v>
      </c>
      <c r="BQ568" s="14" t="s">
        <v>99</v>
      </c>
      <c r="BR568" s="14" t="s">
        <v>124</v>
      </c>
      <c r="BS568" s="14" t="s">
        <v>10386</v>
      </c>
      <c r="BT568" s="14" t="str">
        <f>HYPERLINK("https%3A%2F%2Fwww.webofscience.com%2Fwos%2Fwoscc%2Ffull-record%2FWOS:A1995RF56400007","View Full Record in Web of Science")</f>
        <v>View Full Record in Web of Science</v>
      </c>
    </row>
    <row r="569" ht="12.75" customHeight="1">
      <c r="A569" s="14" t="s">
        <v>97</v>
      </c>
      <c r="B569" s="14" t="s">
        <v>10387</v>
      </c>
      <c r="C569" s="14" t="s">
        <v>99</v>
      </c>
      <c r="D569" s="14" t="s">
        <v>99</v>
      </c>
      <c r="E569" s="14" t="s">
        <v>99</v>
      </c>
      <c r="F569" s="14" t="s">
        <v>10387</v>
      </c>
      <c r="G569" s="14" t="s">
        <v>99</v>
      </c>
      <c r="H569" s="14" t="s">
        <v>99</v>
      </c>
      <c r="I569" s="14" t="s">
        <v>10388</v>
      </c>
      <c r="J569" s="14" t="s">
        <v>1102</v>
      </c>
      <c r="K569" s="14" t="s">
        <v>99</v>
      </c>
      <c r="L569" s="14" t="s">
        <v>99</v>
      </c>
      <c r="M569" s="14" t="s">
        <v>103</v>
      </c>
      <c r="N569" s="14" t="s">
        <v>104</v>
      </c>
      <c r="O569" s="14" t="s">
        <v>99</v>
      </c>
      <c r="P569" s="14" t="s">
        <v>99</v>
      </c>
      <c r="Q569" s="14" t="s">
        <v>99</v>
      </c>
      <c r="R569" s="14" t="s">
        <v>99</v>
      </c>
      <c r="S569" s="14" t="s">
        <v>99</v>
      </c>
      <c r="T569" s="14" t="s">
        <v>10389</v>
      </c>
      <c r="U569" s="14" t="s">
        <v>10390</v>
      </c>
      <c r="V569" s="14" t="s">
        <v>10391</v>
      </c>
      <c r="W569" s="14" t="s">
        <v>10392</v>
      </c>
      <c r="X569" s="14" t="s">
        <v>99</v>
      </c>
      <c r="Y569" s="14" t="s">
        <v>99</v>
      </c>
      <c r="Z569" s="14" t="s">
        <v>99</v>
      </c>
      <c r="AA569" s="14" t="s">
        <v>99</v>
      </c>
      <c r="AB569" s="14" t="s">
        <v>99</v>
      </c>
      <c r="AC569" s="14" t="s">
        <v>99</v>
      </c>
      <c r="AD569" s="14" t="s">
        <v>99</v>
      </c>
      <c r="AE569" s="14" t="s">
        <v>99</v>
      </c>
      <c r="AF569" s="14" t="s">
        <v>99</v>
      </c>
      <c r="AG569" s="14">
        <v>47.0</v>
      </c>
      <c r="AH569" s="14">
        <v>111.0</v>
      </c>
      <c r="AI569" s="14">
        <v>121.0</v>
      </c>
      <c r="AJ569" s="14">
        <v>0.0</v>
      </c>
      <c r="AK569" s="14">
        <v>42.0</v>
      </c>
      <c r="AL569" s="14" t="s">
        <v>493</v>
      </c>
      <c r="AM569" s="14" t="s">
        <v>468</v>
      </c>
      <c r="AN569" s="14" t="s">
        <v>10393</v>
      </c>
      <c r="AO569" s="14" t="s">
        <v>1112</v>
      </c>
      <c r="AP569" s="14" t="s">
        <v>99</v>
      </c>
      <c r="AQ569" s="14" t="s">
        <v>99</v>
      </c>
      <c r="AR569" s="14" t="s">
        <v>1114</v>
      </c>
      <c r="AS569" s="14" t="s">
        <v>1115</v>
      </c>
      <c r="AT569" s="14" t="s">
        <v>99</v>
      </c>
      <c r="AU569" s="14">
        <v>1995.0</v>
      </c>
      <c r="AV569" s="14">
        <v>72.0</v>
      </c>
      <c r="AW569" s="14">
        <v>3.0</v>
      </c>
      <c r="AX569" s="14" t="s">
        <v>99</v>
      </c>
      <c r="AY569" s="14" t="s">
        <v>99</v>
      </c>
      <c r="AZ569" s="14" t="s">
        <v>99</v>
      </c>
      <c r="BA569" s="14" t="s">
        <v>99</v>
      </c>
      <c r="BB569" s="14">
        <v>339.0</v>
      </c>
      <c r="BC569" s="14">
        <v>354.0</v>
      </c>
      <c r="BD569" s="14" t="s">
        <v>99</v>
      </c>
      <c r="BE569" s="14" t="s">
        <v>10394</v>
      </c>
      <c r="BF569" s="15" t="str">
        <f>HYPERLINK("http://dx.doi.org/10.1016/0006-3207(94)00016-J","http://dx.doi.org/10.1016/0006-3207(94)00016-J")</f>
        <v>http://dx.doi.org/10.1016/0006-3207(94)00016-J</v>
      </c>
      <c r="BG569" s="14" t="s">
        <v>99</v>
      </c>
      <c r="BH569" s="14" t="s">
        <v>99</v>
      </c>
      <c r="BI569" s="14">
        <v>16.0</v>
      </c>
      <c r="BJ569" s="14" t="s">
        <v>351</v>
      </c>
      <c r="BK569" s="14" t="s">
        <v>122</v>
      </c>
      <c r="BL569" s="14" t="s">
        <v>352</v>
      </c>
      <c r="BM569" s="14" t="s">
        <v>10395</v>
      </c>
      <c r="BN569" s="14" t="s">
        <v>99</v>
      </c>
      <c r="BO569" s="14" t="s">
        <v>99</v>
      </c>
      <c r="BP569" s="14" t="s">
        <v>99</v>
      </c>
      <c r="BQ569" s="14" t="s">
        <v>99</v>
      </c>
      <c r="BR569" s="14" t="s">
        <v>124</v>
      </c>
      <c r="BS569" s="14" t="s">
        <v>10396</v>
      </c>
      <c r="BT569" s="14" t="str">
        <f>HYPERLINK("https%3A%2F%2Fwww.webofscience.com%2Fwos%2Fwoscc%2Ffull-record%2FWOS:A1995RA24200001","View Full Record in Web of Science")</f>
        <v>View Full Record in Web of Science</v>
      </c>
    </row>
    <row r="570" ht="12.75" customHeight="1">
      <c r="A570" s="14" t="s">
        <v>97</v>
      </c>
      <c r="B570" s="14" t="s">
        <v>10397</v>
      </c>
      <c r="C570" s="14" t="s">
        <v>99</v>
      </c>
      <c r="D570" s="14" t="s">
        <v>99</v>
      </c>
      <c r="E570" s="14" t="s">
        <v>99</v>
      </c>
      <c r="F570" s="14" t="s">
        <v>10397</v>
      </c>
      <c r="G570" s="14" t="s">
        <v>99</v>
      </c>
      <c r="H570" s="14" t="s">
        <v>99</v>
      </c>
      <c r="I570" s="14" t="s">
        <v>10398</v>
      </c>
      <c r="J570" s="14" t="s">
        <v>532</v>
      </c>
      <c r="K570" s="14" t="s">
        <v>99</v>
      </c>
      <c r="L570" s="14" t="s">
        <v>99</v>
      </c>
      <c r="M570" s="14" t="s">
        <v>103</v>
      </c>
      <c r="N570" s="14" t="s">
        <v>104</v>
      </c>
      <c r="O570" s="14" t="s">
        <v>99</v>
      </c>
      <c r="P570" s="14" t="s">
        <v>99</v>
      </c>
      <c r="Q570" s="14" t="s">
        <v>99</v>
      </c>
      <c r="R570" s="14" t="s">
        <v>99</v>
      </c>
      <c r="S570" s="14" t="s">
        <v>99</v>
      </c>
      <c r="T570" s="14" t="s">
        <v>10399</v>
      </c>
      <c r="U570" s="14" t="s">
        <v>10400</v>
      </c>
      <c r="V570" s="14" t="s">
        <v>10401</v>
      </c>
      <c r="W570" s="14" t="s">
        <v>99</v>
      </c>
      <c r="X570" s="14" t="s">
        <v>99</v>
      </c>
      <c r="Y570" s="14" t="s">
        <v>10402</v>
      </c>
      <c r="Z570" s="14" t="s">
        <v>99</v>
      </c>
      <c r="AA570" s="14" t="s">
        <v>99</v>
      </c>
      <c r="AB570" s="14" t="s">
        <v>99</v>
      </c>
      <c r="AC570" s="14" t="s">
        <v>99</v>
      </c>
      <c r="AD570" s="14" t="s">
        <v>99</v>
      </c>
      <c r="AE570" s="14" t="s">
        <v>99</v>
      </c>
      <c r="AF570" s="14" t="s">
        <v>99</v>
      </c>
      <c r="AG570" s="14">
        <v>30.0</v>
      </c>
      <c r="AH570" s="14">
        <v>102.0</v>
      </c>
      <c r="AI570" s="14">
        <v>119.0</v>
      </c>
      <c r="AJ570" s="14">
        <v>0.0</v>
      </c>
      <c r="AK570" s="14">
        <v>47.0</v>
      </c>
      <c r="AL570" s="14" t="s">
        <v>9894</v>
      </c>
      <c r="AM570" s="14" t="s">
        <v>468</v>
      </c>
      <c r="AN570" s="14" t="s">
        <v>10319</v>
      </c>
      <c r="AO570" s="14" t="s">
        <v>545</v>
      </c>
      <c r="AP570" s="14" t="s">
        <v>99</v>
      </c>
      <c r="AQ570" s="14" t="s">
        <v>99</v>
      </c>
      <c r="AR570" s="14" t="s">
        <v>547</v>
      </c>
      <c r="AS570" s="14" t="s">
        <v>548</v>
      </c>
      <c r="AT570" s="14" t="s">
        <v>280</v>
      </c>
      <c r="AU570" s="14">
        <v>1994.0</v>
      </c>
      <c r="AV570" s="14">
        <v>31.0</v>
      </c>
      <c r="AW570" s="14">
        <v>1.0</v>
      </c>
      <c r="AX570" s="14" t="s">
        <v>99</v>
      </c>
      <c r="AY570" s="14" t="s">
        <v>99</v>
      </c>
      <c r="AZ570" s="14" t="s">
        <v>99</v>
      </c>
      <c r="BA570" s="14" t="s">
        <v>99</v>
      </c>
      <c r="BB570" s="14">
        <v>13.0</v>
      </c>
      <c r="BC570" s="14">
        <v>24.0</v>
      </c>
      <c r="BD570" s="14" t="s">
        <v>99</v>
      </c>
      <c r="BE570" s="14" t="s">
        <v>10403</v>
      </c>
      <c r="BF570" s="15" t="str">
        <f>HYPERLINK("http://dx.doi.org/10.2307/2404595","http://dx.doi.org/10.2307/2404595")</f>
        <v>http://dx.doi.org/10.2307/2404595</v>
      </c>
      <c r="BG570" s="14" t="s">
        <v>99</v>
      </c>
      <c r="BH570" s="14" t="s">
        <v>99</v>
      </c>
      <c r="BI570" s="14">
        <v>12.0</v>
      </c>
      <c r="BJ570" s="14" t="s">
        <v>550</v>
      </c>
      <c r="BK570" s="14" t="s">
        <v>122</v>
      </c>
      <c r="BL570" s="14" t="s">
        <v>352</v>
      </c>
      <c r="BM570" s="14" t="s">
        <v>10404</v>
      </c>
      <c r="BN570" s="14" t="s">
        <v>99</v>
      </c>
      <c r="BO570" s="14" t="s">
        <v>99</v>
      </c>
      <c r="BP570" s="14" t="s">
        <v>99</v>
      </c>
      <c r="BQ570" s="14" t="s">
        <v>99</v>
      </c>
      <c r="BR570" s="14" t="s">
        <v>124</v>
      </c>
      <c r="BS570" s="14" t="s">
        <v>10405</v>
      </c>
      <c r="BT570" s="14" t="str">
        <f>HYPERLINK("https%3A%2F%2Fwww.webofscience.com%2Fwos%2Fwoscc%2Ffull-record%2FWOS:A1994ND76300002","View Full Record in Web of Science")</f>
        <v>View Full Record in Web of Science</v>
      </c>
    </row>
    <row r="571" ht="12.75" customHeight="1">
      <c r="A571" s="14" t="s">
        <v>97</v>
      </c>
      <c r="B571" s="14" t="s">
        <v>10406</v>
      </c>
      <c r="C571" s="14" t="s">
        <v>99</v>
      </c>
      <c r="D571" s="14" t="s">
        <v>99</v>
      </c>
      <c r="E571" s="14" t="s">
        <v>99</v>
      </c>
      <c r="F571" s="14" t="s">
        <v>10406</v>
      </c>
      <c r="G571" s="14" t="s">
        <v>99</v>
      </c>
      <c r="H571" s="14" t="s">
        <v>99</v>
      </c>
      <c r="I571" s="14" t="s">
        <v>10407</v>
      </c>
      <c r="J571" s="14" t="s">
        <v>456</v>
      </c>
      <c r="K571" s="14" t="s">
        <v>99</v>
      </c>
      <c r="L571" s="14" t="s">
        <v>99</v>
      </c>
      <c r="M571" s="14" t="s">
        <v>103</v>
      </c>
      <c r="N571" s="14" t="s">
        <v>104</v>
      </c>
      <c r="O571" s="14" t="s">
        <v>99</v>
      </c>
      <c r="P571" s="14" t="s">
        <v>99</v>
      </c>
      <c r="Q571" s="14" t="s">
        <v>99</v>
      </c>
      <c r="R571" s="14" t="s">
        <v>99</v>
      </c>
      <c r="S571" s="14" t="s">
        <v>99</v>
      </c>
      <c r="T571" s="14" t="s">
        <v>99</v>
      </c>
      <c r="U571" s="14" t="s">
        <v>10408</v>
      </c>
      <c r="V571" s="14" t="s">
        <v>10409</v>
      </c>
      <c r="W571" s="14" t="s">
        <v>99</v>
      </c>
      <c r="X571" s="14" t="s">
        <v>99</v>
      </c>
      <c r="Y571" s="14" t="s">
        <v>10410</v>
      </c>
      <c r="Z571" s="14" t="s">
        <v>99</v>
      </c>
      <c r="AA571" s="14" t="s">
        <v>8936</v>
      </c>
      <c r="AB571" s="14" t="s">
        <v>8937</v>
      </c>
      <c r="AC571" s="14" t="s">
        <v>99</v>
      </c>
      <c r="AD571" s="14" t="s">
        <v>99</v>
      </c>
      <c r="AE571" s="14" t="s">
        <v>99</v>
      </c>
      <c r="AF571" s="14" t="s">
        <v>99</v>
      </c>
      <c r="AG571" s="14">
        <v>44.0</v>
      </c>
      <c r="AH571" s="14">
        <v>65.0</v>
      </c>
      <c r="AI571" s="14">
        <v>71.0</v>
      </c>
      <c r="AJ571" s="14">
        <v>1.0</v>
      </c>
      <c r="AK571" s="14">
        <v>15.0</v>
      </c>
      <c r="AL571" s="14" t="s">
        <v>467</v>
      </c>
      <c r="AM571" s="14" t="s">
        <v>468</v>
      </c>
      <c r="AN571" s="14" t="s">
        <v>469</v>
      </c>
      <c r="AO571" s="14" t="s">
        <v>470</v>
      </c>
      <c r="AP571" s="14" t="s">
        <v>471</v>
      </c>
      <c r="AQ571" s="14" t="s">
        <v>99</v>
      </c>
      <c r="AR571" s="14" t="s">
        <v>472</v>
      </c>
      <c r="AS571" s="14" t="s">
        <v>473</v>
      </c>
      <c r="AT571" s="14" t="s">
        <v>99</v>
      </c>
      <c r="AU571" s="14">
        <v>1994.0</v>
      </c>
      <c r="AV571" s="14">
        <v>29.0</v>
      </c>
      <c r="AW571" s="14" t="s">
        <v>10411</v>
      </c>
      <c r="AX571" s="14" t="s">
        <v>99</v>
      </c>
      <c r="AY571" s="14" t="s">
        <v>99</v>
      </c>
      <c r="AZ571" s="14" t="s">
        <v>99</v>
      </c>
      <c r="BA571" s="14" t="s">
        <v>99</v>
      </c>
      <c r="BB571" s="14">
        <v>520.0</v>
      </c>
      <c r="BC571" s="14">
        <v>527.0</v>
      </c>
      <c r="BD571" s="14" t="s">
        <v>99</v>
      </c>
      <c r="BE571" s="14" t="s">
        <v>10412</v>
      </c>
      <c r="BF571" s="15" t="str">
        <f>HYPERLINK("http://dx.doi.org/10.1016/0025-326X(94)90680-7","http://dx.doi.org/10.1016/0025-326X(94)90680-7")</f>
        <v>http://dx.doi.org/10.1016/0025-326X(94)90680-7</v>
      </c>
      <c r="BG571" s="14" t="s">
        <v>99</v>
      </c>
      <c r="BH571" s="14" t="s">
        <v>99</v>
      </c>
      <c r="BI571" s="14">
        <v>8.0</v>
      </c>
      <c r="BJ571" s="14" t="s">
        <v>396</v>
      </c>
      <c r="BK571" s="14" t="s">
        <v>122</v>
      </c>
      <c r="BL571" s="14" t="s">
        <v>397</v>
      </c>
      <c r="BM571" s="14" t="s">
        <v>10413</v>
      </c>
      <c r="BN571" s="14" t="s">
        <v>99</v>
      </c>
      <c r="BO571" s="14" t="s">
        <v>99</v>
      </c>
      <c r="BP571" s="14" t="s">
        <v>99</v>
      </c>
      <c r="BQ571" s="14" t="s">
        <v>99</v>
      </c>
      <c r="BR571" s="14" t="s">
        <v>124</v>
      </c>
      <c r="BS571" s="14" t="s">
        <v>10414</v>
      </c>
      <c r="BT571" s="14" t="str">
        <f>HYPERLINK("https%3A%2F%2Fwww.webofscience.com%2Fwos%2Fwoscc%2Ffull-record%2FWOS:A1994RC98400049","View Full Record in Web of Science")</f>
        <v>View Full Record in Web of Science</v>
      </c>
    </row>
    <row r="572" ht="12.75" customHeight="1">
      <c r="A572" s="14" t="s">
        <v>97</v>
      </c>
      <c r="B572" s="14" t="s">
        <v>10415</v>
      </c>
      <c r="C572" s="14" t="s">
        <v>99</v>
      </c>
      <c r="D572" s="14" t="s">
        <v>99</v>
      </c>
      <c r="E572" s="14" t="s">
        <v>99</v>
      </c>
      <c r="F572" s="14" t="s">
        <v>10415</v>
      </c>
      <c r="G572" s="14" t="s">
        <v>99</v>
      </c>
      <c r="H572" s="14" t="s">
        <v>99</v>
      </c>
      <c r="I572" s="14" t="s">
        <v>10416</v>
      </c>
      <c r="J572" s="14" t="s">
        <v>10417</v>
      </c>
      <c r="K572" s="14" t="s">
        <v>99</v>
      </c>
      <c r="L572" s="14" t="s">
        <v>99</v>
      </c>
      <c r="M572" s="14" t="s">
        <v>103</v>
      </c>
      <c r="N572" s="14" t="s">
        <v>104</v>
      </c>
      <c r="O572" s="14" t="s">
        <v>99</v>
      </c>
      <c r="P572" s="14" t="s">
        <v>99</v>
      </c>
      <c r="Q572" s="14" t="s">
        <v>99</v>
      </c>
      <c r="R572" s="14" t="s">
        <v>99</v>
      </c>
      <c r="S572" s="14" t="s">
        <v>99</v>
      </c>
      <c r="T572" s="14" t="s">
        <v>99</v>
      </c>
      <c r="U572" s="14" t="s">
        <v>10418</v>
      </c>
      <c r="V572" s="14" t="s">
        <v>10419</v>
      </c>
      <c r="W572" s="14" t="s">
        <v>99</v>
      </c>
      <c r="X572" s="14" t="s">
        <v>99</v>
      </c>
      <c r="Y572" s="14" t="s">
        <v>10420</v>
      </c>
      <c r="Z572" s="14" t="s">
        <v>99</v>
      </c>
      <c r="AA572" s="14" t="s">
        <v>99</v>
      </c>
      <c r="AB572" s="14" t="s">
        <v>99</v>
      </c>
      <c r="AC572" s="14" t="s">
        <v>99</v>
      </c>
      <c r="AD572" s="14" t="s">
        <v>99</v>
      </c>
      <c r="AE572" s="14" t="s">
        <v>99</v>
      </c>
      <c r="AF572" s="14" t="s">
        <v>99</v>
      </c>
      <c r="AG572" s="14">
        <v>23.0</v>
      </c>
      <c r="AH572" s="14">
        <v>122.0</v>
      </c>
      <c r="AI572" s="14">
        <v>125.0</v>
      </c>
      <c r="AJ572" s="14">
        <v>0.0</v>
      </c>
      <c r="AK572" s="14">
        <v>24.0</v>
      </c>
      <c r="AL572" s="14" t="s">
        <v>10421</v>
      </c>
      <c r="AM572" s="14" t="s">
        <v>10422</v>
      </c>
      <c r="AN572" s="14" t="s">
        <v>10423</v>
      </c>
      <c r="AO572" s="14" t="s">
        <v>10424</v>
      </c>
      <c r="AP572" s="14" t="s">
        <v>99</v>
      </c>
      <c r="AQ572" s="14" t="s">
        <v>99</v>
      </c>
      <c r="AR572" s="14" t="s">
        <v>10425</v>
      </c>
      <c r="AS572" s="14" t="s">
        <v>10426</v>
      </c>
      <c r="AT572" s="14" t="s">
        <v>99</v>
      </c>
      <c r="AU572" s="14">
        <v>1993.0</v>
      </c>
      <c r="AV572" s="14">
        <v>47.0</v>
      </c>
      <c r="AW572" s="14">
        <v>3.0</v>
      </c>
      <c r="AX572" s="14" t="s">
        <v>99</v>
      </c>
      <c r="AY572" s="14" t="s">
        <v>99</v>
      </c>
      <c r="AZ572" s="14" t="s">
        <v>99</v>
      </c>
      <c r="BA572" s="14" t="s">
        <v>99</v>
      </c>
      <c r="BB572" s="14">
        <v>243.0</v>
      </c>
      <c r="BC572" s="14">
        <v>263.0</v>
      </c>
      <c r="BD572" s="14" t="s">
        <v>99</v>
      </c>
      <c r="BE572" s="14" t="s">
        <v>10427</v>
      </c>
      <c r="BF572" s="15" t="str">
        <f>HYPERLINK("http://dx.doi.org/10.1007/BF02367167","http://dx.doi.org/10.1007/BF02367167")</f>
        <v>http://dx.doi.org/10.1007/BF02367167</v>
      </c>
      <c r="BG572" s="14" t="s">
        <v>99</v>
      </c>
      <c r="BH572" s="14" t="s">
        <v>99</v>
      </c>
      <c r="BI572" s="14">
        <v>21.0</v>
      </c>
      <c r="BJ572" s="14" t="s">
        <v>720</v>
      </c>
      <c r="BK572" s="14" t="s">
        <v>122</v>
      </c>
      <c r="BL572" s="14" t="s">
        <v>720</v>
      </c>
      <c r="BM572" s="14" t="s">
        <v>10428</v>
      </c>
      <c r="BN572" s="14" t="s">
        <v>99</v>
      </c>
      <c r="BO572" s="14" t="s">
        <v>238</v>
      </c>
      <c r="BP572" s="14" t="s">
        <v>99</v>
      </c>
      <c r="BQ572" s="14" t="s">
        <v>99</v>
      </c>
      <c r="BR572" s="14" t="s">
        <v>124</v>
      </c>
      <c r="BS572" s="14" t="s">
        <v>10429</v>
      </c>
      <c r="BT572" s="14" t="str">
        <f>HYPERLINK("https%3A%2F%2Fwww.webofscience.com%2Fwos%2Fwoscc%2Ffull-record%2FWOS:A1993MT33400001","View Full Record in Web of Science")</f>
        <v>View Full Record in Web of Science</v>
      </c>
    </row>
    <row r="573" ht="12.75" customHeight="1">
      <c r="A573" s="14" t="s">
        <v>97</v>
      </c>
      <c r="B573" s="14" t="s">
        <v>10430</v>
      </c>
      <c r="C573" s="14" t="s">
        <v>99</v>
      </c>
      <c r="D573" s="14" t="s">
        <v>99</v>
      </c>
      <c r="E573" s="14" t="s">
        <v>99</v>
      </c>
      <c r="F573" s="14" t="s">
        <v>10430</v>
      </c>
      <c r="G573" s="14" t="s">
        <v>99</v>
      </c>
      <c r="H573" s="14" t="s">
        <v>99</v>
      </c>
      <c r="I573" s="14" t="s">
        <v>10431</v>
      </c>
      <c r="J573" s="14" t="s">
        <v>749</v>
      </c>
      <c r="K573" s="14" t="s">
        <v>99</v>
      </c>
      <c r="L573" s="14" t="s">
        <v>99</v>
      </c>
      <c r="M573" s="14" t="s">
        <v>103</v>
      </c>
      <c r="N573" s="14" t="s">
        <v>104</v>
      </c>
      <c r="O573" s="14" t="s">
        <v>99</v>
      </c>
      <c r="P573" s="14" t="s">
        <v>99</v>
      </c>
      <c r="Q573" s="14" t="s">
        <v>99</v>
      </c>
      <c r="R573" s="14" t="s">
        <v>99</v>
      </c>
      <c r="S573" s="14" t="s">
        <v>99</v>
      </c>
      <c r="T573" s="14" t="s">
        <v>99</v>
      </c>
      <c r="U573" s="14" t="s">
        <v>10432</v>
      </c>
      <c r="V573" s="14" t="s">
        <v>10433</v>
      </c>
      <c r="W573" s="14" t="s">
        <v>99</v>
      </c>
      <c r="X573" s="14" t="s">
        <v>99</v>
      </c>
      <c r="Y573" s="14" t="s">
        <v>10434</v>
      </c>
      <c r="Z573" s="14" t="s">
        <v>99</v>
      </c>
      <c r="AA573" s="14" t="s">
        <v>99</v>
      </c>
      <c r="AB573" s="14" t="s">
        <v>99</v>
      </c>
      <c r="AC573" s="14" t="s">
        <v>99</v>
      </c>
      <c r="AD573" s="14" t="s">
        <v>99</v>
      </c>
      <c r="AE573" s="14" t="s">
        <v>99</v>
      </c>
      <c r="AF573" s="14" t="s">
        <v>99</v>
      </c>
      <c r="AG573" s="14">
        <v>48.0</v>
      </c>
      <c r="AH573" s="14">
        <v>25.0</v>
      </c>
      <c r="AI573" s="14">
        <v>30.0</v>
      </c>
      <c r="AJ573" s="14">
        <v>0.0</v>
      </c>
      <c r="AK573" s="14">
        <v>6.0</v>
      </c>
      <c r="AL573" s="14" t="s">
        <v>762</v>
      </c>
      <c r="AM573" s="14" t="s">
        <v>763</v>
      </c>
      <c r="AN573" s="14" t="s">
        <v>764</v>
      </c>
      <c r="AO573" s="14" t="s">
        <v>765</v>
      </c>
      <c r="AP573" s="14" t="s">
        <v>99</v>
      </c>
      <c r="AQ573" s="14" t="s">
        <v>99</v>
      </c>
      <c r="AR573" s="14" t="s">
        <v>767</v>
      </c>
      <c r="AS573" s="14" t="s">
        <v>768</v>
      </c>
      <c r="AT573" s="14" t="s">
        <v>1058</v>
      </c>
      <c r="AU573" s="14">
        <v>1992.0</v>
      </c>
      <c r="AV573" s="14">
        <v>91.0</v>
      </c>
      <c r="AW573" s="14" t="s">
        <v>8123</v>
      </c>
      <c r="AX573" s="14" t="s">
        <v>99</v>
      </c>
      <c r="AY573" s="14" t="s">
        <v>99</v>
      </c>
      <c r="AZ573" s="14" t="s">
        <v>99</v>
      </c>
      <c r="BA573" s="14" t="s">
        <v>99</v>
      </c>
      <c r="BB573" s="14">
        <v>313.0</v>
      </c>
      <c r="BC573" s="14">
        <v>322.0</v>
      </c>
      <c r="BD573" s="14" t="s">
        <v>99</v>
      </c>
      <c r="BE573" s="14" t="s">
        <v>10435</v>
      </c>
      <c r="BF573" s="15" t="str">
        <f>HYPERLINK("http://dx.doi.org/10.3354/meps091313","http://dx.doi.org/10.3354/meps091313")</f>
        <v>http://dx.doi.org/10.3354/meps091313</v>
      </c>
      <c r="BG573" s="14" t="s">
        <v>99</v>
      </c>
      <c r="BH573" s="14" t="s">
        <v>99</v>
      </c>
      <c r="BI573" s="14">
        <v>10.0</v>
      </c>
      <c r="BJ573" s="14" t="s">
        <v>301</v>
      </c>
      <c r="BK573" s="14" t="s">
        <v>122</v>
      </c>
      <c r="BL573" s="14" t="s">
        <v>303</v>
      </c>
      <c r="BM573" s="14" t="s">
        <v>10436</v>
      </c>
      <c r="BN573" s="14" t="s">
        <v>99</v>
      </c>
      <c r="BO573" s="14" t="s">
        <v>238</v>
      </c>
      <c r="BP573" s="14" t="s">
        <v>99</v>
      </c>
      <c r="BQ573" s="14" t="s">
        <v>99</v>
      </c>
      <c r="BR573" s="14" t="s">
        <v>124</v>
      </c>
      <c r="BS573" s="14" t="s">
        <v>10437</v>
      </c>
      <c r="BT573" s="14" t="str">
        <f>HYPERLINK("https%3A%2F%2Fwww.webofscience.com%2Fwos%2Fwoscc%2Ffull-record%2FWOS:A1992LL06400040","View Full Record in Web of Science")</f>
        <v>View Full Record in Web of Science</v>
      </c>
    </row>
    <row r="574" ht="12.75" customHeight="1">
      <c r="A574" s="14" t="s">
        <v>97</v>
      </c>
      <c r="B574" s="14" t="s">
        <v>10438</v>
      </c>
      <c r="C574" s="14" t="s">
        <v>99</v>
      </c>
      <c r="D574" s="14" t="s">
        <v>99</v>
      </c>
      <c r="E574" s="14" t="s">
        <v>99</v>
      </c>
      <c r="F574" s="14" t="s">
        <v>10438</v>
      </c>
      <c r="G574" s="14" t="s">
        <v>99</v>
      </c>
      <c r="H574" s="14" t="s">
        <v>99</v>
      </c>
      <c r="I574" s="14" t="s">
        <v>10439</v>
      </c>
      <c r="J574" s="14" t="s">
        <v>2142</v>
      </c>
      <c r="K574" s="14" t="s">
        <v>99</v>
      </c>
      <c r="L574" s="14" t="s">
        <v>99</v>
      </c>
      <c r="M574" s="14" t="s">
        <v>103</v>
      </c>
      <c r="N574" s="14" t="s">
        <v>104</v>
      </c>
      <c r="O574" s="14" t="s">
        <v>99</v>
      </c>
      <c r="P574" s="14" t="s">
        <v>99</v>
      </c>
      <c r="Q574" s="14" t="s">
        <v>99</v>
      </c>
      <c r="R574" s="14" t="s">
        <v>99</v>
      </c>
      <c r="S574" s="14" t="s">
        <v>99</v>
      </c>
      <c r="T574" s="14" t="s">
        <v>99</v>
      </c>
      <c r="U574" s="14" t="s">
        <v>99</v>
      </c>
      <c r="V574" s="14" t="s">
        <v>10440</v>
      </c>
      <c r="W574" s="14" t="s">
        <v>10441</v>
      </c>
      <c r="X574" s="14" t="s">
        <v>10442</v>
      </c>
      <c r="Y574" s="14" t="s">
        <v>99</v>
      </c>
      <c r="Z574" s="14" t="s">
        <v>99</v>
      </c>
      <c r="AA574" s="14" t="s">
        <v>99</v>
      </c>
      <c r="AB574" s="14" t="s">
        <v>99</v>
      </c>
      <c r="AC574" s="14" t="s">
        <v>99</v>
      </c>
      <c r="AD574" s="14" t="s">
        <v>99</v>
      </c>
      <c r="AE574" s="14" t="s">
        <v>99</v>
      </c>
      <c r="AF574" s="14" t="s">
        <v>99</v>
      </c>
      <c r="AG574" s="14">
        <v>0.0</v>
      </c>
      <c r="AH574" s="14">
        <v>173.0</v>
      </c>
      <c r="AI574" s="14">
        <v>185.0</v>
      </c>
      <c r="AJ574" s="14">
        <v>0.0</v>
      </c>
      <c r="AK574" s="14">
        <v>65.0</v>
      </c>
      <c r="AL574" s="14" t="s">
        <v>9973</v>
      </c>
      <c r="AM574" s="14" t="s">
        <v>6591</v>
      </c>
      <c r="AN574" s="14" t="s">
        <v>10443</v>
      </c>
      <c r="AO574" s="14" t="s">
        <v>2155</v>
      </c>
      <c r="AP574" s="14" t="s">
        <v>99</v>
      </c>
      <c r="AQ574" s="14" t="s">
        <v>99</v>
      </c>
      <c r="AR574" s="14" t="s">
        <v>2157</v>
      </c>
      <c r="AS574" s="14" t="s">
        <v>2158</v>
      </c>
      <c r="AT574" s="14" t="s">
        <v>421</v>
      </c>
      <c r="AU574" s="14">
        <v>1992.0</v>
      </c>
      <c r="AV574" s="14">
        <v>6.0</v>
      </c>
      <c r="AW574" s="14">
        <v>3.0</v>
      </c>
      <c r="AX574" s="14" t="s">
        <v>99</v>
      </c>
      <c r="AY574" s="14" t="s">
        <v>99</v>
      </c>
      <c r="AZ574" s="14" t="s">
        <v>99</v>
      </c>
      <c r="BA574" s="14" t="s">
        <v>99</v>
      </c>
      <c r="BB574" s="14">
        <v>409.0</v>
      </c>
      <c r="BC574" s="14">
        <v>415.0</v>
      </c>
      <c r="BD574" s="14" t="s">
        <v>99</v>
      </c>
      <c r="BE574" s="14" t="s">
        <v>10444</v>
      </c>
      <c r="BF574" s="15" t="str">
        <f>HYPERLINK("http://dx.doi.org/10.1046/j.1523-1739.1992.06030409.x","http://dx.doi.org/10.1046/j.1523-1739.1992.06030409.x")</f>
        <v>http://dx.doi.org/10.1046/j.1523-1739.1992.06030409.x</v>
      </c>
      <c r="BG574" s="14" t="s">
        <v>99</v>
      </c>
      <c r="BH574" s="14" t="s">
        <v>99</v>
      </c>
      <c r="BI574" s="14">
        <v>7.0</v>
      </c>
      <c r="BJ574" s="14" t="s">
        <v>351</v>
      </c>
      <c r="BK574" s="14" t="s">
        <v>122</v>
      </c>
      <c r="BL574" s="14" t="s">
        <v>352</v>
      </c>
      <c r="BM574" s="14" t="s">
        <v>10445</v>
      </c>
      <c r="BN574" s="14" t="s">
        <v>99</v>
      </c>
      <c r="BO574" s="14" t="s">
        <v>99</v>
      </c>
      <c r="BP574" s="14" t="s">
        <v>99</v>
      </c>
      <c r="BQ574" s="14" t="s">
        <v>99</v>
      </c>
      <c r="BR574" s="14" t="s">
        <v>124</v>
      </c>
      <c r="BS574" s="14" t="s">
        <v>10446</v>
      </c>
      <c r="BT574" s="14" t="str">
        <f>HYPERLINK("https%3A%2F%2Fwww.webofscience.com%2Fwos%2Fwoscc%2Ffull-record%2FWOS:A1992JM32200013","View Full Record in Web of Science")</f>
        <v>View Full Record in Web of Science</v>
      </c>
    </row>
    <row r="575" ht="12.75" customHeight="1">
      <c r="A575" s="14" t="s">
        <v>97</v>
      </c>
      <c r="B575" s="14" t="s">
        <v>10447</v>
      </c>
      <c r="C575" s="14" t="s">
        <v>99</v>
      </c>
      <c r="D575" s="14" t="s">
        <v>99</v>
      </c>
      <c r="E575" s="14" t="s">
        <v>99</v>
      </c>
      <c r="F575" s="14" t="s">
        <v>10447</v>
      </c>
      <c r="G575" s="14" t="s">
        <v>99</v>
      </c>
      <c r="H575" s="14" t="s">
        <v>99</v>
      </c>
      <c r="I575" s="14" t="s">
        <v>10448</v>
      </c>
      <c r="J575" s="14" t="s">
        <v>5708</v>
      </c>
      <c r="K575" s="14" t="s">
        <v>99</v>
      </c>
      <c r="L575" s="14" t="s">
        <v>99</v>
      </c>
      <c r="M575" s="14" t="s">
        <v>103</v>
      </c>
      <c r="N575" s="14" t="s">
        <v>104</v>
      </c>
      <c r="O575" s="14" t="s">
        <v>99</v>
      </c>
      <c r="P575" s="14" t="s">
        <v>99</v>
      </c>
      <c r="Q575" s="14" t="s">
        <v>99</v>
      </c>
      <c r="R575" s="14" t="s">
        <v>99</v>
      </c>
      <c r="S575" s="14" t="s">
        <v>99</v>
      </c>
      <c r="T575" s="14" t="s">
        <v>10449</v>
      </c>
      <c r="U575" s="14" t="s">
        <v>99</v>
      </c>
      <c r="V575" s="14" t="s">
        <v>10450</v>
      </c>
      <c r="W575" s="14" t="s">
        <v>10451</v>
      </c>
      <c r="X575" s="14" t="s">
        <v>99</v>
      </c>
      <c r="Y575" s="14" t="s">
        <v>10452</v>
      </c>
      <c r="Z575" s="14" t="s">
        <v>99</v>
      </c>
      <c r="AA575" s="14" t="s">
        <v>99</v>
      </c>
      <c r="AB575" s="14" t="s">
        <v>99</v>
      </c>
      <c r="AC575" s="14" t="s">
        <v>99</v>
      </c>
      <c r="AD575" s="14" t="s">
        <v>99</v>
      </c>
      <c r="AE575" s="14" t="s">
        <v>99</v>
      </c>
      <c r="AF575" s="14" t="s">
        <v>99</v>
      </c>
      <c r="AG575" s="14">
        <v>14.0</v>
      </c>
      <c r="AH575" s="14">
        <v>31.0</v>
      </c>
      <c r="AI575" s="14">
        <v>34.0</v>
      </c>
      <c r="AJ575" s="14">
        <v>0.0</v>
      </c>
      <c r="AK575" s="14">
        <v>25.0</v>
      </c>
      <c r="AL575" s="14" t="s">
        <v>341</v>
      </c>
      <c r="AM575" s="14" t="s">
        <v>342</v>
      </c>
      <c r="AN575" s="14" t="s">
        <v>343</v>
      </c>
      <c r="AO575" s="14" t="s">
        <v>5719</v>
      </c>
      <c r="AP575" s="14" t="s">
        <v>5720</v>
      </c>
      <c r="AQ575" s="14" t="s">
        <v>99</v>
      </c>
      <c r="AR575" s="14" t="s">
        <v>5721</v>
      </c>
      <c r="AS575" s="14" t="s">
        <v>5722</v>
      </c>
      <c r="AT575" s="14" t="s">
        <v>421</v>
      </c>
      <c r="AU575" s="14">
        <v>1991.0</v>
      </c>
      <c r="AV575" s="14">
        <v>29.0</v>
      </c>
      <c r="AW575" s="14">
        <v>3.0</v>
      </c>
      <c r="AX575" s="14" t="s">
        <v>99</v>
      </c>
      <c r="AY575" s="14" t="s">
        <v>99</v>
      </c>
      <c r="AZ575" s="14" t="s">
        <v>99</v>
      </c>
      <c r="BA575" s="14" t="s">
        <v>99</v>
      </c>
      <c r="BB575" s="14">
        <v>177.0</v>
      </c>
      <c r="BC575" s="14">
        <v>187.0</v>
      </c>
      <c r="BD575" s="14" t="s">
        <v>99</v>
      </c>
      <c r="BE575" s="14" t="s">
        <v>10453</v>
      </c>
      <c r="BF575" s="15" t="str">
        <f>HYPERLINK("http://dx.doi.org/10.1111/j.1365-2028.1991.tb01000.x","http://dx.doi.org/10.1111/j.1365-2028.1991.tb01000.x")</f>
        <v>http://dx.doi.org/10.1111/j.1365-2028.1991.tb01000.x</v>
      </c>
      <c r="BG575" s="14" t="s">
        <v>99</v>
      </c>
      <c r="BH575" s="14" t="s">
        <v>99</v>
      </c>
      <c r="BI575" s="14">
        <v>11.0</v>
      </c>
      <c r="BJ575" s="14" t="s">
        <v>259</v>
      </c>
      <c r="BK575" s="14" t="s">
        <v>122</v>
      </c>
      <c r="BL575" s="14" t="s">
        <v>260</v>
      </c>
      <c r="BM575" s="14" t="s">
        <v>10454</v>
      </c>
      <c r="BN575" s="14" t="s">
        <v>99</v>
      </c>
      <c r="BO575" s="14" t="s">
        <v>99</v>
      </c>
      <c r="BP575" s="14" t="s">
        <v>99</v>
      </c>
      <c r="BQ575" s="14" t="s">
        <v>99</v>
      </c>
      <c r="BR575" s="14" t="s">
        <v>124</v>
      </c>
      <c r="BS575" s="14" t="s">
        <v>10455</v>
      </c>
      <c r="BT575" s="14" t="str">
        <f>HYPERLINK("https%3A%2F%2Fwww.webofscience.com%2Fwos%2Fwoscc%2Ffull-record%2FWOS:A1991HC73800001","View Full Record in Web of Science")</f>
        <v>View Full Record in Web of Science</v>
      </c>
    </row>
    <row r="576" ht="12.75" customHeight="1">
      <c r="A576" s="14" t="s">
        <v>97</v>
      </c>
      <c r="B576" s="14" t="s">
        <v>10456</v>
      </c>
      <c r="C576" s="14" t="s">
        <v>99</v>
      </c>
      <c r="D576" s="14" t="s">
        <v>99</v>
      </c>
      <c r="E576" s="14" t="s">
        <v>99</v>
      </c>
      <c r="F576" s="14" t="s">
        <v>10456</v>
      </c>
      <c r="G576" s="14" t="s">
        <v>99</v>
      </c>
      <c r="H576" s="14" t="s">
        <v>99</v>
      </c>
      <c r="I576" s="14" t="s">
        <v>10457</v>
      </c>
      <c r="J576" s="14" t="s">
        <v>5708</v>
      </c>
      <c r="K576" s="14" t="s">
        <v>99</v>
      </c>
      <c r="L576" s="14" t="s">
        <v>99</v>
      </c>
      <c r="M576" s="14" t="s">
        <v>103</v>
      </c>
      <c r="N576" s="14" t="s">
        <v>104</v>
      </c>
      <c r="O576" s="14" t="s">
        <v>99</v>
      </c>
      <c r="P576" s="14" t="s">
        <v>99</v>
      </c>
      <c r="Q576" s="14" t="s">
        <v>99</v>
      </c>
      <c r="R576" s="14" t="s">
        <v>99</v>
      </c>
      <c r="S576" s="14" t="s">
        <v>99</v>
      </c>
      <c r="T576" s="14" t="s">
        <v>10458</v>
      </c>
      <c r="U576" s="14" t="s">
        <v>10459</v>
      </c>
      <c r="V576" s="14" t="s">
        <v>10460</v>
      </c>
      <c r="W576" s="14" t="s">
        <v>99</v>
      </c>
      <c r="X576" s="14" t="s">
        <v>99</v>
      </c>
      <c r="Y576" s="14" t="s">
        <v>99</v>
      </c>
      <c r="Z576" s="14" t="s">
        <v>99</v>
      </c>
      <c r="AA576" s="14" t="s">
        <v>99</v>
      </c>
      <c r="AB576" s="14" t="s">
        <v>99</v>
      </c>
      <c r="AC576" s="14" t="s">
        <v>99</v>
      </c>
      <c r="AD576" s="14" t="s">
        <v>99</v>
      </c>
      <c r="AE576" s="14" t="s">
        <v>99</v>
      </c>
      <c r="AF576" s="14" t="s">
        <v>99</v>
      </c>
      <c r="AG576" s="14">
        <v>21.0</v>
      </c>
      <c r="AH576" s="14">
        <v>118.0</v>
      </c>
      <c r="AI576" s="14">
        <v>140.0</v>
      </c>
      <c r="AJ576" s="14">
        <v>0.0</v>
      </c>
      <c r="AK576" s="14">
        <v>28.0</v>
      </c>
      <c r="AL576" s="14" t="s">
        <v>341</v>
      </c>
      <c r="AM576" s="14" t="s">
        <v>342</v>
      </c>
      <c r="AN576" s="14" t="s">
        <v>343</v>
      </c>
      <c r="AO576" s="14" t="s">
        <v>5719</v>
      </c>
      <c r="AP576" s="14" t="s">
        <v>5720</v>
      </c>
      <c r="AQ576" s="14" t="s">
        <v>99</v>
      </c>
      <c r="AR576" s="14" t="s">
        <v>5721</v>
      </c>
      <c r="AS576" s="14" t="s">
        <v>5722</v>
      </c>
      <c r="AT576" s="14" t="s">
        <v>1485</v>
      </c>
      <c r="AU576" s="14">
        <v>1991.0</v>
      </c>
      <c r="AV576" s="14">
        <v>29.0</v>
      </c>
      <c r="AW576" s="14">
        <v>1.0</v>
      </c>
      <c r="AX576" s="14" t="s">
        <v>99</v>
      </c>
      <c r="AY576" s="14" t="s">
        <v>99</v>
      </c>
      <c r="AZ576" s="14" t="s">
        <v>99</v>
      </c>
      <c r="BA576" s="14" t="s">
        <v>99</v>
      </c>
      <c r="BB576" s="14">
        <v>54.0</v>
      </c>
      <c r="BC576" s="14">
        <v>63.0</v>
      </c>
      <c r="BD576" s="14" t="s">
        <v>99</v>
      </c>
      <c r="BE576" s="14" t="s">
        <v>10461</v>
      </c>
      <c r="BF576" s="15" t="str">
        <f>HYPERLINK("http://dx.doi.org/10.1111/j.1365-2028.1991.tb00820.x","http://dx.doi.org/10.1111/j.1365-2028.1991.tb00820.x")</f>
        <v>http://dx.doi.org/10.1111/j.1365-2028.1991.tb00820.x</v>
      </c>
      <c r="BG576" s="14" t="s">
        <v>99</v>
      </c>
      <c r="BH576" s="14" t="s">
        <v>99</v>
      </c>
      <c r="BI576" s="14">
        <v>10.0</v>
      </c>
      <c r="BJ576" s="14" t="s">
        <v>259</v>
      </c>
      <c r="BK576" s="14" t="s">
        <v>122</v>
      </c>
      <c r="BL576" s="14" t="s">
        <v>260</v>
      </c>
      <c r="BM576" s="14" t="s">
        <v>10462</v>
      </c>
      <c r="BN576" s="14" t="s">
        <v>99</v>
      </c>
      <c r="BO576" s="14" t="s">
        <v>99</v>
      </c>
      <c r="BP576" s="14" t="s">
        <v>99</v>
      </c>
      <c r="BQ576" s="14" t="s">
        <v>99</v>
      </c>
      <c r="BR576" s="14" t="s">
        <v>124</v>
      </c>
      <c r="BS576" s="14" t="s">
        <v>10463</v>
      </c>
      <c r="BT576" s="14" t="str">
        <f>HYPERLINK("https%3A%2F%2Fwww.webofscience.com%2Fwos%2Fwoscc%2Ffull-record%2FWOS:A1991FW49800007","View Full Record in Web of Science")</f>
        <v>View Full Record in Web of Science</v>
      </c>
    </row>
    <row r="577" ht="12.75" customHeight="1">
      <c r="A577" s="14" t="s">
        <v>97</v>
      </c>
      <c r="B577" s="14" t="s">
        <v>10464</v>
      </c>
      <c r="C577" s="14" t="s">
        <v>99</v>
      </c>
      <c r="D577" s="14" t="s">
        <v>99</v>
      </c>
      <c r="E577" s="14" t="s">
        <v>99</v>
      </c>
      <c r="F577" s="14" t="s">
        <v>10464</v>
      </c>
      <c r="G577" s="14" t="s">
        <v>99</v>
      </c>
      <c r="H577" s="14" t="s">
        <v>99</v>
      </c>
      <c r="I577" s="14" t="s">
        <v>10465</v>
      </c>
      <c r="J577" s="14" t="s">
        <v>9030</v>
      </c>
      <c r="K577" s="14" t="s">
        <v>99</v>
      </c>
      <c r="L577" s="14" t="s">
        <v>99</v>
      </c>
      <c r="M577" s="14" t="s">
        <v>103</v>
      </c>
      <c r="N577" s="14" t="s">
        <v>104</v>
      </c>
      <c r="O577" s="14" t="s">
        <v>99</v>
      </c>
      <c r="P577" s="14" t="s">
        <v>99</v>
      </c>
      <c r="Q577" s="14" t="s">
        <v>99</v>
      </c>
      <c r="R577" s="14" t="s">
        <v>99</v>
      </c>
      <c r="S577" s="14" t="s">
        <v>99</v>
      </c>
      <c r="T577" s="14" t="s">
        <v>10466</v>
      </c>
      <c r="U577" s="14" t="s">
        <v>99</v>
      </c>
      <c r="V577" s="14" t="s">
        <v>10467</v>
      </c>
      <c r="W577" s="14" t="s">
        <v>99</v>
      </c>
      <c r="X577" s="14" t="s">
        <v>99</v>
      </c>
      <c r="Y577" s="14" t="s">
        <v>10468</v>
      </c>
      <c r="Z577" s="14" t="s">
        <v>99</v>
      </c>
      <c r="AA577" s="14" t="s">
        <v>99</v>
      </c>
      <c r="AB577" s="14" t="s">
        <v>99</v>
      </c>
      <c r="AC577" s="14" t="s">
        <v>99</v>
      </c>
      <c r="AD577" s="14" t="s">
        <v>99</v>
      </c>
      <c r="AE577" s="14" t="s">
        <v>99</v>
      </c>
      <c r="AF577" s="14" t="s">
        <v>99</v>
      </c>
      <c r="AG577" s="14">
        <v>0.0</v>
      </c>
      <c r="AH577" s="14">
        <v>33.0</v>
      </c>
      <c r="AI577" s="14">
        <v>37.0</v>
      </c>
      <c r="AJ577" s="14">
        <v>0.0</v>
      </c>
      <c r="AK577" s="14">
        <v>10.0</v>
      </c>
      <c r="AL577" s="14" t="s">
        <v>1593</v>
      </c>
      <c r="AM577" s="14" t="s">
        <v>1594</v>
      </c>
      <c r="AN577" s="14" t="s">
        <v>10264</v>
      </c>
      <c r="AO577" s="14" t="s">
        <v>9038</v>
      </c>
      <c r="AP577" s="14" t="s">
        <v>99</v>
      </c>
      <c r="AQ577" s="14" t="s">
        <v>99</v>
      </c>
      <c r="AR577" s="14" t="s">
        <v>9040</v>
      </c>
      <c r="AS577" s="14" t="s">
        <v>9041</v>
      </c>
      <c r="AT577" s="14" t="s">
        <v>280</v>
      </c>
      <c r="AU577" s="14">
        <v>1991.0</v>
      </c>
      <c r="AV577" s="14">
        <v>7.0</v>
      </c>
      <c r="AW577" s="14" t="s">
        <v>99</v>
      </c>
      <c r="AX577" s="14">
        <v>1.0</v>
      </c>
      <c r="AY577" s="14" t="s">
        <v>99</v>
      </c>
      <c r="AZ577" s="14" t="s">
        <v>99</v>
      </c>
      <c r="BA577" s="14" t="s">
        <v>99</v>
      </c>
      <c r="BB577" s="14">
        <v>25.0</v>
      </c>
      <c r="BC577" s="14">
        <v>36.0</v>
      </c>
      <c r="BD577" s="14" t="s">
        <v>99</v>
      </c>
      <c r="BE577" s="14" t="s">
        <v>10469</v>
      </c>
      <c r="BF577" s="15" t="str">
        <f>HYPERLINK("http://dx.doi.org/10.1017/S0266467400005022","http://dx.doi.org/10.1017/S0266467400005022")</f>
        <v>http://dx.doi.org/10.1017/S0266467400005022</v>
      </c>
      <c r="BG577" s="14" t="s">
        <v>99</v>
      </c>
      <c r="BH577" s="14" t="s">
        <v>99</v>
      </c>
      <c r="BI577" s="14">
        <v>12.0</v>
      </c>
      <c r="BJ577" s="14" t="s">
        <v>259</v>
      </c>
      <c r="BK577" s="14" t="s">
        <v>122</v>
      </c>
      <c r="BL577" s="14" t="s">
        <v>260</v>
      </c>
      <c r="BM577" s="14" t="s">
        <v>10470</v>
      </c>
      <c r="BN577" s="14" t="s">
        <v>99</v>
      </c>
      <c r="BO577" s="14" t="s">
        <v>99</v>
      </c>
      <c r="BP577" s="14" t="s">
        <v>99</v>
      </c>
      <c r="BQ577" s="14" t="s">
        <v>99</v>
      </c>
      <c r="BR577" s="14" t="s">
        <v>124</v>
      </c>
      <c r="BS577" s="14" t="s">
        <v>10471</v>
      </c>
      <c r="BT577" s="14" t="str">
        <f>HYPERLINK("https%3A%2F%2Fwww.webofscience.com%2Fwos%2Fwoscc%2Ffull-record%2FWOS:A1991FE80700002","View Full Record in Web of Science")</f>
        <v>View Full Record in Web of Science</v>
      </c>
    </row>
    <row r="578" ht="12.75" customHeight="1">
      <c r="A578" s="14" t="s">
        <v>97</v>
      </c>
      <c r="B578" s="14" t="s">
        <v>10472</v>
      </c>
      <c r="C578" s="14" t="s">
        <v>99</v>
      </c>
      <c r="D578" s="14" t="s">
        <v>99</v>
      </c>
      <c r="E578" s="14" t="s">
        <v>99</v>
      </c>
      <c r="F578" s="14" t="s">
        <v>10472</v>
      </c>
      <c r="G578" s="14" t="s">
        <v>99</v>
      </c>
      <c r="H578" s="14" t="s">
        <v>99</v>
      </c>
      <c r="I578" s="14" t="s">
        <v>10473</v>
      </c>
      <c r="J578" s="14" t="s">
        <v>749</v>
      </c>
      <c r="K578" s="14" t="s">
        <v>99</v>
      </c>
      <c r="L578" s="14" t="s">
        <v>99</v>
      </c>
      <c r="M578" s="14" t="s">
        <v>103</v>
      </c>
      <c r="N578" s="14" t="s">
        <v>104</v>
      </c>
      <c r="O578" s="14" t="s">
        <v>99</v>
      </c>
      <c r="P578" s="14" t="s">
        <v>99</v>
      </c>
      <c r="Q578" s="14" t="s">
        <v>99</v>
      </c>
      <c r="R578" s="14" t="s">
        <v>99</v>
      </c>
      <c r="S578" s="14" t="s">
        <v>99</v>
      </c>
      <c r="T578" s="14" t="s">
        <v>99</v>
      </c>
      <c r="U578" s="14" t="s">
        <v>99</v>
      </c>
      <c r="V578" s="14" t="s">
        <v>10474</v>
      </c>
      <c r="W578" s="14" t="s">
        <v>10475</v>
      </c>
      <c r="X578" s="14" t="s">
        <v>8179</v>
      </c>
      <c r="Y578" s="14" t="s">
        <v>10476</v>
      </c>
      <c r="Z578" s="14" t="s">
        <v>99</v>
      </c>
      <c r="AA578" s="14" t="s">
        <v>8182</v>
      </c>
      <c r="AB578" s="14" t="s">
        <v>99</v>
      </c>
      <c r="AC578" s="14" t="s">
        <v>99</v>
      </c>
      <c r="AD578" s="14" t="s">
        <v>99</v>
      </c>
      <c r="AE578" s="14" t="s">
        <v>99</v>
      </c>
      <c r="AF578" s="14" t="s">
        <v>99</v>
      </c>
      <c r="AG578" s="14">
        <v>26.0</v>
      </c>
      <c r="AH578" s="14">
        <v>374.0</v>
      </c>
      <c r="AI578" s="14">
        <v>399.0</v>
      </c>
      <c r="AJ578" s="14">
        <v>2.0</v>
      </c>
      <c r="AK578" s="14">
        <v>55.0</v>
      </c>
      <c r="AL578" s="14" t="s">
        <v>762</v>
      </c>
      <c r="AM578" s="14" t="s">
        <v>763</v>
      </c>
      <c r="AN578" s="14" t="s">
        <v>764</v>
      </c>
      <c r="AO578" s="14" t="s">
        <v>765</v>
      </c>
      <c r="AP578" s="14" t="s">
        <v>766</v>
      </c>
      <c r="AQ578" s="14" t="s">
        <v>99</v>
      </c>
      <c r="AR578" s="14" t="s">
        <v>767</v>
      </c>
      <c r="AS578" s="14" t="s">
        <v>768</v>
      </c>
      <c r="AT578" s="14" t="s">
        <v>421</v>
      </c>
      <c r="AU578" s="14">
        <v>1990.0</v>
      </c>
      <c r="AV578" s="14">
        <v>66.0</v>
      </c>
      <c r="AW578" s="14">
        <v>3.0</v>
      </c>
      <c r="AX578" s="14" t="s">
        <v>99</v>
      </c>
      <c r="AY578" s="14" t="s">
        <v>99</v>
      </c>
      <c r="AZ578" s="14" t="s">
        <v>99</v>
      </c>
      <c r="BA578" s="14" t="s">
        <v>99</v>
      </c>
      <c r="BB578" s="14">
        <v>285.0</v>
      </c>
      <c r="BC578" s="14">
        <v>299.0</v>
      </c>
      <c r="BD578" s="14" t="s">
        <v>99</v>
      </c>
      <c r="BE578" s="14" t="s">
        <v>10477</v>
      </c>
      <c r="BF578" s="15" t="str">
        <f>HYPERLINK("http://dx.doi.org/10.3354/meps066285","http://dx.doi.org/10.3354/meps066285")</f>
        <v>http://dx.doi.org/10.3354/meps066285</v>
      </c>
      <c r="BG578" s="14" t="s">
        <v>99</v>
      </c>
      <c r="BH578" s="14" t="s">
        <v>99</v>
      </c>
      <c r="BI578" s="14">
        <v>15.0</v>
      </c>
      <c r="BJ578" s="14" t="s">
        <v>301</v>
      </c>
      <c r="BK578" s="14" t="s">
        <v>122</v>
      </c>
      <c r="BL578" s="14" t="s">
        <v>303</v>
      </c>
      <c r="BM578" s="14" t="s">
        <v>10478</v>
      </c>
      <c r="BN578" s="14" t="s">
        <v>99</v>
      </c>
      <c r="BO578" s="14" t="s">
        <v>238</v>
      </c>
      <c r="BP578" s="14" t="s">
        <v>99</v>
      </c>
      <c r="BQ578" s="14" t="s">
        <v>99</v>
      </c>
      <c r="BR578" s="14" t="s">
        <v>124</v>
      </c>
      <c r="BS578" s="14" t="s">
        <v>10479</v>
      </c>
      <c r="BT578" s="14" t="str">
        <f>HYPERLINK("https%3A%2F%2Fwww.webofscience.com%2Fwos%2Fwoscc%2Ffull-record%2FWOS:A1990DZ03300009","View Full Record in Web of Science")</f>
        <v>View Full Record in Web of Science</v>
      </c>
    </row>
    <row r="579" ht="12.75" customHeight="1">
      <c r="A579" s="14" t="s">
        <v>97</v>
      </c>
      <c r="B579" s="14" t="s">
        <v>10480</v>
      </c>
      <c r="C579" s="14" t="s">
        <v>99</v>
      </c>
      <c r="D579" s="14" t="s">
        <v>99</v>
      </c>
      <c r="E579" s="14" t="s">
        <v>99</v>
      </c>
      <c r="F579" s="14" t="s">
        <v>10480</v>
      </c>
      <c r="G579" s="14" t="s">
        <v>99</v>
      </c>
      <c r="H579" s="14" t="s">
        <v>99</v>
      </c>
      <c r="I579" s="14" t="s">
        <v>10481</v>
      </c>
      <c r="J579" s="14" t="s">
        <v>10482</v>
      </c>
      <c r="K579" s="14" t="s">
        <v>99</v>
      </c>
      <c r="L579" s="14" t="s">
        <v>99</v>
      </c>
      <c r="M579" s="14" t="s">
        <v>103</v>
      </c>
      <c r="N579" s="14" t="s">
        <v>104</v>
      </c>
      <c r="O579" s="14" t="s">
        <v>99</v>
      </c>
      <c r="P579" s="14" t="s">
        <v>99</v>
      </c>
      <c r="Q579" s="14" t="s">
        <v>99</v>
      </c>
      <c r="R579" s="14" t="s">
        <v>99</v>
      </c>
      <c r="S579" s="14" t="s">
        <v>99</v>
      </c>
      <c r="T579" s="14" t="s">
        <v>99</v>
      </c>
      <c r="U579" s="14" t="s">
        <v>99</v>
      </c>
      <c r="V579" s="14" t="s">
        <v>99</v>
      </c>
      <c r="W579" s="14" t="s">
        <v>10483</v>
      </c>
      <c r="X579" s="14" t="s">
        <v>5515</v>
      </c>
      <c r="Y579" s="14" t="s">
        <v>10484</v>
      </c>
      <c r="Z579" s="14" t="s">
        <v>99</v>
      </c>
      <c r="AA579" s="14" t="s">
        <v>99</v>
      </c>
      <c r="AB579" s="14" t="s">
        <v>99</v>
      </c>
      <c r="AC579" s="14" t="s">
        <v>99</v>
      </c>
      <c r="AD579" s="14" t="s">
        <v>99</v>
      </c>
      <c r="AE579" s="14" t="s">
        <v>99</v>
      </c>
      <c r="AF579" s="14" t="s">
        <v>99</v>
      </c>
      <c r="AG579" s="14">
        <v>53.0</v>
      </c>
      <c r="AH579" s="14">
        <v>128.0</v>
      </c>
      <c r="AI579" s="14">
        <v>133.0</v>
      </c>
      <c r="AJ579" s="14">
        <v>0.0</v>
      </c>
      <c r="AK579" s="14">
        <v>10.0</v>
      </c>
      <c r="AL579" s="14" t="s">
        <v>467</v>
      </c>
      <c r="AM579" s="14" t="s">
        <v>468</v>
      </c>
      <c r="AN579" s="14" t="s">
        <v>10485</v>
      </c>
      <c r="AO579" s="14" t="s">
        <v>10486</v>
      </c>
      <c r="AP579" s="14" t="s">
        <v>99</v>
      </c>
      <c r="AQ579" s="14" t="s">
        <v>99</v>
      </c>
      <c r="AR579" s="14" t="s">
        <v>10487</v>
      </c>
      <c r="AS579" s="14" t="s">
        <v>10488</v>
      </c>
      <c r="AT579" s="14" t="s">
        <v>718</v>
      </c>
      <c r="AU579" s="14">
        <v>1990.0</v>
      </c>
      <c r="AV579" s="14">
        <v>10.0</v>
      </c>
      <c r="AW579" s="14">
        <v>4.0</v>
      </c>
      <c r="AX579" s="14" t="s">
        <v>99</v>
      </c>
      <c r="AY579" s="14" t="s">
        <v>99</v>
      </c>
      <c r="AZ579" s="14" t="s">
        <v>99</v>
      </c>
      <c r="BA579" s="14" t="s">
        <v>99</v>
      </c>
      <c r="BB579" s="14">
        <v>305.0</v>
      </c>
      <c r="BC579" s="14">
        <v>328.0</v>
      </c>
      <c r="BD579" s="14" t="s">
        <v>99</v>
      </c>
      <c r="BE579" s="14" t="s">
        <v>10489</v>
      </c>
      <c r="BF579" s="15" t="str">
        <f>HYPERLINK("http://dx.doi.org/10.1016/0278-4343(90)90054-P","http://dx.doi.org/10.1016/0278-4343(90)90054-P")</f>
        <v>http://dx.doi.org/10.1016/0278-4343(90)90054-P</v>
      </c>
      <c r="BG579" s="14" t="s">
        <v>99</v>
      </c>
      <c r="BH579" s="14" t="s">
        <v>99</v>
      </c>
      <c r="BI579" s="14">
        <v>24.0</v>
      </c>
      <c r="BJ579" s="14" t="s">
        <v>2034</v>
      </c>
      <c r="BK579" s="14" t="s">
        <v>122</v>
      </c>
      <c r="BL579" s="14" t="s">
        <v>2034</v>
      </c>
      <c r="BM579" s="14" t="s">
        <v>10490</v>
      </c>
      <c r="BN579" s="14" t="s">
        <v>99</v>
      </c>
      <c r="BO579" s="14" t="s">
        <v>99</v>
      </c>
      <c r="BP579" s="14" t="s">
        <v>99</v>
      </c>
      <c r="BQ579" s="14" t="s">
        <v>99</v>
      </c>
      <c r="BR579" s="14" t="s">
        <v>124</v>
      </c>
      <c r="BS579" s="14" t="s">
        <v>10491</v>
      </c>
      <c r="BT579" s="14" t="str">
        <f>HYPERLINK("https%3A%2F%2Fwww.webofscience.com%2Fwos%2Fwoscc%2Ffull-record%2FWOS:A1990DF51700001","View Full Record in Web of Science")</f>
        <v>View Full Record in Web of Science</v>
      </c>
    </row>
    <row r="580" ht="12.75" customHeight="1">
      <c r="A580" s="14" t="s">
        <v>97</v>
      </c>
      <c r="B580" s="14" t="s">
        <v>10492</v>
      </c>
      <c r="C580" s="14" t="s">
        <v>99</v>
      </c>
      <c r="D580" s="14" t="s">
        <v>99</v>
      </c>
      <c r="E580" s="14" t="s">
        <v>99</v>
      </c>
      <c r="F580" s="14" t="s">
        <v>10492</v>
      </c>
      <c r="G580" s="14" t="s">
        <v>99</v>
      </c>
      <c r="H580" s="14" t="s">
        <v>99</v>
      </c>
      <c r="I580" s="14" t="s">
        <v>10493</v>
      </c>
      <c r="J580" s="14" t="s">
        <v>6455</v>
      </c>
      <c r="K580" s="14" t="s">
        <v>99</v>
      </c>
      <c r="L580" s="14" t="s">
        <v>99</v>
      </c>
      <c r="M580" s="14" t="s">
        <v>103</v>
      </c>
      <c r="N580" s="14" t="s">
        <v>104</v>
      </c>
      <c r="O580" s="14" t="s">
        <v>99</v>
      </c>
      <c r="P580" s="14" t="s">
        <v>99</v>
      </c>
      <c r="Q580" s="14" t="s">
        <v>99</v>
      </c>
      <c r="R580" s="14" t="s">
        <v>99</v>
      </c>
      <c r="S580" s="14" t="s">
        <v>99</v>
      </c>
      <c r="T580" s="14" t="s">
        <v>99</v>
      </c>
      <c r="U580" s="14" t="s">
        <v>99</v>
      </c>
      <c r="V580" s="14" t="s">
        <v>99</v>
      </c>
      <c r="W580" s="14" t="s">
        <v>10494</v>
      </c>
      <c r="X580" s="14" t="s">
        <v>10495</v>
      </c>
      <c r="Y580" s="14" t="s">
        <v>99</v>
      </c>
      <c r="Z580" s="14" t="s">
        <v>99</v>
      </c>
      <c r="AA580" s="14" t="s">
        <v>99</v>
      </c>
      <c r="AB580" s="14" t="s">
        <v>99</v>
      </c>
      <c r="AC580" s="14" t="s">
        <v>99</v>
      </c>
      <c r="AD580" s="14" t="s">
        <v>99</v>
      </c>
      <c r="AE580" s="14" t="s">
        <v>99</v>
      </c>
      <c r="AF580" s="14" t="s">
        <v>99</v>
      </c>
      <c r="AG580" s="14">
        <v>63.0</v>
      </c>
      <c r="AH580" s="14">
        <v>55.0</v>
      </c>
      <c r="AI580" s="14">
        <v>67.0</v>
      </c>
      <c r="AJ580" s="14">
        <v>0.0</v>
      </c>
      <c r="AK580" s="14">
        <v>8.0</v>
      </c>
      <c r="AL580" s="14" t="s">
        <v>10496</v>
      </c>
      <c r="AM580" s="14" t="s">
        <v>317</v>
      </c>
      <c r="AN580" s="14" t="s">
        <v>10497</v>
      </c>
      <c r="AO580" s="14" t="s">
        <v>6468</v>
      </c>
      <c r="AP580" s="14" t="s">
        <v>99</v>
      </c>
      <c r="AQ580" s="14" t="s">
        <v>99</v>
      </c>
      <c r="AR580" s="14" t="s">
        <v>6455</v>
      </c>
      <c r="AS580" s="14" t="s">
        <v>6470</v>
      </c>
      <c r="AT580" s="14" t="s">
        <v>1485</v>
      </c>
      <c r="AU580" s="14">
        <v>1990.0</v>
      </c>
      <c r="AV580" s="14">
        <v>22.0</v>
      </c>
      <c r="AW580" s="14">
        <v>1.0</v>
      </c>
      <c r="AX580" s="14" t="s">
        <v>99</v>
      </c>
      <c r="AY580" s="14" t="s">
        <v>99</v>
      </c>
      <c r="AZ580" s="14" t="s">
        <v>99</v>
      </c>
      <c r="BA580" s="14" t="s">
        <v>99</v>
      </c>
      <c r="BB580" s="14">
        <v>90.0</v>
      </c>
      <c r="BC580" s="14">
        <v>99.0</v>
      </c>
      <c r="BD580" s="14" t="s">
        <v>99</v>
      </c>
      <c r="BE580" s="14" t="s">
        <v>10498</v>
      </c>
      <c r="BF580" s="15" t="str">
        <f>HYPERLINK("http://dx.doi.org/10.2307/2388723","http://dx.doi.org/10.2307/2388723")</f>
        <v>http://dx.doi.org/10.2307/2388723</v>
      </c>
      <c r="BG580" s="14" t="s">
        <v>99</v>
      </c>
      <c r="BH580" s="14" t="s">
        <v>99</v>
      </c>
      <c r="BI580" s="14">
        <v>10.0</v>
      </c>
      <c r="BJ580" s="14" t="s">
        <v>259</v>
      </c>
      <c r="BK580" s="14" t="s">
        <v>122</v>
      </c>
      <c r="BL580" s="14" t="s">
        <v>260</v>
      </c>
      <c r="BM580" s="14" t="s">
        <v>10499</v>
      </c>
      <c r="BN580" s="14" t="s">
        <v>99</v>
      </c>
      <c r="BO580" s="14" t="s">
        <v>99</v>
      </c>
      <c r="BP580" s="14" t="s">
        <v>99</v>
      </c>
      <c r="BQ580" s="14" t="s">
        <v>99</v>
      </c>
      <c r="BR580" s="14" t="s">
        <v>124</v>
      </c>
      <c r="BS580" s="14" t="s">
        <v>10500</v>
      </c>
      <c r="BT580" s="14" t="str">
        <f>HYPERLINK("https%3A%2F%2Fwww.webofscience.com%2Fwos%2Fwoscc%2Ffull-record%2FWOS:A1990DL16100011","View Full Record in Web of Science")</f>
        <v>View Full Record in Web of Science</v>
      </c>
    </row>
    <row r="581" ht="12.75" customHeight="1">
      <c r="A581" s="14" t="s">
        <v>97</v>
      </c>
      <c r="B581" s="14" t="s">
        <v>10501</v>
      </c>
      <c r="C581" s="14" t="s">
        <v>99</v>
      </c>
      <c r="D581" s="14" t="s">
        <v>99</v>
      </c>
      <c r="E581" s="14" t="s">
        <v>99</v>
      </c>
      <c r="F581" s="14" t="s">
        <v>10501</v>
      </c>
      <c r="G581" s="14" t="s">
        <v>99</v>
      </c>
      <c r="H581" s="14" t="s">
        <v>99</v>
      </c>
      <c r="I581" s="14" t="s">
        <v>10502</v>
      </c>
      <c r="J581" s="14" t="s">
        <v>10503</v>
      </c>
      <c r="K581" s="14" t="s">
        <v>99</v>
      </c>
      <c r="L581" s="14" t="s">
        <v>99</v>
      </c>
      <c r="M581" s="14" t="s">
        <v>103</v>
      </c>
      <c r="N581" s="14" t="s">
        <v>104</v>
      </c>
      <c r="O581" s="14" t="s">
        <v>99</v>
      </c>
      <c r="P581" s="14" t="s">
        <v>99</v>
      </c>
      <c r="Q581" s="14" t="s">
        <v>99</v>
      </c>
      <c r="R581" s="14" t="s">
        <v>99</v>
      </c>
      <c r="S581" s="14" t="s">
        <v>99</v>
      </c>
      <c r="T581" s="14" t="s">
        <v>99</v>
      </c>
      <c r="U581" s="14" t="s">
        <v>99</v>
      </c>
      <c r="V581" s="14" t="s">
        <v>10504</v>
      </c>
      <c r="W581" s="14" t="s">
        <v>10505</v>
      </c>
      <c r="X581" s="14" t="s">
        <v>10506</v>
      </c>
      <c r="Y581" s="14" t="s">
        <v>10507</v>
      </c>
      <c r="Z581" s="14" t="s">
        <v>99</v>
      </c>
      <c r="AA581" s="14" t="s">
        <v>10508</v>
      </c>
      <c r="AB581" s="14" t="s">
        <v>10509</v>
      </c>
      <c r="AC581" s="14" t="s">
        <v>99</v>
      </c>
      <c r="AD581" s="14" t="s">
        <v>99</v>
      </c>
      <c r="AE581" s="14" t="s">
        <v>99</v>
      </c>
      <c r="AF581" s="14" t="s">
        <v>99</v>
      </c>
      <c r="AG581" s="14">
        <v>31.0</v>
      </c>
      <c r="AH581" s="14">
        <v>53.0</v>
      </c>
      <c r="AI581" s="14">
        <v>56.0</v>
      </c>
      <c r="AJ581" s="14">
        <v>0.0</v>
      </c>
      <c r="AK581" s="14">
        <v>8.0</v>
      </c>
      <c r="AL581" s="14" t="s">
        <v>341</v>
      </c>
      <c r="AM581" s="14" t="s">
        <v>342</v>
      </c>
      <c r="AN581" s="14" t="s">
        <v>343</v>
      </c>
      <c r="AO581" s="14" t="s">
        <v>10510</v>
      </c>
      <c r="AP581" s="14" t="s">
        <v>10511</v>
      </c>
      <c r="AQ581" s="14" t="s">
        <v>99</v>
      </c>
      <c r="AR581" s="14" t="s">
        <v>10512</v>
      </c>
      <c r="AS581" s="14" t="s">
        <v>10513</v>
      </c>
      <c r="AT581" s="14" t="s">
        <v>145</v>
      </c>
      <c r="AU581" s="14">
        <v>1987.0</v>
      </c>
      <c r="AV581" s="14">
        <v>16.0</v>
      </c>
      <c r="AW581" s="14">
        <v>4.0</v>
      </c>
      <c r="AX581" s="14" t="s">
        <v>99</v>
      </c>
      <c r="AY581" s="14" t="s">
        <v>99</v>
      </c>
      <c r="AZ581" s="14" t="s">
        <v>99</v>
      </c>
      <c r="BA581" s="14" t="s">
        <v>99</v>
      </c>
      <c r="BB581" s="14">
        <v>383.0</v>
      </c>
      <c r="BC581" s="14">
        <v>390.0</v>
      </c>
      <c r="BD581" s="14" t="s">
        <v>99</v>
      </c>
      <c r="BE581" s="14" t="s">
        <v>10514</v>
      </c>
      <c r="BF581" s="15" t="str">
        <f>HYPERLINK("http://dx.doi.org/10.2134/jeq1987.00472425001600040016x","http://dx.doi.org/10.2134/jeq1987.00472425001600040016x")</f>
        <v>http://dx.doi.org/10.2134/jeq1987.00472425001600040016x</v>
      </c>
      <c r="BG581" s="14" t="s">
        <v>99</v>
      </c>
      <c r="BH581" s="14" t="s">
        <v>99</v>
      </c>
      <c r="BI581" s="14">
        <v>8.0</v>
      </c>
      <c r="BJ581" s="14" t="s">
        <v>1041</v>
      </c>
      <c r="BK581" s="14" t="s">
        <v>122</v>
      </c>
      <c r="BL581" s="14" t="s">
        <v>260</v>
      </c>
      <c r="BM581" s="14" t="s">
        <v>10515</v>
      </c>
      <c r="BN581" s="14" t="s">
        <v>99</v>
      </c>
      <c r="BO581" s="14" t="s">
        <v>99</v>
      </c>
      <c r="BP581" s="14" t="s">
        <v>99</v>
      </c>
      <c r="BQ581" s="14" t="s">
        <v>99</v>
      </c>
      <c r="BR581" s="14" t="s">
        <v>124</v>
      </c>
      <c r="BS581" s="14" t="s">
        <v>10516</v>
      </c>
      <c r="BT581" s="14" t="str">
        <f>HYPERLINK("https%3A%2F%2Fwww.webofscience.com%2Fwos%2Fwoscc%2Ffull-record%2FWOS:A1987K900200016","View Full Record in Web of Science")</f>
        <v>View Full Record in Web of Science</v>
      </c>
    </row>
    <row r="582" ht="12.75" customHeight="1">
      <c r="A582" s="14" t="s">
        <v>97</v>
      </c>
      <c r="B582" s="14" t="s">
        <v>10517</v>
      </c>
      <c r="C582" s="14" t="s">
        <v>99</v>
      </c>
      <c r="D582" s="14" t="s">
        <v>99</v>
      </c>
      <c r="E582" s="14" t="s">
        <v>99</v>
      </c>
      <c r="F582" s="14" t="s">
        <v>10517</v>
      </c>
      <c r="G582" s="14" t="s">
        <v>99</v>
      </c>
      <c r="H582" s="14" t="s">
        <v>99</v>
      </c>
      <c r="I582" s="14" t="s">
        <v>10518</v>
      </c>
      <c r="J582" s="14" t="s">
        <v>6455</v>
      </c>
      <c r="K582" s="14" t="s">
        <v>99</v>
      </c>
      <c r="L582" s="14" t="s">
        <v>99</v>
      </c>
      <c r="M582" s="14" t="s">
        <v>103</v>
      </c>
      <c r="N582" s="14" t="s">
        <v>104</v>
      </c>
      <c r="O582" s="14" t="s">
        <v>99</v>
      </c>
      <c r="P582" s="14" t="s">
        <v>99</v>
      </c>
      <c r="Q582" s="14" t="s">
        <v>99</v>
      </c>
      <c r="R582" s="14" t="s">
        <v>99</v>
      </c>
      <c r="S582" s="14" t="s">
        <v>99</v>
      </c>
      <c r="T582" s="14" t="s">
        <v>99</v>
      </c>
      <c r="U582" s="14" t="s">
        <v>99</v>
      </c>
      <c r="V582" s="14" t="s">
        <v>10519</v>
      </c>
      <c r="W582" s="14" t="s">
        <v>99</v>
      </c>
      <c r="X582" s="14" t="s">
        <v>99</v>
      </c>
      <c r="Y582" s="14" t="s">
        <v>10520</v>
      </c>
      <c r="Z582" s="14" t="s">
        <v>99</v>
      </c>
      <c r="AA582" s="14" t="s">
        <v>99</v>
      </c>
      <c r="AB582" s="14" t="s">
        <v>99</v>
      </c>
      <c r="AC582" s="14" t="s">
        <v>99</v>
      </c>
      <c r="AD582" s="14" t="s">
        <v>99</v>
      </c>
      <c r="AE582" s="14" t="s">
        <v>99</v>
      </c>
      <c r="AF582" s="14" t="s">
        <v>99</v>
      </c>
      <c r="AG582" s="14">
        <v>0.0</v>
      </c>
      <c r="AH582" s="14">
        <v>194.0</v>
      </c>
      <c r="AI582" s="14">
        <v>231.0</v>
      </c>
      <c r="AJ582" s="14">
        <v>0.0</v>
      </c>
      <c r="AK582" s="14">
        <v>21.0</v>
      </c>
      <c r="AL582" s="14" t="s">
        <v>341</v>
      </c>
      <c r="AM582" s="14" t="s">
        <v>342</v>
      </c>
      <c r="AN582" s="14" t="s">
        <v>343</v>
      </c>
      <c r="AO582" s="14" t="s">
        <v>6468</v>
      </c>
      <c r="AP582" s="14" t="s">
        <v>6469</v>
      </c>
      <c r="AQ582" s="14" t="s">
        <v>99</v>
      </c>
      <c r="AR582" s="14" t="s">
        <v>6455</v>
      </c>
      <c r="AS582" s="14" t="s">
        <v>6470</v>
      </c>
      <c r="AT582" s="14" t="s">
        <v>99</v>
      </c>
      <c r="AU582" s="14">
        <v>1984.0</v>
      </c>
      <c r="AV582" s="14">
        <v>16.0</v>
      </c>
      <c r="AW582" s="14">
        <v>3.0</v>
      </c>
      <c r="AX582" s="14" t="s">
        <v>99</v>
      </c>
      <c r="AY582" s="14" t="s">
        <v>99</v>
      </c>
      <c r="AZ582" s="14" t="s">
        <v>99</v>
      </c>
      <c r="BA582" s="14" t="s">
        <v>99</v>
      </c>
      <c r="BB582" s="14">
        <v>210.0</v>
      </c>
      <c r="BC582" s="14">
        <v>222.0</v>
      </c>
      <c r="BD582" s="14" t="s">
        <v>99</v>
      </c>
      <c r="BE582" s="14" t="s">
        <v>10521</v>
      </c>
      <c r="BF582" s="15" t="str">
        <f>HYPERLINK("http://dx.doi.org/10.2307/2388054","http://dx.doi.org/10.2307/2388054")</f>
        <v>http://dx.doi.org/10.2307/2388054</v>
      </c>
      <c r="BG582" s="14" t="s">
        <v>99</v>
      </c>
      <c r="BH582" s="14" t="s">
        <v>99</v>
      </c>
      <c r="BI582" s="14">
        <v>13.0</v>
      </c>
      <c r="BJ582" s="14" t="s">
        <v>259</v>
      </c>
      <c r="BK582" s="14" t="s">
        <v>122</v>
      </c>
      <c r="BL582" s="14" t="s">
        <v>260</v>
      </c>
      <c r="BM582" s="14" t="s">
        <v>10522</v>
      </c>
      <c r="BN582" s="14" t="s">
        <v>99</v>
      </c>
      <c r="BO582" s="14" t="s">
        <v>99</v>
      </c>
      <c r="BP582" s="14" t="s">
        <v>99</v>
      </c>
      <c r="BQ582" s="14" t="s">
        <v>99</v>
      </c>
      <c r="BR582" s="14" t="s">
        <v>124</v>
      </c>
      <c r="BS582" s="14" t="s">
        <v>10523</v>
      </c>
      <c r="BT582" s="14" t="str">
        <f>HYPERLINK("https%3A%2F%2Fwww.webofscience.com%2Fwos%2Fwoscc%2Ffull-record%2FWOS:A1984TR49200005","View Full Record in Web of Science")</f>
        <v>View Full Record in Web of Science</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150</v>
      </c>
      <c r="C2" s="14" t="s">
        <v>99</v>
      </c>
      <c r="D2" s="14" t="s">
        <v>99</v>
      </c>
      <c r="E2" s="14" t="s">
        <v>99</v>
      </c>
      <c r="F2" s="14" t="s">
        <v>151</v>
      </c>
      <c r="G2" s="14" t="s">
        <v>99</v>
      </c>
      <c r="H2" s="14" t="s">
        <v>99</v>
      </c>
      <c r="I2" s="14" t="s">
        <v>152</v>
      </c>
      <c r="J2" s="14" t="s">
        <v>153</v>
      </c>
      <c r="K2" s="14" t="s">
        <v>99</v>
      </c>
      <c r="L2" s="14" t="s">
        <v>99</v>
      </c>
      <c r="M2" s="14" t="s">
        <v>103</v>
      </c>
      <c r="N2" s="14" t="s">
        <v>104</v>
      </c>
      <c r="O2" s="14" t="s">
        <v>99</v>
      </c>
      <c r="P2" s="14" t="s">
        <v>99</v>
      </c>
      <c r="Q2" s="14" t="s">
        <v>99</v>
      </c>
      <c r="R2" s="14" t="s">
        <v>99</v>
      </c>
      <c r="S2" s="14" t="s">
        <v>99</v>
      </c>
      <c r="T2" s="14" t="s">
        <v>99</v>
      </c>
      <c r="U2" s="14" t="s">
        <v>154</v>
      </c>
      <c r="V2" s="14" t="s">
        <v>155</v>
      </c>
      <c r="W2" s="14" t="s">
        <v>156</v>
      </c>
      <c r="X2" s="14" t="s">
        <v>157</v>
      </c>
      <c r="Y2" s="14" t="s">
        <v>158</v>
      </c>
      <c r="Z2" s="14" t="s">
        <v>99</v>
      </c>
      <c r="AA2" s="14" t="s">
        <v>99</v>
      </c>
      <c r="AB2" s="14" t="s">
        <v>99</v>
      </c>
      <c r="AC2" s="14" t="s">
        <v>159</v>
      </c>
      <c r="AD2" s="14" t="s">
        <v>159</v>
      </c>
      <c r="AE2" s="14" t="s">
        <v>160</v>
      </c>
      <c r="AF2" s="14" t="s">
        <v>99</v>
      </c>
      <c r="AG2" s="14">
        <v>33.0</v>
      </c>
      <c r="AH2" s="14">
        <v>5.0</v>
      </c>
      <c r="AI2" s="14">
        <v>7.0</v>
      </c>
      <c r="AJ2" s="14">
        <v>0.0</v>
      </c>
      <c r="AK2" s="14">
        <v>6.0</v>
      </c>
      <c r="AL2" s="14" t="s">
        <v>161</v>
      </c>
      <c r="AM2" s="14" t="s">
        <v>162</v>
      </c>
      <c r="AN2" s="14" t="s">
        <v>163</v>
      </c>
      <c r="AO2" s="14" t="s">
        <v>164</v>
      </c>
      <c r="AP2" s="14" t="s">
        <v>165</v>
      </c>
      <c r="AQ2" s="14" t="s">
        <v>99</v>
      </c>
      <c r="AR2" s="14" t="s">
        <v>166</v>
      </c>
      <c r="AS2" s="14" t="s">
        <v>167</v>
      </c>
      <c r="AT2" s="14" t="s">
        <v>168</v>
      </c>
      <c r="AU2" s="14">
        <v>2008.0</v>
      </c>
      <c r="AV2" s="14">
        <v>16.0</v>
      </c>
      <c r="AW2" s="14">
        <v>4.0</v>
      </c>
      <c r="AX2" s="14" t="s">
        <v>99</v>
      </c>
      <c r="AY2" s="14" t="s">
        <v>99</v>
      </c>
      <c r="AZ2" s="14" t="s">
        <v>99</v>
      </c>
      <c r="BA2" s="14" t="s">
        <v>99</v>
      </c>
      <c r="BB2" s="14">
        <v>220.0</v>
      </c>
      <c r="BC2" s="14">
        <v>227.0</v>
      </c>
      <c r="BD2" s="14" t="s">
        <v>99</v>
      </c>
      <c r="BE2" s="14" t="s">
        <v>99</v>
      </c>
      <c r="BF2" s="14" t="s">
        <v>99</v>
      </c>
      <c r="BG2" s="14" t="s">
        <v>99</v>
      </c>
      <c r="BH2" s="14" t="s">
        <v>99</v>
      </c>
      <c r="BI2" s="14">
        <v>8.0</v>
      </c>
      <c r="BJ2" s="14" t="s">
        <v>169</v>
      </c>
      <c r="BK2" s="14" t="s">
        <v>122</v>
      </c>
      <c r="BL2" s="14" t="s">
        <v>170</v>
      </c>
      <c r="BM2" s="14" t="s">
        <v>171</v>
      </c>
      <c r="BN2" s="14" t="s">
        <v>99</v>
      </c>
      <c r="BO2" s="14" t="s">
        <v>99</v>
      </c>
      <c r="BP2" s="14" t="s">
        <v>99</v>
      </c>
      <c r="BQ2" s="14" t="s">
        <v>99</v>
      </c>
      <c r="BR2" s="14" t="s">
        <v>124</v>
      </c>
      <c r="BS2" s="14" t="s">
        <v>172</v>
      </c>
      <c r="BT2" s="14" t="str">
        <f>HYPERLINK("https%3A%2F%2Fwww.webofscience.com%2Fwos%2Fwoscc%2Ffull-record%2FWOS:000262214800002","View Full Record in Web of Science")</f>
        <v>View Full Record in Web of Science</v>
      </c>
    </row>
    <row r="3" ht="12.75" customHeight="1">
      <c r="A3" s="14" t="s">
        <v>97</v>
      </c>
      <c r="B3" s="14" t="s">
        <v>173</v>
      </c>
      <c r="C3" s="14" t="s">
        <v>99</v>
      </c>
      <c r="D3" s="14" t="s">
        <v>99</v>
      </c>
      <c r="E3" s="14" t="s">
        <v>99</v>
      </c>
      <c r="F3" s="14" t="s">
        <v>173</v>
      </c>
      <c r="G3" s="14" t="s">
        <v>99</v>
      </c>
      <c r="H3" s="14" t="s">
        <v>99</v>
      </c>
      <c r="I3" s="14" t="s">
        <v>174</v>
      </c>
      <c r="J3" s="14" t="s">
        <v>175</v>
      </c>
      <c r="K3" s="14" t="s">
        <v>99</v>
      </c>
      <c r="L3" s="14" t="s">
        <v>99</v>
      </c>
      <c r="M3" s="14" t="s">
        <v>103</v>
      </c>
      <c r="N3" s="14" t="s">
        <v>104</v>
      </c>
      <c r="O3" s="14" t="s">
        <v>99</v>
      </c>
      <c r="P3" s="14" t="s">
        <v>99</v>
      </c>
      <c r="Q3" s="14" t="s">
        <v>99</v>
      </c>
      <c r="R3" s="14" t="s">
        <v>99</v>
      </c>
      <c r="S3" s="14" t="s">
        <v>99</v>
      </c>
      <c r="T3" s="14" t="s">
        <v>99</v>
      </c>
      <c r="U3" s="14" t="s">
        <v>176</v>
      </c>
      <c r="V3" s="14" t="s">
        <v>177</v>
      </c>
      <c r="W3" s="14" t="s">
        <v>178</v>
      </c>
      <c r="X3" s="14" t="s">
        <v>179</v>
      </c>
      <c r="Y3" s="14" t="s">
        <v>180</v>
      </c>
      <c r="Z3" s="14" t="s">
        <v>99</v>
      </c>
      <c r="AA3" s="14" t="s">
        <v>181</v>
      </c>
      <c r="AB3" s="14" t="s">
        <v>182</v>
      </c>
      <c r="AC3" s="14" t="s">
        <v>99</v>
      </c>
      <c r="AD3" s="14" t="s">
        <v>99</v>
      </c>
      <c r="AE3" s="14" t="s">
        <v>99</v>
      </c>
      <c r="AF3" s="14" t="s">
        <v>99</v>
      </c>
      <c r="AG3" s="14">
        <v>61.0</v>
      </c>
      <c r="AH3" s="14">
        <v>56.0</v>
      </c>
      <c r="AI3" s="14">
        <v>64.0</v>
      </c>
      <c r="AJ3" s="14">
        <v>2.0</v>
      </c>
      <c r="AK3" s="14">
        <v>34.0</v>
      </c>
      <c r="AL3" s="14" t="s">
        <v>183</v>
      </c>
      <c r="AM3" s="14" t="s">
        <v>184</v>
      </c>
      <c r="AN3" s="14" t="s">
        <v>185</v>
      </c>
      <c r="AO3" s="14" t="s">
        <v>186</v>
      </c>
      <c r="AP3" s="14" t="s">
        <v>99</v>
      </c>
      <c r="AQ3" s="14" t="s">
        <v>99</v>
      </c>
      <c r="AR3" s="14" t="s">
        <v>187</v>
      </c>
      <c r="AS3" s="14" t="s">
        <v>188</v>
      </c>
      <c r="AT3" s="14" t="s">
        <v>99</v>
      </c>
      <c r="AU3" s="14">
        <v>2002.0</v>
      </c>
      <c r="AV3" s="14">
        <v>39.0</v>
      </c>
      <c r="AW3" s="14">
        <v>1.0</v>
      </c>
      <c r="AX3" s="14" t="s">
        <v>99</v>
      </c>
      <c r="AY3" s="14" t="s">
        <v>99</v>
      </c>
      <c r="AZ3" s="14" t="s">
        <v>99</v>
      </c>
      <c r="BA3" s="14" t="s">
        <v>99</v>
      </c>
      <c r="BB3" s="14">
        <v>69.0</v>
      </c>
      <c r="BC3" s="14">
        <v>86.0</v>
      </c>
      <c r="BD3" s="14" t="s">
        <v>99</v>
      </c>
      <c r="BE3" s="14" t="s">
        <v>99</v>
      </c>
      <c r="BF3" s="14" t="s">
        <v>99</v>
      </c>
      <c r="BG3" s="14" t="s">
        <v>99</v>
      </c>
      <c r="BH3" s="14" t="s">
        <v>99</v>
      </c>
      <c r="BI3" s="14">
        <v>18.0</v>
      </c>
      <c r="BJ3" s="14" t="s">
        <v>189</v>
      </c>
      <c r="BK3" s="14" t="s">
        <v>122</v>
      </c>
      <c r="BL3" s="14" t="s">
        <v>190</v>
      </c>
      <c r="BM3" s="14" t="s">
        <v>191</v>
      </c>
      <c r="BN3" s="14" t="s">
        <v>99</v>
      </c>
      <c r="BO3" s="14" t="s">
        <v>99</v>
      </c>
      <c r="BP3" s="14" t="s">
        <v>99</v>
      </c>
      <c r="BQ3" s="14" t="s">
        <v>99</v>
      </c>
      <c r="BR3" s="14" t="s">
        <v>124</v>
      </c>
      <c r="BS3" s="14" t="s">
        <v>192</v>
      </c>
      <c r="BT3" s="14" t="str">
        <f>HYPERLINK("https%3A%2F%2Fwww.webofscience.com%2Fwos%2Fwoscc%2Ffull-record%2FWOS:000174479300009","View Full Record in Web of Science")</f>
        <v>View Full Record in Web of Science</v>
      </c>
    </row>
    <row r="4" ht="12.75" customHeight="1">
      <c r="A4" s="14" t="s">
        <v>97</v>
      </c>
      <c r="B4" s="14" t="s">
        <v>193</v>
      </c>
      <c r="C4" s="14" t="s">
        <v>99</v>
      </c>
      <c r="D4" s="14" t="s">
        <v>99</v>
      </c>
      <c r="E4" s="14" t="s">
        <v>99</v>
      </c>
      <c r="F4" s="14" t="s">
        <v>194</v>
      </c>
      <c r="G4" s="14" t="s">
        <v>99</v>
      </c>
      <c r="H4" s="14" t="s">
        <v>99</v>
      </c>
      <c r="I4" s="14" t="s">
        <v>195</v>
      </c>
      <c r="J4" s="14" t="s">
        <v>196</v>
      </c>
      <c r="K4" s="14" t="s">
        <v>99</v>
      </c>
      <c r="L4" s="14" t="s">
        <v>99</v>
      </c>
      <c r="M4" s="14" t="s">
        <v>103</v>
      </c>
      <c r="N4" s="14" t="s">
        <v>104</v>
      </c>
      <c r="O4" s="14" t="s">
        <v>99</v>
      </c>
      <c r="P4" s="14" t="s">
        <v>99</v>
      </c>
      <c r="Q4" s="14" t="s">
        <v>99</v>
      </c>
      <c r="R4" s="14" t="s">
        <v>99</v>
      </c>
      <c r="S4" s="14" t="s">
        <v>99</v>
      </c>
      <c r="T4" s="14" t="s">
        <v>197</v>
      </c>
      <c r="U4" s="14" t="s">
        <v>198</v>
      </c>
      <c r="V4" s="14" t="s">
        <v>199</v>
      </c>
      <c r="W4" s="14" t="s">
        <v>200</v>
      </c>
      <c r="X4" s="14" t="s">
        <v>201</v>
      </c>
      <c r="Y4" s="14" t="s">
        <v>202</v>
      </c>
      <c r="Z4" s="14" t="s">
        <v>203</v>
      </c>
      <c r="AA4" s="14" t="s">
        <v>204</v>
      </c>
      <c r="AB4" s="14" t="s">
        <v>205</v>
      </c>
      <c r="AC4" s="14" t="s">
        <v>99</v>
      </c>
      <c r="AD4" s="14" t="s">
        <v>99</v>
      </c>
      <c r="AE4" s="14" t="s">
        <v>99</v>
      </c>
      <c r="AF4" s="14" t="s">
        <v>99</v>
      </c>
      <c r="AG4" s="14">
        <v>25.0</v>
      </c>
      <c r="AH4" s="14">
        <v>11.0</v>
      </c>
      <c r="AI4" s="14">
        <v>12.0</v>
      </c>
      <c r="AJ4" s="14">
        <v>0.0</v>
      </c>
      <c r="AK4" s="14">
        <v>24.0</v>
      </c>
      <c r="AL4" s="14" t="s">
        <v>206</v>
      </c>
      <c r="AM4" s="14" t="s">
        <v>207</v>
      </c>
      <c r="AN4" s="14" t="s">
        <v>208</v>
      </c>
      <c r="AO4" s="14" t="s">
        <v>209</v>
      </c>
      <c r="AP4" s="14" t="s">
        <v>210</v>
      </c>
      <c r="AQ4" s="14" t="s">
        <v>99</v>
      </c>
      <c r="AR4" s="14" t="s">
        <v>211</v>
      </c>
      <c r="AS4" s="14" t="s">
        <v>212</v>
      </c>
      <c r="AT4" s="14" t="s">
        <v>213</v>
      </c>
      <c r="AU4" s="14">
        <v>2011.0</v>
      </c>
      <c r="AV4" s="14">
        <v>39.0</v>
      </c>
      <c r="AW4" s="14">
        <v>2.0</v>
      </c>
      <c r="AX4" s="14" t="s">
        <v>99</v>
      </c>
      <c r="AY4" s="14" t="s">
        <v>99</v>
      </c>
      <c r="AZ4" s="14" t="s">
        <v>99</v>
      </c>
      <c r="BA4" s="14" t="s">
        <v>99</v>
      </c>
      <c r="BB4" s="14">
        <v>142.0</v>
      </c>
      <c r="BC4" s="14">
        <v>145.0</v>
      </c>
      <c r="BD4" s="14" t="s">
        <v>99</v>
      </c>
      <c r="BE4" s="14" t="s">
        <v>99</v>
      </c>
      <c r="BF4" s="14" t="s">
        <v>99</v>
      </c>
      <c r="BG4" s="14" t="s">
        <v>99</v>
      </c>
      <c r="BH4" s="14" t="s">
        <v>99</v>
      </c>
      <c r="BI4" s="14">
        <v>4.0</v>
      </c>
      <c r="BJ4" s="14" t="s">
        <v>214</v>
      </c>
      <c r="BK4" s="14" t="s">
        <v>122</v>
      </c>
      <c r="BL4" s="14" t="s">
        <v>214</v>
      </c>
      <c r="BM4" s="14" t="s">
        <v>215</v>
      </c>
      <c r="BN4" s="14" t="s">
        <v>99</v>
      </c>
      <c r="BO4" s="14" t="s">
        <v>99</v>
      </c>
      <c r="BP4" s="14" t="s">
        <v>99</v>
      </c>
      <c r="BQ4" s="14" t="s">
        <v>99</v>
      </c>
      <c r="BR4" s="14" t="s">
        <v>124</v>
      </c>
      <c r="BS4" s="14" t="s">
        <v>216</v>
      </c>
      <c r="BT4" s="14" t="str">
        <f>HYPERLINK("https%3A%2F%2Fwww.webofscience.com%2Fwos%2Fwoscc%2Ffull-record%2FWOS:000297659600020","View Full Record in Web of Science")</f>
        <v>View Full Record in Web of Science</v>
      </c>
    </row>
    <row r="5" ht="12.75" customHeight="1">
      <c r="A5" s="14" t="s">
        <v>97</v>
      </c>
      <c r="B5" s="14" t="s">
        <v>240</v>
      </c>
      <c r="C5" s="14" t="s">
        <v>99</v>
      </c>
      <c r="D5" s="14" t="s">
        <v>99</v>
      </c>
      <c r="E5" s="14" t="s">
        <v>99</v>
      </c>
      <c r="F5" s="14" t="s">
        <v>241</v>
      </c>
      <c r="G5" s="14" t="s">
        <v>99</v>
      </c>
      <c r="H5" s="14" t="s">
        <v>99</v>
      </c>
      <c r="I5" s="14" t="s">
        <v>242</v>
      </c>
      <c r="J5" s="14" t="s">
        <v>243</v>
      </c>
      <c r="K5" s="14" t="s">
        <v>99</v>
      </c>
      <c r="L5" s="14" t="s">
        <v>99</v>
      </c>
      <c r="M5" s="14" t="s">
        <v>103</v>
      </c>
      <c r="N5" s="14" t="s">
        <v>104</v>
      </c>
      <c r="O5" s="14" t="s">
        <v>99</v>
      </c>
      <c r="P5" s="14" t="s">
        <v>99</v>
      </c>
      <c r="Q5" s="14" t="s">
        <v>99</v>
      </c>
      <c r="R5" s="14" t="s">
        <v>99</v>
      </c>
      <c r="S5" s="14" t="s">
        <v>99</v>
      </c>
      <c r="T5" s="14" t="s">
        <v>244</v>
      </c>
      <c r="U5" s="14" t="s">
        <v>245</v>
      </c>
      <c r="V5" s="14" t="s">
        <v>246</v>
      </c>
      <c r="W5" s="14" t="s">
        <v>247</v>
      </c>
      <c r="X5" s="14" t="s">
        <v>248</v>
      </c>
      <c r="Y5" s="14" t="s">
        <v>249</v>
      </c>
      <c r="Z5" s="14" t="s">
        <v>250</v>
      </c>
      <c r="AA5" s="14" t="s">
        <v>251</v>
      </c>
      <c r="AB5" s="14" t="s">
        <v>252</v>
      </c>
      <c r="AC5" s="14" t="s">
        <v>99</v>
      </c>
      <c r="AD5" s="14" t="s">
        <v>99</v>
      </c>
      <c r="AE5" s="14" t="s">
        <v>99</v>
      </c>
      <c r="AF5" s="14" t="s">
        <v>99</v>
      </c>
      <c r="AG5" s="14">
        <v>37.0</v>
      </c>
      <c r="AH5" s="14">
        <v>20.0</v>
      </c>
      <c r="AI5" s="14">
        <v>21.0</v>
      </c>
      <c r="AJ5" s="14">
        <v>0.0</v>
      </c>
      <c r="AK5" s="14">
        <v>11.0</v>
      </c>
      <c r="AL5" s="14" t="s">
        <v>253</v>
      </c>
      <c r="AM5" s="14" t="s">
        <v>254</v>
      </c>
      <c r="AN5" s="14" t="s">
        <v>255</v>
      </c>
      <c r="AO5" s="14" t="s">
        <v>256</v>
      </c>
      <c r="AP5" s="14" t="s">
        <v>99</v>
      </c>
      <c r="AQ5" s="14" t="s">
        <v>99</v>
      </c>
      <c r="AR5" s="14" t="s">
        <v>257</v>
      </c>
      <c r="AS5" s="14" t="s">
        <v>258</v>
      </c>
      <c r="AT5" s="14" t="s">
        <v>99</v>
      </c>
      <c r="AU5" s="14">
        <v>2008.0</v>
      </c>
      <c r="AV5" s="14">
        <v>56.0</v>
      </c>
      <c r="AW5" s="14">
        <v>1.0</v>
      </c>
      <c r="AX5" s="14" t="s">
        <v>99</v>
      </c>
      <c r="AY5" s="14" t="s">
        <v>99</v>
      </c>
      <c r="AZ5" s="14" t="s">
        <v>99</v>
      </c>
      <c r="BA5" s="14" t="s">
        <v>99</v>
      </c>
      <c r="BB5" s="14">
        <v>33.0</v>
      </c>
      <c r="BC5" s="14">
        <v>43.0</v>
      </c>
      <c r="BD5" s="14" t="s">
        <v>99</v>
      </c>
      <c r="BE5" s="14" t="s">
        <v>99</v>
      </c>
      <c r="BF5" s="14" t="s">
        <v>99</v>
      </c>
      <c r="BG5" s="14" t="s">
        <v>99</v>
      </c>
      <c r="BH5" s="14" t="s">
        <v>99</v>
      </c>
      <c r="BI5" s="14">
        <v>11.0</v>
      </c>
      <c r="BJ5" s="14" t="s">
        <v>259</v>
      </c>
      <c r="BK5" s="14" t="s">
        <v>122</v>
      </c>
      <c r="BL5" s="14" t="s">
        <v>260</v>
      </c>
      <c r="BM5" s="14" t="s">
        <v>261</v>
      </c>
      <c r="BN5" s="14" t="s">
        <v>99</v>
      </c>
      <c r="BO5" s="14" t="s">
        <v>99</v>
      </c>
      <c r="BP5" s="14" t="s">
        <v>99</v>
      </c>
      <c r="BQ5" s="14" t="s">
        <v>99</v>
      </c>
      <c r="BR5" s="14" t="s">
        <v>124</v>
      </c>
      <c r="BS5" s="14" t="s">
        <v>262</v>
      </c>
      <c r="BT5" s="14" t="str">
        <f>HYPERLINK("https%3A%2F%2Fwww.webofscience.com%2Fwos%2Fwoscc%2Ffull-record%2FWOS:000254107400003","View Full Record in Web of Science")</f>
        <v>View Full Record in Web of Science</v>
      </c>
    </row>
    <row r="6" ht="12.75" customHeight="1">
      <c r="A6" s="14" t="s">
        <v>97</v>
      </c>
      <c r="B6" s="14" t="s">
        <v>263</v>
      </c>
      <c r="C6" s="14" t="s">
        <v>99</v>
      </c>
      <c r="D6" s="14" t="s">
        <v>99</v>
      </c>
      <c r="E6" s="14" t="s">
        <v>99</v>
      </c>
      <c r="F6" s="14" t="s">
        <v>263</v>
      </c>
      <c r="G6" s="14" t="s">
        <v>99</v>
      </c>
      <c r="H6" s="14" t="s">
        <v>99</v>
      </c>
      <c r="I6" s="14" t="s">
        <v>264</v>
      </c>
      <c r="J6" s="14" t="s">
        <v>265</v>
      </c>
      <c r="K6" s="14" t="s">
        <v>99</v>
      </c>
      <c r="L6" s="14" t="s">
        <v>99</v>
      </c>
      <c r="M6" s="14" t="s">
        <v>103</v>
      </c>
      <c r="N6" s="14" t="s">
        <v>104</v>
      </c>
      <c r="O6" s="14" t="s">
        <v>99</v>
      </c>
      <c r="P6" s="14" t="s">
        <v>99</v>
      </c>
      <c r="Q6" s="14" t="s">
        <v>99</v>
      </c>
      <c r="R6" s="14" t="s">
        <v>99</v>
      </c>
      <c r="S6" s="14" t="s">
        <v>99</v>
      </c>
      <c r="T6" s="14" t="s">
        <v>266</v>
      </c>
      <c r="U6" s="14" t="s">
        <v>267</v>
      </c>
      <c r="V6" s="14" t="s">
        <v>268</v>
      </c>
      <c r="W6" s="14" t="s">
        <v>269</v>
      </c>
      <c r="X6" s="14" t="s">
        <v>270</v>
      </c>
      <c r="Y6" s="14" t="s">
        <v>271</v>
      </c>
      <c r="Z6" s="14" t="s">
        <v>272</v>
      </c>
      <c r="AA6" s="14" t="s">
        <v>99</v>
      </c>
      <c r="AB6" s="14" t="s">
        <v>99</v>
      </c>
      <c r="AC6" s="14" t="s">
        <v>99</v>
      </c>
      <c r="AD6" s="14" t="s">
        <v>99</v>
      </c>
      <c r="AE6" s="14" t="s">
        <v>99</v>
      </c>
      <c r="AF6" s="14" t="s">
        <v>99</v>
      </c>
      <c r="AG6" s="14">
        <v>49.0</v>
      </c>
      <c r="AH6" s="14">
        <v>142.0</v>
      </c>
      <c r="AI6" s="14">
        <v>186.0</v>
      </c>
      <c r="AJ6" s="14">
        <v>5.0</v>
      </c>
      <c r="AK6" s="14">
        <v>91.0</v>
      </c>
      <c r="AL6" s="14" t="s">
        <v>273</v>
      </c>
      <c r="AM6" s="14" t="s">
        <v>274</v>
      </c>
      <c r="AN6" s="14" t="s">
        <v>275</v>
      </c>
      <c r="AO6" s="14" t="s">
        <v>276</v>
      </c>
      <c r="AP6" s="14" t="s">
        <v>277</v>
      </c>
      <c r="AQ6" s="14" t="s">
        <v>99</v>
      </c>
      <c r="AR6" s="14" t="s">
        <v>278</v>
      </c>
      <c r="AS6" s="14" t="s">
        <v>279</v>
      </c>
      <c r="AT6" s="14" t="s">
        <v>280</v>
      </c>
      <c r="AU6" s="14">
        <v>2002.0</v>
      </c>
      <c r="AV6" s="14">
        <v>48.0</v>
      </c>
      <c r="AW6" s="14">
        <v>1.0</v>
      </c>
      <c r="AX6" s="14" t="s">
        <v>99</v>
      </c>
      <c r="AY6" s="14" t="s">
        <v>99</v>
      </c>
      <c r="AZ6" s="14" t="s">
        <v>99</v>
      </c>
      <c r="BA6" s="14" t="s">
        <v>99</v>
      </c>
      <c r="BB6" s="14">
        <v>129.0</v>
      </c>
      <c r="BC6" s="14">
        <v>145.0</v>
      </c>
      <c r="BD6" s="14" t="s">
        <v>99</v>
      </c>
      <c r="BE6" s="14" t="s">
        <v>99</v>
      </c>
      <c r="BF6" s="14" t="s">
        <v>99</v>
      </c>
      <c r="BG6" s="14" t="s">
        <v>99</v>
      </c>
      <c r="BH6" s="14" t="s">
        <v>99</v>
      </c>
      <c r="BI6" s="14">
        <v>17.0</v>
      </c>
      <c r="BJ6" s="14" t="s">
        <v>281</v>
      </c>
      <c r="BK6" s="14" t="s">
        <v>122</v>
      </c>
      <c r="BL6" s="14" t="s">
        <v>281</v>
      </c>
      <c r="BM6" s="14" t="s">
        <v>282</v>
      </c>
      <c r="BN6" s="14" t="s">
        <v>99</v>
      </c>
      <c r="BO6" s="14" t="s">
        <v>99</v>
      </c>
      <c r="BP6" s="14" t="s">
        <v>99</v>
      </c>
      <c r="BQ6" s="14" t="s">
        <v>99</v>
      </c>
      <c r="BR6" s="14" t="s">
        <v>124</v>
      </c>
      <c r="BS6" s="14" t="s">
        <v>283</v>
      </c>
      <c r="BT6" s="14" t="str">
        <f>HYPERLINK("https%3A%2F%2Fwww.webofscience.com%2Fwos%2Fwoscc%2Ffull-record%2FWOS:000173846700015","View Full Record in Web of Science")</f>
        <v>View Full Record in Web of Science</v>
      </c>
    </row>
    <row r="7" ht="12.75" customHeight="1">
      <c r="A7" s="14" t="s">
        <v>97</v>
      </c>
      <c r="B7" s="14" t="s">
        <v>3239</v>
      </c>
      <c r="C7" s="14" t="s">
        <v>99</v>
      </c>
      <c r="D7" s="14" t="s">
        <v>99</v>
      </c>
      <c r="E7" s="14" t="s">
        <v>99</v>
      </c>
      <c r="F7" s="14" t="s">
        <v>3240</v>
      </c>
      <c r="G7" s="14" t="s">
        <v>99</v>
      </c>
      <c r="H7" s="14" t="s">
        <v>99</v>
      </c>
      <c r="I7" s="14" t="s">
        <v>3241</v>
      </c>
      <c r="J7" s="14" t="s">
        <v>3242</v>
      </c>
      <c r="K7" s="14" t="s">
        <v>99</v>
      </c>
      <c r="L7" s="14" t="s">
        <v>99</v>
      </c>
      <c r="M7" s="14" t="s">
        <v>103</v>
      </c>
      <c r="N7" s="14" t="s">
        <v>104</v>
      </c>
      <c r="O7" s="14" t="s">
        <v>99</v>
      </c>
      <c r="P7" s="14" t="s">
        <v>99</v>
      </c>
      <c r="Q7" s="14" t="s">
        <v>99</v>
      </c>
      <c r="R7" s="14" t="s">
        <v>99</v>
      </c>
      <c r="S7" s="14" t="s">
        <v>99</v>
      </c>
      <c r="T7" s="14" t="s">
        <v>3243</v>
      </c>
      <c r="U7" s="14" t="s">
        <v>3244</v>
      </c>
      <c r="V7" s="14" t="s">
        <v>3245</v>
      </c>
      <c r="W7" s="14" t="s">
        <v>3246</v>
      </c>
      <c r="X7" s="14" t="s">
        <v>3247</v>
      </c>
      <c r="Y7" s="14" t="s">
        <v>3248</v>
      </c>
      <c r="Z7" s="14" t="s">
        <v>3249</v>
      </c>
      <c r="AA7" s="14" t="s">
        <v>99</v>
      </c>
      <c r="AB7" s="14" t="s">
        <v>3250</v>
      </c>
      <c r="AC7" s="14" t="s">
        <v>99</v>
      </c>
      <c r="AD7" s="14" t="s">
        <v>99</v>
      </c>
      <c r="AE7" s="14" t="s">
        <v>99</v>
      </c>
      <c r="AF7" s="14" t="s">
        <v>99</v>
      </c>
      <c r="AG7" s="14">
        <v>46.0</v>
      </c>
      <c r="AH7" s="14">
        <v>46.0</v>
      </c>
      <c r="AI7" s="14">
        <v>56.0</v>
      </c>
      <c r="AJ7" s="14">
        <v>5.0</v>
      </c>
      <c r="AK7" s="14">
        <v>135.0</v>
      </c>
      <c r="AL7" s="14" t="s">
        <v>2301</v>
      </c>
      <c r="AM7" s="14" t="s">
        <v>2302</v>
      </c>
      <c r="AN7" s="14" t="s">
        <v>2303</v>
      </c>
      <c r="AO7" s="14" t="s">
        <v>3251</v>
      </c>
      <c r="AP7" s="14" t="s">
        <v>3252</v>
      </c>
      <c r="AQ7" s="14" t="s">
        <v>99</v>
      </c>
      <c r="AR7" s="14" t="s">
        <v>3253</v>
      </c>
      <c r="AS7" s="14" t="s">
        <v>3254</v>
      </c>
      <c r="AT7" s="14" t="s">
        <v>616</v>
      </c>
      <c r="AU7" s="14">
        <v>2014.0</v>
      </c>
      <c r="AV7" s="14">
        <v>6.0</v>
      </c>
      <c r="AW7" s="14">
        <v>3.0</v>
      </c>
      <c r="AX7" s="14" t="s">
        <v>99</v>
      </c>
      <c r="AY7" s="14" t="s">
        <v>99</v>
      </c>
      <c r="AZ7" s="14" t="s">
        <v>99</v>
      </c>
      <c r="BA7" s="14" t="s">
        <v>99</v>
      </c>
      <c r="BB7" s="14">
        <v>324.0</v>
      </c>
      <c r="BC7" s="14">
        <v>333.0</v>
      </c>
      <c r="BD7" s="14" t="s">
        <v>99</v>
      </c>
      <c r="BE7" s="14" t="s">
        <v>3255</v>
      </c>
      <c r="BF7" s="15" t="str">
        <f>HYPERLINK("http://dx.doi.org/10.1007/s40333-013-0202-y","http://dx.doi.org/10.1007/s40333-013-0202-y")</f>
        <v>http://dx.doi.org/10.1007/s40333-013-0202-y</v>
      </c>
      <c r="BG7" s="14" t="s">
        <v>99</v>
      </c>
      <c r="BH7" s="14" t="s">
        <v>99</v>
      </c>
      <c r="BI7" s="14">
        <v>10.0</v>
      </c>
      <c r="BJ7" s="14" t="s">
        <v>1041</v>
      </c>
      <c r="BK7" s="14" t="s">
        <v>122</v>
      </c>
      <c r="BL7" s="14" t="s">
        <v>260</v>
      </c>
      <c r="BM7" s="14" t="s">
        <v>3256</v>
      </c>
      <c r="BN7" s="14" t="s">
        <v>99</v>
      </c>
      <c r="BO7" s="14" t="s">
        <v>99</v>
      </c>
      <c r="BP7" s="14" t="s">
        <v>99</v>
      </c>
      <c r="BQ7" s="14" t="s">
        <v>99</v>
      </c>
      <c r="BR7" s="14" t="s">
        <v>124</v>
      </c>
      <c r="BS7" s="14" t="s">
        <v>3257</v>
      </c>
      <c r="BT7" s="14" t="str">
        <f>HYPERLINK("https%3A%2F%2Fwww.webofscience.com%2Fwos%2Fwoscc%2Ffull-record%2FWOS:000330235300008","View Full Record in Web of Science")</f>
        <v>View Full Record in Web of Science</v>
      </c>
    </row>
    <row r="8" ht="12.75" customHeight="1">
      <c r="A8" s="14" t="s">
        <v>97</v>
      </c>
      <c r="B8" s="14" t="s">
        <v>3298</v>
      </c>
      <c r="C8" s="14" t="s">
        <v>99</v>
      </c>
      <c r="D8" s="14" t="s">
        <v>99</v>
      </c>
      <c r="E8" s="14" t="s">
        <v>99</v>
      </c>
      <c r="F8" s="14" t="s">
        <v>3299</v>
      </c>
      <c r="G8" s="14" t="s">
        <v>99</v>
      </c>
      <c r="H8" s="14" t="s">
        <v>99</v>
      </c>
      <c r="I8" s="14" t="s">
        <v>3300</v>
      </c>
      <c r="J8" s="14" t="s">
        <v>900</v>
      </c>
      <c r="K8" s="14" t="s">
        <v>99</v>
      </c>
      <c r="L8" s="14" t="s">
        <v>99</v>
      </c>
      <c r="M8" s="14" t="s">
        <v>103</v>
      </c>
      <c r="N8" s="14" t="s">
        <v>104</v>
      </c>
      <c r="O8" s="14" t="s">
        <v>99</v>
      </c>
      <c r="P8" s="14" t="s">
        <v>99</v>
      </c>
      <c r="Q8" s="14" t="s">
        <v>99</v>
      </c>
      <c r="R8" s="14" t="s">
        <v>99</v>
      </c>
      <c r="S8" s="14" t="s">
        <v>99</v>
      </c>
      <c r="T8" s="14" t="s">
        <v>99</v>
      </c>
      <c r="U8" s="14" t="s">
        <v>3301</v>
      </c>
      <c r="V8" s="14" t="s">
        <v>3302</v>
      </c>
      <c r="W8" s="14" t="s">
        <v>3303</v>
      </c>
      <c r="X8" s="14" t="s">
        <v>3304</v>
      </c>
      <c r="Y8" s="14" t="s">
        <v>3305</v>
      </c>
      <c r="Z8" s="14" t="s">
        <v>3306</v>
      </c>
      <c r="AA8" s="14" t="s">
        <v>3307</v>
      </c>
      <c r="AB8" s="14" t="s">
        <v>3308</v>
      </c>
      <c r="AC8" s="14" t="s">
        <v>3309</v>
      </c>
      <c r="AD8" s="14" t="s">
        <v>3310</v>
      </c>
      <c r="AE8" s="14" t="s">
        <v>3311</v>
      </c>
      <c r="AF8" s="14" t="s">
        <v>99</v>
      </c>
      <c r="AG8" s="14">
        <v>42.0</v>
      </c>
      <c r="AH8" s="14">
        <v>465.0</v>
      </c>
      <c r="AI8" s="14">
        <v>518.0</v>
      </c>
      <c r="AJ8" s="14">
        <v>35.0</v>
      </c>
      <c r="AK8" s="14">
        <v>1089.0</v>
      </c>
      <c r="AL8" s="14" t="s">
        <v>1326</v>
      </c>
      <c r="AM8" s="14" t="s">
        <v>274</v>
      </c>
      <c r="AN8" s="14" t="s">
        <v>1327</v>
      </c>
      <c r="AO8" s="14" t="s">
        <v>912</v>
      </c>
      <c r="AP8" s="14" t="s">
        <v>913</v>
      </c>
      <c r="AQ8" s="14" t="s">
        <v>99</v>
      </c>
      <c r="AR8" s="14" t="s">
        <v>900</v>
      </c>
      <c r="AS8" s="14" t="s">
        <v>914</v>
      </c>
      <c r="AT8" s="14" t="s">
        <v>3312</v>
      </c>
      <c r="AU8" s="14">
        <v>2014.0</v>
      </c>
      <c r="AV8" s="14">
        <v>508.0</v>
      </c>
      <c r="AW8" s="14">
        <v>7497.0</v>
      </c>
      <c r="AX8" s="14" t="s">
        <v>99</v>
      </c>
      <c r="AY8" s="14" t="s">
        <v>99</v>
      </c>
      <c r="AZ8" s="14" t="s">
        <v>99</v>
      </c>
      <c r="BA8" s="14" t="s">
        <v>99</v>
      </c>
      <c r="BB8" s="14">
        <v>521.0</v>
      </c>
      <c r="BC8" s="14" t="s">
        <v>916</v>
      </c>
      <c r="BD8" s="14" t="s">
        <v>99</v>
      </c>
      <c r="BE8" s="14" t="s">
        <v>3313</v>
      </c>
      <c r="BF8" s="15" t="str">
        <f>HYPERLINK("http://dx.doi.org/10.1038/nature13014","http://dx.doi.org/10.1038/nature13014")</f>
        <v>http://dx.doi.org/10.1038/nature13014</v>
      </c>
      <c r="BG8" s="14" t="s">
        <v>99</v>
      </c>
      <c r="BH8" s="14" t="s">
        <v>99</v>
      </c>
      <c r="BI8" s="14">
        <v>10.0</v>
      </c>
      <c r="BJ8" s="14" t="s">
        <v>799</v>
      </c>
      <c r="BK8" s="14" t="s">
        <v>122</v>
      </c>
      <c r="BL8" s="14" t="s">
        <v>801</v>
      </c>
      <c r="BM8" s="14" t="s">
        <v>3314</v>
      </c>
      <c r="BN8" s="14">
        <v>2.4531763E7</v>
      </c>
      <c r="BO8" s="14" t="s">
        <v>576</v>
      </c>
      <c r="BP8" s="14" t="s">
        <v>99</v>
      </c>
      <c r="BQ8" s="14" t="s">
        <v>99</v>
      </c>
      <c r="BR8" s="14" t="s">
        <v>124</v>
      </c>
      <c r="BS8" s="14" t="s">
        <v>3315</v>
      </c>
      <c r="BT8" s="14" t="str">
        <f>HYPERLINK("https%3A%2F%2Fwww.webofscience.com%2Fwos%2Fwoscc%2Ffull-record%2FWOS:000334741600036","View Full Record in Web of Science")</f>
        <v>View Full Record in Web of Science</v>
      </c>
    </row>
    <row r="9" ht="12.75" customHeight="1">
      <c r="A9" s="14" t="s">
        <v>97</v>
      </c>
      <c r="B9" s="14" t="s">
        <v>3572</v>
      </c>
      <c r="C9" s="14" t="s">
        <v>99</v>
      </c>
      <c r="D9" s="14" t="s">
        <v>99</v>
      </c>
      <c r="E9" s="14" t="s">
        <v>99</v>
      </c>
      <c r="F9" s="14" t="s">
        <v>3573</v>
      </c>
      <c r="G9" s="14" t="s">
        <v>99</v>
      </c>
      <c r="H9" s="14" t="s">
        <v>99</v>
      </c>
      <c r="I9" s="14" t="s">
        <v>3574</v>
      </c>
      <c r="J9" s="14" t="s">
        <v>3575</v>
      </c>
      <c r="K9" s="14" t="s">
        <v>99</v>
      </c>
      <c r="L9" s="14" t="s">
        <v>99</v>
      </c>
      <c r="M9" s="14" t="s">
        <v>103</v>
      </c>
      <c r="N9" s="14" t="s">
        <v>104</v>
      </c>
      <c r="O9" s="14" t="s">
        <v>99</v>
      </c>
      <c r="P9" s="14" t="s">
        <v>99</v>
      </c>
      <c r="Q9" s="14" t="s">
        <v>99</v>
      </c>
      <c r="R9" s="14" t="s">
        <v>99</v>
      </c>
      <c r="S9" s="14" t="s">
        <v>99</v>
      </c>
      <c r="T9" s="14" t="s">
        <v>3576</v>
      </c>
      <c r="U9" s="14" t="s">
        <v>3577</v>
      </c>
      <c r="V9" s="14" t="s">
        <v>3578</v>
      </c>
      <c r="W9" s="14" t="s">
        <v>3579</v>
      </c>
      <c r="X9" s="14" t="s">
        <v>2089</v>
      </c>
      <c r="Y9" s="14" t="s">
        <v>3580</v>
      </c>
      <c r="Z9" s="14" t="s">
        <v>3581</v>
      </c>
      <c r="AA9" s="14" t="s">
        <v>99</v>
      </c>
      <c r="AB9" s="14" t="s">
        <v>99</v>
      </c>
      <c r="AC9" s="14" t="s">
        <v>3582</v>
      </c>
      <c r="AD9" s="14" t="s">
        <v>3583</v>
      </c>
      <c r="AE9" s="14" t="s">
        <v>3584</v>
      </c>
      <c r="AF9" s="14" t="s">
        <v>99</v>
      </c>
      <c r="AG9" s="14">
        <v>36.0</v>
      </c>
      <c r="AH9" s="14">
        <v>46.0</v>
      </c>
      <c r="AI9" s="14">
        <v>56.0</v>
      </c>
      <c r="AJ9" s="14">
        <v>5.0</v>
      </c>
      <c r="AK9" s="14">
        <v>134.0</v>
      </c>
      <c r="AL9" s="14" t="s">
        <v>1731</v>
      </c>
      <c r="AM9" s="14" t="s">
        <v>1594</v>
      </c>
      <c r="AN9" s="14" t="s">
        <v>3585</v>
      </c>
      <c r="AO9" s="14" t="s">
        <v>3586</v>
      </c>
      <c r="AP9" s="14" t="s">
        <v>3587</v>
      </c>
      <c r="AQ9" s="14" t="s">
        <v>99</v>
      </c>
      <c r="AR9" s="14" t="s">
        <v>3575</v>
      </c>
      <c r="AS9" s="14" t="s">
        <v>3588</v>
      </c>
      <c r="AT9" s="14" t="s">
        <v>1058</v>
      </c>
      <c r="AU9" s="14">
        <v>2013.0</v>
      </c>
      <c r="AV9" s="14">
        <v>173.0</v>
      </c>
      <c r="AW9" s="14">
        <v>4.0</v>
      </c>
      <c r="AX9" s="14" t="s">
        <v>99</v>
      </c>
      <c r="AY9" s="14" t="s">
        <v>99</v>
      </c>
      <c r="AZ9" s="14" t="s">
        <v>99</v>
      </c>
      <c r="BA9" s="14" t="s">
        <v>99</v>
      </c>
      <c r="BB9" s="14">
        <v>1513.0</v>
      </c>
      <c r="BC9" s="14">
        <v>1520.0</v>
      </c>
      <c r="BD9" s="14" t="s">
        <v>99</v>
      </c>
      <c r="BE9" s="14" t="s">
        <v>3589</v>
      </c>
      <c r="BF9" s="15" t="str">
        <f>HYPERLINK("http://dx.doi.org/10.1007/s00442-013-2722-8","http://dx.doi.org/10.1007/s00442-013-2722-8")</f>
        <v>http://dx.doi.org/10.1007/s00442-013-2722-8</v>
      </c>
      <c r="BG9" s="14" t="s">
        <v>99</v>
      </c>
      <c r="BH9" s="14" t="s">
        <v>99</v>
      </c>
      <c r="BI9" s="14">
        <v>8.0</v>
      </c>
      <c r="BJ9" s="14" t="s">
        <v>259</v>
      </c>
      <c r="BK9" s="14" t="s">
        <v>122</v>
      </c>
      <c r="BL9" s="14" t="s">
        <v>260</v>
      </c>
      <c r="BM9" s="14" t="s">
        <v>3590</v>
      </c>
      <c r="BN9" s="14">
        <v>2.3839265E7</v>
      </c>
      <c r="BO9" s="14" t="s">
        <v>99</v>
      </c>
      <c r="BP9" s="14" t="s">
        <v>99</v>
      </c>
      <c r="BQ9" s="14" t="s">
        <v>99</v>
      </c>
      <c r="BR9" s="14" t="s">
        <v>124</v>
      </c>
      <c r="BS9" s="14" t="s">
        <v>3591</v>
      </c>
      <c r="BT9" s="14" t="str">
        <f>HYPERLINK("https%3A%2F%2Fwww.webofscience.com%2Fwos%2Fwoscc%2Ffull-record%2FWOS:000328210000032","View Full Record in Web of Science")</f>
        <v>View Full Record in Web of Science</v>
      </c>
    </row>
    <row r="10" ht="12.75" customHeight="1">
      <c r="A10" s="14" t="s">
        <v>97</v>
      </c>
      <c r="B10" s="14" t="s">
        <v>3592</v>
      </c>
      <c r="C10" s="14" t="s">
        <v>99</v>
      </c>
      <c r="D10" s="14" t="s">
        <v>99</v>
      </c>
      <c r="E10" s="14" t="s">
        <v>99</v>
      </c>
      <c r="F10" s="14" t="s">
        <v>3593</v>
      </c>
      <c r="G10" s="14" t="s">
        <v>99</v>
      </c>
      <c r="H10" s="14" t="s">
        <v>99</v>
      </c>
      <c r="I10" s="14" t="s">
        <v>3594</v>
      </c>
      <c r="J10" s="14" t="s">
        <v>3595</v>
      </c>
      <c r="K10" s="14" t="s">
        <v>99</v>
      </c>
      <c r="L10" s="14" t="s">
        <v>99</v>
      </c>
      <c r="M10" s="14" t="s">
        <v>103</v>
      </c>
      <c r="N10" s="14" t="s">
        <v>104</v>
      </c>
      <c r="O10" s="14" t="s">
        <v>99</v>
      </c>
      <c r="P10" s="14" t="s">
        <v>99</v>
      </c>
      <c r="Q10" s="14" t="s">
        <v>99</v>
      </c>
      <c r="R10" s="14" t="s">
        <v>99</v>
      </c>
      <c r="S10" s="14" t="s">
        <v>99</v>
      </c>
      <c r="T10" s="14" t="s">
        <v>3596</v>
      </c>
      <c r="U10" s="14" t="s">
        <v>3597</v>
      </c>
      <c r="V10" s="14" t="s">
        <v>3598</v>
      </c>
      <c r="W10" s="14" t="s">
        <v>3599</v>
      </c>
      <c r="X10" s="14" t="s">
        <v>3600</v>
      </c>
      <c r="Y10" s="14" t="s">
        <v>3601</v>
      </c>
      <c r="Z10" s="14" t="s">
        <v>3602</v>
      </c>
      <c r="AA10" s="14" t="s">
        <v>3603</v>
      </c>
      <c r="AB10" s="14" t="s">
        <v>3604</v>
      </c>
      <c r="AC10" s="14" t="s">
        <v>3605</v>
      </c>
      <c r="AD10" s="14" t="s">
        <v>3405</v>
      </c>
      <c r="AE10" s="14" t="s">
        <v>3606</v>
      </c>
      <c r="AF10" s="14" t="s">
        <v>99</v>
      </c>
      <c r="AG10" s="14">
        <v>35.0</v>
      </c>
      <c r="AH10" s="14">
        <v>10.0</v>
      </c>
      <c r="AI10" s="14">
        <v>12.0</v>
      </c>
      <c r="AJ10" s="14">
        <v>3.0</v>
      </c>
      <c r="AK10" s="14">
        <v>93.0</v>
      </c>
      <c r="AL10" s="14" t="s">
        <v>3607</v>
      </c>
      <c r="AM10" s="14" t="s">
        <v>3608</v>
      </c>
      <c r="AN10" s="14" t="s">
        <v>3609</v>
      </c>
      <c r="AO10" s="14" t="s">
        <v>3610</v>
      </c>
      <c r="AP10" s="14" t="s">
        <v>3611</v>
      </c>
      <c r="AQ10" s="14" t="s">
        <v>99</v>
      </c>
      <c r="AR10" s="14" t="s">
        <v>3612</v>
      </c>
      <c r="AS10" s="14" t="s">
        <v>3613</v>
      </c>
      <c r="AT10" s="14" t="s">
        <v>1058</v>
      </c>
      <c r="AU10" s="14">
        <v>2013.0</v>
      </c>
      <c r="AV10" s="14">
        <v>70.0</v>
      </c>
      <c r="AW10" s="14">
        <v>8.0</v>
      </c>
      <c r="AX10" s="14" t="s">
        <v>99</v>
      </c>
      <c r="AY10" s="14" t="s">
        <v>99</v>
      </c>
      <c r="AZ10" s="14" t="s">
        <v>99</v>
      </c>
      <c r="BA10" s="14" t="s">
        <v>99</v>
      </c>
      <c r="BB10" s="14">
        <v>845.0</v>
      </c>
      <c r="BC10" s="14">
        <v>861.0</v>
      </c>
      <c r="BD10" s="14" t="s">
        <v>99</v>
      </c>
      <c r="BE10" s="14" t="s">
        <v>3614</v>
      </c>
      <c r="BF10" s="15" t="str">
        <f>HYPERLINK("http://dx.doi.org/10.1007/s13595-013-0323-7","http://dx.doi.org/10.1007/s13595-013-0323-7")</f>
        <v>http://dx.doi.org/10.1007/s13595-013-0323-7</v>
      </c>
      <c r="BG10" s="14" t="s">
        <v>99</v>
      </c>
      <c r="BH10" s="14" t="s">
        <v>99</v>
      </c>
      <c r="BI10" s="14">
        <v>17.0</v>
      </c>
      <c r="BJ10" s="14" t="s">
        <v>281</v>
      </c>
      <c r="BK10" s="14" t="s">
        <v>122</v>
      </c>
      <c r="BL10" s="14" t="s">
        <v>281</v>
      </c>
      <c r="BM10" s="14" t="s">
        <v>3615</v>
      </c>
      <c r="BN10" s="14" t="s">
        <v>99</v>
      </c>
      <c r="BO10" s="14" t="s">
        <v>425</v>
      </c>
      <c r="BP10" s="14" t="s">
        <v>99</v>
      </c>
      <c r="BQ10" s="14" t="s">
        <v>99</v>
      </c>
      <c r="BR10" s="14" t="s">
        <v>124</v>
      </c>
      <c r="BS10" s="14" t="s">
        <v>3616</v>
      </c>
      <c r="BT10" s="14" t="str">
        <f>HYPERLINK("https%3A%2F%2Fwww.webofscience.com%2Fwos%2Fwoscc%2Ffull-record%2FWOS:000326598000009","View Full Record in Web of Science")</f>
        <v>View Full Record in Web of Science</v>
      </c>
    </row>
    <row r="11" ht="12.75" customHeight="1">
      <c r="A11" s="14" t="s">
        <v>97</v>
      </c>
      <c r="B11" s="14" t="s">
        <v>3726</v>
      </c>
      <c r="C11" s="14" t="s">
        <v>99</v>
      </c>
      <c r="D11" s="14" t="s">
        <v>99</v>
      </c>
      <c r="E11" s="14" t="s">
        <v>99</v>
      </c>
      <c r="F11" s="14" t="s">
        <v>3727</v>
      </c>
      <c r="G11" s="14" t="s">
        <v>99</v>
      </c>
      <c r="H11" s="14" t="s">
        <v>99</v>
      </c>
      <c r="I11" s="14" t="s">
        <v>3728</v>
      </c>
      <c r="J11" s="14" t="s">
        <v>3729</v>
      </c>
      <c r="K11" s="14" t="s">
        <v>99</v>
      </c>
      <c r="L11" s="14" t="s">
        <v>99</v>
      </c>
      <c r="M11" s="14" t="s">
        <v>103</v>
      </c>
      <c r="N11" s="14" t="s">
        <v>104</v>
      </c>
      <c r="O11" s="14" t="s">
        <v>99</v>
      </c>
      <c r="P11" s="14" t="s">
        <v>99</v>
      </c>
      <c r="Q11" s="14" t="s">
        <v>99</v>
      </c>
      <c r="R11" s="14" t="s">
        <v>99</v>
      </c>
      <c r="S11" s="14" t="s">
        <v>99</v>
      </c>
      <c r="T11" s="14" t="s">
        <v>3730</v>
      </c>
      <c r="U11" s="14" t="s">
        <v>3731</v>
      </c>
      <c r="V11" s="14" t="s">
        <v>3732</v>
      </c>
      <c r="W11" s="14" t="s">
        <v>3733</v>
      </c>
      <c r="X11" s="14" t="s">
        <v>3734</v>
      </c>
      <c r="Y11" s="14" t="s">
        <v>3735</v>
      </c>
      <c r="Z11" s="14" t="s">
        <v>3736</v>
      </c>
      <c r="AA11" s="14" t="s">
        <v>3737</v>
      </c>
      <c r="AB11" s="14" t="s">
        <v>3738</v>
      </c>
      <c r="AC11" s="14" t="s">
        <v>99</v>
      </c>
      <c r="AD11" s="14" t="s">
        <v>99</v>
      </c>
      <c r="AE11" s="14" t="s">
        <v>99</v>
      </c>
      <c r="AF11" s="14" t="s">
        <v>99</v>
      </c>
      <c r="AG11" s="14">
        <v>50.0</v>
      </c>
      <c r="AH11" s="14">
        <v>122.0</v>
      </c>
      <c r="AI11" s="14">
        <v>144.0</v>
      </c>
      <c r="AJ11" s="14">
        <v>0.0</v>
      </c>
      <c r="AK11" s="14">
        <v>41.0</v>
      </c>
      <c r="AL11" s="14" t="s">
        <v>1544</v>
      </c>
      <c r="AM11" s="14" t="s">
        <v>274</v>
      </c>
      <c r="AN11" s="14" t="s">
        <v>1545</v>
      </c>
      <c r="AO11" s="14" t="s">
        <v>3739</v>
      </c>
      <c r="AP11" s="14" t="s">
        <v>3740</v>
      </c>
      <c r="AQ11" s="14" t="s">
        <v>99</v>
      </c>
      <c r="AR11" s="14" t="s">
        <v>3741</v>
      </c>
      <c r="AS11" s="14" t="s">
        <v>3742</v>
      </c>
      <c r="AT11" s="14" t="s">
        <v>3743</v>
      </c>
      <c r="AU11" s="14">
        <v>2013.0</v>
      </c>
      <c r="AV11" s="14">
        <v>368.0</v>
      </c>
      <c r="AW11" s="14">
        <v>1625.0</v>
      </c>
      <c r="AX11" s="14" t="s">
        <v>99</v>
      </c>
      <c r="AY11" s="14" t="s">
        <v>99</v>
      </c>
      <c r="AZ11" s="14" t="s">
        <v>99</v>
      </c>
      <c r="BA11" s="14" t="s">
        <v>99</v>
      </c>
      <c r="BB11" s="14" t="s">
        <v>99</v>
      </c>
      <c r="BC11" s="14" t="s">
        <v>99</v>
      </c>
      <c r="BD11" s="14">
        <v>2.0120302E7</v>
      </c>
      <c r="BE11" s="14" t="s">
        <v>3744</v>
      </c>
      <c r="BF11" s="15" t="str">
        <f>HYPERLINK("http://dx.doi.org/10.1098/rstb.2012.0302","http://dx.doi.org/10.1098/rstb.2012.0302")</f>
        <v>http://dx.doi.org/10.1098/rstb.2012.0302</v>
      </c>
      <c r="BG11" s="14" t="s">
        <v>99</v>
      </c>
      <c r="BH11" s="14" t="s">
        <v>99</v>
      </c>
      <c r="BI11" s="14">
        <v>10.0</v>
      </c>
      <c r="BJ11" s="14" t="s">
        <v>1803</v>
      </c>
      <c r="BK11" s="14" t="s">
        <v>122</v>
      </c>
      <c r="BL11" s="14" t="s">
        <v>1804</v>
      </c>
      <c r="BM11" s="14" t="s">
        <v>3745</v>
      </c>
      <c r="BN11" s="14">
        <v>2.3878332E7</v>
      </c>
      <c r="BO11" s="14" t="s">
        <v>425</v>
      </c>
      <c r="BP11" s="14" t="s">
        <v>99</v>
      </c>
      <c r="BQ11" s="14" t="s">
        <v>99</v>
      </c>
      <c r="BR11" s="14" t="s">
        <v>124</v>
      </c>
      <c r="BS11" s="14" t="s">
        <v>3746</v>
      </c>
      <c r="BT11" s="14" t="str">
        <f>HYPERLINK("https%3A%2F%2Fwww.webofscience.com%2Fwos%2Fwoscc%2Ffull-record%2FWOS:000331220500007","View Full Record in Web of Science")</f>
        <v>View Full Record in Web of Science</v>
      </c>
    </row>
    <row r="12" ht="12.75" customHeight="1">
      <c r="A12" s="14" t="s">
        <v>97</v>
      </c>
      <c r="B12" s="14" t="s">
        <v>3747</v>
      </c>
      <c r="C12" s="14" t="s">
        <v>99</v>
      </c>
      <c r="D12" s="14" t="s">
        <v>99</v>
      </c>
      <c r="E12" s="14" t="s">
        <v>99</v>
      </c>
      <c r="F12" s="14" t="s">
        <v>3748</v>
      </c>
      <c r="G12" s="14" t="s">
        <v>99</v>
      </c>
      <c r="H12" s="14" t="s">
        <v>99</v>
      </c>
      <c r="I12" s="14" t="s">
        <v>3749</v>
      </c>
      <c r="J12" s="14" t="s">
        <v>3750</v>
      </c>
      <c r="K12" s="14" t="s">
        <v>99</v>
      </c>
      <c r="L12" s="14" t="s">
        <v>99</v>
      </c>
      <c r="M12" s="14" t="s">
        <v>103</v>
      </c>
      <c r="N12" s="14" t="s">
        <v>104</v>
      </c>
      <c r="O12" s="14" t="s">
        <v>99</v>
      </c>
      <c r="P12" s="14" t="s">
        <v>99</v>
      </c>
      <c r="Q12" s="14" t="s">
        <v>99</v>
      </c>
      <c r="R12" s="14" t="s">
        <v>99</v>
      </c>
      <c r="S12" s="14" t="s">
        <v>99</v>
      </c>
      <c r="T12" s="14" t="s">
        <v>3751</v>
      </c>
      <c r="U12" s="14" t="s">
        <v>3752</v>
      </c>
      <c r="V12" s="14" t="s">
        <v>3753</v>
      </c>
      <c r="W12" s="14" t="s">
        <v>3754</v>
      </c>
      <c r="X12" s="14" t="s">
        <v>3755</v>
      </c>
      <c r="Y12" s="14" t="s">
        <v>3756</v>
      </c>
      <c r="Z12" s="14" t="s">
        <v>3757</v>
      </c>
      <c r="AA12" s="14" t="s">
        <v>3758</v>
      </c>
      <c r="AB12" s="14" t="s">
        <v>3759</v>
      </c>
      <c r="AC12" s="14" t="s">
        <v>3760</v>
      </c>
      <c r="AD12" s="14" t="s">
        <v>1542</v>
      </c>
      <c r="AE12" s="14" t="s">
        <v>3761</v>
      </c>
      <c r="AF12" s="14" t="s">
        <v>99</v>
      </c>
      <c r="AG12" s="14">
        <v>44.0</v>
      </c>
      <c r="AH12" s="14">
        <v>125.0</v>
      </c>
      <c r="AI12" s="14">
        <v>133.0</v>
      </c>
      <c r="AJ12" s="14">
        <v>1.0</v>
      </c>
      <c r="AK12" s="14">
        <v>170.0</v>
      </c>
      <c r="AL12" s="14" t="s">
        <v>2917</v>
      </c>
      <c r="AM12" s="14" t="s">
        <v>2918</v>
      </c>
      <c r="AN12" s="14" t="s">
        <v>2919</v>
      </c>
      <c r="AO12" s="14" t="s">
        <v>3762</v>
      </c>
      <c r="AP12" s="14" t="s">
        <v>3763</v>
      </c>
      <c r="AQ12" s="14" t="s">
        <v>99</v>
      </c>
      <c r="AR12" s="14" t="s">
        <v>3764</v>
      </c>
      <c r="AS12" s="14" t="s">
        <v>3765</v>
      </c>
      <c r="AT12" s="14" t="s">
        <v>421</v>
      </c>
      <c r="AU12" s="14">
        <v>2013.0</v>
      </c>
      <c r="AV12" s="14">
        <v>14.0</v>
      </c>
      <c r="AW12" s="14">
        <v>6.0</v>
      </c>
      <c r="AX12" s="14" t="s">
        <v>99</v>
      </c>
      <c r="AY12" s="14" t="s">
        <v>99</v>
      </c>
      <c r="AZ12" s="14" t="s">
        <v>99</v>
      </c>
      <c r="BA12" s="14" t="s">
        <v>99</v>
      </c>
      <c r="BB12" s="14">
        <v>496.0</v>
      </c>
      <c r="BC12" s="14">
        <v>505.0</v>
      </c>
      <c r="BD12" s="14" t="s">
        <v>99</v>
      </c>
      <c r="BE12" s="14" t="s">
        <v>3766</v>
      </c>
      <c r="BF12" s="15" t="str">
        <f>HYPERLINK("http://dx.doi.org/10.1016/j.baae.2013.06.001","http://dx.doi.org/10.1016/j.baae.2013.06.001")</f>
        <v>http://dx.doi.org/10.1016/j.baae.2013.06.001</v>
      </c>
      <c r="BG12" s="14" t="s">
        <v>99</v>
      </c>
      <c r="BH12" s="14" t="s">
        <v>99</v>
      </c>
      <c r="BI12" s="14">
        <v>10.0</v>
      </c>
      <c r="BJ12" s="14" t="s">
        <v>259</v>
      </c>
      <c r="BK12" s="14" t="s">
        <v>122</v>
      </c>
      <c r="BL12" s="14" t="s">
        <v>260</v>
      </c>
      <c r="BM12" s="14" t="s">
        <v>3767</v>
      </c>
      <c r="BN12" s="14" t="s">
        <v>99</v>
      </c>
      <c r="BO12" s="14" t="s">
        <v>576</v>
      </c>
      <c r="BP12" s="14" t="s">
        <v>99</v>
      </c>
      <c r="BQ12" s="14" t="s">
        <v>99</v>
      </c>
      <c r="BR12" s="14" t="s">
        <v>124</v>
      </c>
      <c r="BS12" s="14" t="s">
        <v>3768</v>
      </c>
      <c r="BT12" s="14" t="str">
        <f>HYPERLINK("https%3A%2F%2Fwww.webofscience.com%2Fwos%2Fwoscc%2Ffull-record%2FWOS:000324035600006","View Full Record in Web of Science")</f>
        <v>View Full Record in Web of Science</v>
      </c>
    </row>
    <row r="13" ht="12.75" customHeight="1">
      <c r="A13" s="14" t="s">
        <v>97</v>
      </c>
      <c r="B13" s="14" t="s">
        <v>3806</v>
      </c>
      <c r="C13" s="14" t="s">
        <v>99</v>
      </c>
      <c r="D13" s="14" t="s">
        <v>99</v>
      </c>
      <c r="E13" s="14" t="s">
        <v>99</v>
      </c>
      <c r="F13" s="14" t="s">
        <v>3807</v>
      </c>
      <c r="G13" s="14" t="s">
        <v>99</v>
      </c>
      <c r="H13" s="14" t="s">
        <v>99</v>
      </c>
      <c r="I13" s="14" t="s">
        <v>3808</v>
      </c>
      <c r="J13" s="14" t="s">
        <v>430</v>
      </c>
      <c r="K13" s="14" t="s">
        <v>99</v>
      </c>
      <c r="L13" s="14" t="s">
        <v>99</v>
      </c>
      <c r="M13" s="14" t="s">
        <v>103</v>
      </c>
      <c r="N13" s="14" t="s">
        <v>104</v>
      </c>
      <c r="O13" s="14" t="s">
        <v>99</v>
      </c>
      <c r="P13" s="14" t="s">
        <v>99</v>
      </c>
      <c r="Q13" s="14" t="s">
        <v>99</v>
      </c>
      <c r="R13" s="14" t="s">
        <v>99</v>
      </c>
      <c r="S13" s="14" t="s">
        <v>99</v>
      </c>
      <c r="T13" s="14" t="s">
        <v>3809</v>
      </c>
      <c r="U13" s="14" t="s">
        <v>3810</v>
      </c>
      <c r="V13" s="14" t="s">
        <v>3811</v>
      </c>
      <c r="W13" s="14" t="s">
        <v>3812</v>
      </c>
      <c r="X13" s="14" t="s">
        <v>3813</v>
      </c>
      <c r="Y13" s="14" t="s">
        <v>3814</v>
      </c>
      <c r="Z13" s="14" t="s">
        <v>3815</v>
      </c>
      <c r="AA13" s="14" t="s">
        <v>3816</v>
      </c>
      <c r="AB13" s="14" t="s">
        <v>3817</v>
      </c>
      <c r="AC13" s="14" t="s">
        <v>3818</v>
      </c>
      <c r="AD13" s="14" t="s">
        <v>3819</v>
      </c>
      <c r="AE13" s="14" t="s">
        <v>3820</v>
      </c>
      <c r="AF13" s="14" t="s">
        <v>99</v>
      </c>
      <c r="AG13" s="14">
        <v>96.0</v>
      </c>
      <c r="AH13" s="14">
        <v>18.0</v>
      </c>
      <c r="AI13" s="14">
        <v>20.0</v>
      </c>
      <c r="AJ13" s="14">
        <v>2.0</v>
      </c>
      <c r="AK13" s="14">
        <v>61.0</v>
      </c>
      <c r="AL13" s="14" t="s">
        <v>441</v>
      </c>
      <c r="AM13" s="14" t="s">
        <v>442</v>
      </c>
      <c r="AN13" s="14" t="s">
        <v>443</v>
      </c>
      <c r="AO13" s="14" t="s">
        <v>444</v>
      </c>
      <c r="AP13" s="14" t="s">
        <v>445</v>
      </c>
      <c r="AQ13" s="14" t="s">
        <v>99</v>
      </c>
      <c r="AR13" s="14" t="s">
        <v>446</v>
      </c>
      <c r="AS13" s="14" t="s">
        <v>447</v>
      </c>
      <c r="AT13" s="14" t="s">
        <v>448</v>
      </c>
      <c r="AU13" s="14">
        <v>2013.0</v>
      </c>
      <c r="AV13" s="14">
        <v>302.0</v>
      </c>
      <c r="AW13" s="14" t="s">
        <v>99</v>
      </c>
      <c r="AX13" s="14" t="s">
        <v>99</v>
      </c>
      <c r="AY13" s="14" t="s">
        <v>99</v>
      </c>
      <c r="AZ13" s="14" t="s">
        <v>99</v>
      </c>
      <c r="BA13" s="14" t="s">
        <v>99</v>
      </c>
      <c r="BB13" s="14">
        <v>122.0</v>
      </c>
      <c r="BC13" s="14">
        <v>132.0</v>
      </c>
      <c r="BD13" s="14" t="s">
        <v>99</v>
      </c>
      <c r="BE13" s="14" t="s">
        <v>3821</v>
      </c>
      <c r="BF13" s="15" t="str">
        <f>HYPERLINK("http://dx.doi.org/10.1016/j.foreco.2013.03.018","http://dx.doi.org/10.1016/j.foreco.2013.03.018")</f>
        <v>http://dx.doi.org/10.1016/j.foreco.2013.03.018</v>
      </c>
      <c r="BG13" s="14" t="s">
        <v>99</v>
      </c>
      <c r="BH13" s="14" t="s">
        <v>99</v>
      </c>
      <c r="BI13" s="14">
        <v>11.0</v>
      </c>
      <c r="BJ13" s="14" t="s">
        <v>281</v>
      </c>
      <c r="BK13" s="14" t="s">
        <v>122</v>
      </c>
      <c r="BL13" s="14" t="s">
        <v>281</v>
      </c>
      <c r="BM13" s="14" t="s">
        <v>3822</v>
      </c>
      <c r="BN13" s="14" t="s">
        <v>99</v>
      </c>
      <c r="BO13" s="14" t="s">
        <v>99</v>
      </c>
      <c r="BP13" s="14" t="s">
        <v>99</v>
      </c>
      <c r="BQ13" s="14" t="s">
        <v>99</v>
      </c>
      <c r="BR13" s="14" t="s">
        <v>124</v>
      </c>
      <c r="BS13" s="14" t="s">
        <v>3823</v>
      </c>
      <c r="BT13" s="14" t="str">
        <f>HYPERLINK("https%3A%2F%2Fwww.webofscience.com%2Fwos%2Fwoscc%2Ffull-record%2FWOS:000320741300013","View Full Record in Web of Science")</f>
        <v>View Full Record in Web of Science</v>
      </c>
    </row>
    <row r="14" ht="12.75" customHeight="1">
      <c r="A14" s="14" t="s">
        <v>97</v>
      </c>
      <c r="B14" s="14" t="s">
        <v>3895</v>
      </c>
      <c r="C14" s="14" t="s">
        <v>99</v>
      </c>
      <c r="D14" s="14" t="s">
        <v>99</v>
      </c>
      <c r="E14" s="14" t="s">
        <v>99</v>
      </c>
      <c r="F14" s="14" t="s">
        <v>3896</v>
      </c>
      <c r="G14" s="14" t="s">
        <v>99</v>
      </c>
      <c r="H14" s="14" t="s">
        <v>99</v>
      </c>
      <c r="I14" s="14" t="s">
        <v>3897</v>
      </c>
      <c r="J14" s="14" t="s">
        <v>3898</v>
      </c>
      <c r="K14" s="14" t="s">
        <v>99</v>
      </c>
      <c r="L14" s="14" t="s">
        <v>99</v>
      </c>
      <c r="M14" s="14" t="s">
        <v>103</v>
      </c>
      <c r="N14" s="14" t="s">
        <v>104</v>
      </c>
      <c r="O14" s="14" t="s">
        <v>99</v>
      </c>
      <c r="P14" s="14" t="s">
        <v>99</v>
      </c>
      <c r="Q14" s="14" t="s">
        <v>99</v>
      </c>
      <c r="R14" s="14" t="s">
        <v>99</v>
      </c>
      <c r="S14" s="14" t="s">
        <v>99</v>
      </c>
      <c r="T14" s="14" t="s">
        <v>3899</v>
      </c>
      <c r="U14" s="14" t="s">
        <v>3900</v>
      </c>
      <c r="V14" s="14" t="s">
        <v>3901</v>
      </c>
      <c r="W14" s="14" t="s">
        <v>3902</v>
      </c>
      <c r="X14" s="14" t="s">
        <v>3903</v>
      </c>
      <c r="Y14" s="14" t="s">
        <v>3904</v>
      </c>
      <c r="Z14" s="14" t="s">
        <v>3905</v>
      </c>
      <c r="AA14" s="14" t="s">
        <v>3906</v>
      </c>
      <c r="AB14" s="14" t="s">
        <v>3907</v>
      </c>
      <c r="AC14" s="14" t="s">
        <v>3908</v>
      </c>
      <c r="AD14" s="14" t="s">
        <v>3909</v>
      </c>
      <c r="AE14" s="14" t="s">
        <v>3910</v>
      </c>
      <c r="AF14" s="14" t="s">
        <v>99</v>
      </c>
      <c r="AG14" s="14">
        <v>65.0</v>
      </c>
      <c r="AH14" s="14">
        <v>27.0</v>
      </c>
      <c r="AI14" s="14">
        <v>35.0</v>
      </c>
      <c r="AJ14" s="14">
        <v>1.0</v>
      </c>
      <c r="AK14" s="14">
        <v>82.0</v>
      </c>
      <c r="AL14" s="14" t="s">
        <v>1731</v>
      </c>
      <c r="AM14" s="14" t="s">
        <v>1732</v>
      </c>
      <c r="AN14" s="14" t="s">
        <v>1733</v>
      </c>
      <c r="AO14" s="14" t="s">
        <v>3911</v>
      </c>
      <c r="AP14" s="14" t="s">
        <v>3912</v>
      </c>
      <c r="AQ14" s="14" t="s">
        <v>99</v>
      </c>
      <c r="AR14" s="14" t="s">
        <v>3913</v>
      </c>
      <c r="AS14" s="14" t="s">
        <v>3914</v>
      </c>
      <c r="AT14" s="14" t="s">
        <v>474</v>
      </c>
      <c r="AU14" s="14">
        <v>2013.0</v>
      </c>
      <c r="AV14" s="14">
        <v>87.0</v>
      </c>
      <c r="AW14" s="14">
        <v>4.0</v>
      </c>
      <c r="AX14" s="14" t="s">
        <v>99</v>
      </c>
      <c r="AY14" s="14" t="s">
        <v>99</v>
      </c>
      <c r="AZ14" s="14" t="s">
        <v>99</v>
      </c>
      <c r="BA14" s="14" t="s">
        <v>99</v>
      </c>
      <c r="BB14" s="14">
        <v>767.0</v>
      </c>
      <c r="BC14" s="14">
        <v>779.0</v>
      </c>
      <c r="BD14" s="14" t="s">
        <v>99</v>
      </c>
      <c r="BE14" s="14" t="s">
        <v>3915</v>
      </c>
      <c r="BF14" s="15" t="str">
        <f>HYPERLINK("http://dx.doi.org/10.1007/s10457-013-9595-z","http://dx.doi.org/10.1007/s10457-013-9595-z")</f>
        <v>http://dx.doi.org/10.1007/s10457-013-9595-z</v>
      </c>
      <c r="BG14" s="14" t="s">
        <v>99</v>
      </c>
      <c r="BH14" s="14" t="s">
        <v>99</v>
      </c>
      <c r="BI14" s="14">
        <v>13.0</v>
      </c>
      <c r="BJ14" s="14" t="s">
        <v>3916</v>
      </c>
      <c r="BK14" s="14" t="s">
        <v>122</v>
      </c>
      <c r="BL14" s="14" t="s">
        <v>3917</v>
      </c>
      <c r="BM14" s="14" t="s">
        <v>3918</v>
      </c>
      <c r="BN14" s="14" t="s">
        <v>99</v>
      </c>
      <c r="BO14" s="14" t="s">
        <v>99</v>
      </c>
      <c r="BP14" s="14" t="s">
        <v>99</v>
      </c>
      <c r="BQ14" s="14" t="s">
        <v>99</v>
      </c>
      <c r="BR14" s="14" t="s">
        <v>124</v>
      </c>
      <c r="BS14" s="14" t="s">
        <v>3919</v>
      </c>
      <c r="BT14" s="14" t="str">
        <f>HYPERLINK("https%3A%2F%2Fwww.webofscience.com%2Fwos%2Fwoscc%2Ffull-record%2FWOS:000321519300004","View Full Record in Web of Science")</f>
        <v>View Full Record in Web of Science</v>
      </c>
    </row>
    <row r="15" ht="12.75" customHeight="1">
      <c r="A15" s="14" t="s">
        <v>97</v>
      </c>
      <c r="B15" s="14" t="s">
        <v>4103</v>
      </c>
      <c r="C15" s="14" t="s">
        <v>99</v>
      </c>
      <c r="D15" s="14" t="s">
        <v>99</v>
      </c>
      <c r="E15" s="14" t="s">
        <v>99</v>
      </c>
      <c r="F15" s="14" t="s">
        <v>4104</v>
      </c>
      <c r="G15" s="14" t="s">
        <v>99</v>
      </c>
      <c r="H15" s="14" t="s">
        <v>99</v>
      </c>
      <c r="I15" s="14" t="s">
        <v>4105</v>
      </c>
      <c r="J15" s="14" t="s">
        <v>776</v>
      </c>
      <c r="K15" s="14" t="s">
        <v>99</v>
      </c>
      <c r="L15" s="14" t="s">
        <v>99</v>
      </c>
      <c r="M15" s="14" t="s">
        <v>103</v>
      </c>
      <c r="N15" s="14" t="s">
        <v>104</v>
      </c>
      <c r="O15" s="14" t="s">
        <v>99</v>
      </c>
      <c r="P15" s="14" t="s">
        <v>99</v>
      </c>
      <c r="Q15" s="14" t="s">
        <v>99</v>
      </c>
      <c r="R15" s="14" t="s">
        <v>99</v>
      </c>
      <c r="S15" s="14" t="s">
        <v>99</v>
      </c>
      <c r="T15" s="14" t="s">
        <v>4106</v>
      </c>
      <c r="U15" s="14" t="s">
        <v>4107</v>
      </c>
      <c r="V15" s="14" t="s">
        <v>4108</v>
      </c>
      <c r="W15" s="14" t="s">
        <v>4109</v>
      </c>
      <c r="X15" s="14" t="s">
        <v>4110</v>
      </c>
      <c r="Y15" s="14" t="s">
        <v>4111</v>
      </c>
      <c r="Z15" s="14" t="s">
        <v>4112</v>
      </c>
      <c r="AA15" s="14" t="s">
        <v>4113</v>
      </c>
      <c r="AB15" s="14" t="s">
        <v>4114</v>
      </c>
      <c r="AC15" s="14" t="s">
        <v>4115</v>
      </c>
      <c r="AD15" s="14" t="s">
        <v>4115</v>
      </c>
      <c r="AE15" s="14" t="s">
        <v>4116</v>
      </c>
      <c r="AF15" s="14" t="s">
        <v>99</v>
      </c>
      <c r="AG15" s="14">
        <v>31.0</v>
      </c>
      <c r="AH15" s="14">
        <v>104.0</v>
      </c>
      <c r="AI15" s="14">
        <v>120.0</v>
      </c>
      <c r="AJ15" s="14">
        <v>4.0</v>
      </c>
      <c r="AK15" s="14">
        <v>216.0</v>
      </c>
      <c r="AL15" s="14" t="s">
        <v>788</v>
      </c>
      <c r="AM15" s="14" t="s">
        <v>789</v>
      </c>
      <c r="AN15" s="14" t="s">
        <v>790</v>
      </c>
      <c r="AO15" s="14" t="s">
        <v>791</v>
      </c>
      <c r="AP15" s="14" t="s">
        <v>99</v>
      </c>
      <c r="AQ15" s="14" t="s">
        <v>99</v>
      </c>
      <c r="AR15" s="14" t="s">
        <v>793</v>
      </c>
      <c r="AS15" s="14" t="s">
        <v>794</v>
      </c>
      <c r="AT15" s="14" t="s">
        <v>4117</v>
      </c>
      <c r="AU15" s="14">
        <v>2013.0</v>
      </c>
      <c r="AV15" s="14">
        <v>110.0</v>
      </c>
      <c r="AW15" s="14">
        <v>21.0</v>
      </c>
      <c r="AX15" s="14" t="s">
        <v>99</v>
      </c>
      <c r="AY15" s="14" t="s">
        <v>99</v>
      </c>
      <c r="AZ15" s="14" t="s">
        <v>99</v>
      </c>
      <c r="BA15" s="14" t="s">
        <v>99</v>
      </c>
      <c r="BB15" s="14">
        <v>8387.0</v>
      </c>
      <c r="BC15" s="14">
        <v>8392.0</v>
      </c>
      <c r="BD15" s="14" t="s">
        <v>99</v>
      </c>
      <c r="BE15" s="14" t="s">
        <v>4118</v>
      </c>
      <c r="BF15" s="15" t="str">
        <f>HYPERLINK("http://dx.doi.org/10.1073/pnas.1210590110","http://dx.doi.org/10.1073/pnas.1210590110")</f>
        <v>http://dx.doi.org/10.1073/pnas.1210590110</v>
      </c>
      <c r="BG15" s="14" t="s">
        <v>99</v>
      </c>
      <c r="BH15" s="14" t="s">
        <v>99</v>
      </c>
      <c r="BI15" s="14">
        <v>6.0</v>
      </c>
      <c r="BJ15" s="14" t="s">
        <v>799</v>
      </c>
      <c r="BK15" s="14" t="s">
        <v>122</v>
      </c>
      <c r="BL15" s="14" t="s">
        <v>801</v>
      </c>
      <c r="BM15" s="14" t="s">
        <v>4119</v>
      </c>
      <c r="BN15" s="14">
        <v>2.3671073E7</v>
      </c>
      <c r="BO15" s="14" t="s">
        <v>373</v>
      </c>
      <c r="BP15" s="14" t="s">
        <v>99</v>
      </c>
      <c r="BQ15" s="14" t="s">
        <v>99</v>
      </c>
      <c r="BR15" s="14" t="s">
        <v>124</v>
      </c>
      <c r="BS15" s="14" t="s">
        <v>4120</v>
      </c>
      <c r="BT15" s="14" t="str">
        <f>HYPERLINK("https%3A%2F%2Fwww.webofscience.com%2Fwos%2Fwoscc%2Ffull-record%2FWOS:000320328700029","View Full Record in Web of Science")</f>
        <v>View Full Record in Web of Science</v>
      </c>
    </row>
    <row r="16" ht="12.75" customHeight="1">
      <c r="A16" s="14" t="s">
        <v>97</v>
      </c>
      <c r="B16" s="14" t="s">
        <v>4206</v>
      </c>
      <c r="C16" s="14" t="s">
        <v>99</v>
      </c>
      <c r="D16" s="14" t="s">
        <v>99</v>
      </c>
      <c r="E16" s="14" t="s">
        <v>99</v>
      </c>
      <c r="F16" s="14" t="s">
        <v>4207</v>
      </c>
      <c r="G16" s="14" t="s">
        <v>99</v>
      </c>
      <c r="H16" s="14" t="s">
        <v>99</v>
      </c>
      <c r="I16" s="14" t="s">
        <v>4208</v>
      </c>
      <c r="J16" s="14" t="s">
        <v>532</v>
      </c>
      <c r="K16" s="14" t="s">
        <v>99</v>
      </c>
      <c r="L16" s="14" t="s">
        <v>99</v>
      </c>
      <c r="M16" s="14" t="s">
        <v>103</v>
      </c>
      <c r="N16" s="14" t="s">
        <v>104</v>
      </c>
      <c r="O16" s="14" t="s">
        <v>99</v>
      </c>
      <c r="P16" s="14" t="s">
        <v>99</v>
      </c>
      <c r="Q16" s="14" t="s">
        <v>99</v>
      </c>
      <c r="R16" s="14" t="s">
        <v>99</v>
      </c>
      <c r="S16" s="14" t="s">
        <v>99</v>
      </c>
      <c r="T16" s="14" t="s">
        <v>4209</v>
      </c>
      <c r="U16" s="14" t="s">
        <v>4210</v>
      </c>
      <c r="V16" s="14" t="s">
        <v>4211</v>
      </c>
      <c r="W16" s="14" t="s">
        <v>4212</v>
      </c>
      <c r="X16" s="14" t="s">
        <v>4213</v>
      </c>
      <c r="Y16" s="14" t="s">
        <v>4214</v>
      </c>
      <c r="Z16" s="14" t="s">
        <v>4215</v>
      </c>
      <c r="AA16" s="14" t="s">
        <v>4216</v>
      </c>
      <c r="AB16" s="14" t="s">
        <v>4217</v>
      </c>
      <c r="AC16" s="14" t="s">
        <v>4218</v>
      </c>
      <c r="AD16" s="14" t="s">
        <v>4219</v>
      </c>
      <c r="AE16" s="14" t="s">
        <v>4220</v>
      </c>
      <c r="AF16" s="14" t="s">
        <v>99</v>
      </c>
      <c r="AG16" s="14">
        <v>47.0</v>
      </c>
      <c r="AH16" s="14">
        <v>201.0</v>
      </c>
      <c r="AI16" s="14">
        <v>232.0</v>
      </c>
      <c r="AJ16" s="14">
        <v>2.0</v>
      </c>
      <c r="AK16" s="14">
        <v>745.0</v>
      </c>
      <c r="AL16" s="14" t="s">
        <v>1822</v>
      </c>
      <c r="AM16" s="14" t="s">
        <v>342</v>
      </c>
      <c r="AN16" s="14" t="s">
        <v>343</v>
      </c>
      <c r="AO16" s="14" t="s">
        <v>545</v>
      </c>
      <c r="AP16" s="14" t="s">
        <v>99</v>
      </c>
      <c r="AQ16" s="14" t="s">
        <v>99</v>
      </c>
      <c r="AR16" s="14" t="s">
        <v>547</v>
      </c>
      <c r="AS16" s="14" t="s">
        <v>548</v>
      </c>
      <c r="AT16" s="14" t="s">
        <v>718</v>
      </c>
      <c r="AU16" s="14">
        <v>2013.0</v>
      </c>
      <c r="AV16" s="14">
        <v>50.0</v>
      </c>
      <c r="AW16" s="14">
        <v>2.0</v>
      </c>
      <c r="AX16" s="14" t="s">
        <v>99</v>
      </c>
      <c r="AY16" s="14" t="s">
        <v>99</v>
      </c>
      <c r="AZ16" s="14" t="s">
        <v>99</v>
      </c>
      <c r="BA16" s="14" t="s">
        <v>99</v>
      </c>
      <c r="BB16" s="14">
        <v>355.0</v>
      </c>
      <c r="BC16" s="14">
        <v>364.0</v>
      </c>
      <c r="BD16" s="14" t="s">
        <v>99</v>
      </c>
      <c r="BE16" s="14" t="s">
        <v>4221</v>
      </c>
      <c r="BF16" s="15" t="str">
        <f>HYPERLINK("http://dx.doi.org/10.1111/1365-2664.12035","http://dx.doi.org/10.1111/1365-2664.12035")</f>
        <v>http://dx.doi.org/10.1111/1365-2664.12035</v>
      </c>
      <c r="BG16" s="14" t="s">
        <v>99</v>
      </c>
      <c r="BH16" s="14" t="s">
        <v>99</v>
      </c>
      <c r="BI16" s="14">
        <v>10.0</v>
      </c>
      <c r="BJ16" s="14" t="s">
        <v>550</v>
      </c>
      <c r="BK16" s="14" t="s">
        <v>122</v>
      </c>
      <c r="BL16" s="14" t="s">
        <v>352</v>
      </c>
      <c r="BM16" s="14" t="s">
        <v>4222</v>
      </c>
      <c r="BN16" s="14" t="s">
        <v>99</v>
      </c>
      <c r="BO16" s="14" t="s">
        <v>99</v>
      </c>
      <c r="BP16" s="14" t="s">
        <v>99</v>
      </c>
      <c r="BQ16" s="14" t="s">
        <v>99</v>
      </c>
      <c r="BR16" s="14" t="s">
        <v>124</v>
      </c>
      <c r="BS16" s="14" t="s">
        <v>4223</v>
      </c>
      <c r="BT16" s="14" t="str">
        <f>HYPERLINK("https%3A%2F%2Fwww.webofscience.com%2Fwos%2Fwoscc%2Ffull-record%2FWOS:000316969300009","View Full Record in Web of Science")</f>
        <v>View Full Record in Web of Science</v>
      </c>
    </row>
    <row r="17" ht="12.75" customHeight="1">
      <c r="A17" s="14" t="s">
        <v>97</v>
      </c>
      <c r="B17" s="14" t="s">
        <v>4242</v>
      </c>
      <c r="C17" s="14" t="s">
        <v>99</v>
      </c>
      <c r="D17" s="14" t="s">
        <v>99</v>
      </c>
      <c r="E17" s="14" t="s">
        <v>99</v>
      </c>
      <c r="F17" s="14" t="s">
        <v>4243</v>
      </c>
      <c r="G17" s="14" t="s">
        <v>99</v>
      </c>
      <c r="H17" s="14" t="s">
        <v>99</v>
      </c>
      <c r="I17" s="14" t="s">
        <v>4244</v>
      </c>
      <c r="J17" s="14" t="s">
        <v>4245</v>
      </c>
      <c r="K17" s="14" t="s">
        <v>99</v>
      </c>
      <c r="L17" s="14" t="s">
        <v>99</v>
      </c>
      <c r="M17" s="14" t="s">
        <v>103</v>
      </c>
      <c r="N17" s="14" t="s">
        <v>104</v>
      </c>
      <c r="O17" s="14" t="s">
        <v>99</v>
      </c>
      <c r="P17" s="14" t="s">
        <v>99</v>
      </c>
      <c r="Q17" s="14" t="s">
        <v>99</v>
      </c>
      <c r="R17" s="14" t="s">
        <v>99</v>
      </c>
      <c r="S17" s="14" t="s">
        <v>99</v>
      </c>
      <c r="T17" s="14" t="s">
        <v>4246</v>
      </c>
      <c r="U17" s="14" t="s">
        <v>4247</v>
      </c>
      <c r="V17" s="14" t="s">
        <v>4248</v>
      </c>
      <c r="W17" s="14" t="s">
        <v>4249</v>
      </c>
      <c r="X17" s="14" t="s">
        <v>4250</v>
      </c>
      <c r="Y17" s="14" t="s">
        <v>4251</v>
      </c>
      <c r="Z17" s="14" t="s">
        <v>4252</v>
      </c>
      <c r="AA17" s="14" t="s">
        <v>4253</v>
      </c>
      <c r="AB17" s="14" t="s">
        <v>4254</v>
      </c>
      <c r="AC17" s="14" t="s">
        <v>4255</v>
      </c>
      <c r="AD17" s="14" t="s">
        <v>4256</v>
      </c>
      <c r="AE17" s="14" t="s">
        <v>4257</v>
      </c>
      <c r="AF17" s="14" t="s">
        <v>99</v>
      </c>
      <c r="AG17" s="14">
        <v>54.0</v>
      </c>
      <c r="AH17" s="14">
        <v>21.0</v>
      </c>
      <c r="AI17" s="14">
        <v>21.0</v>
      </c>
      <c r="AJ17" s="14">
        <v>1.0</v>
      </c>
      <c r="AK17" s="14">
        <v>105.0</v>
      </c>
      <c r="AL17" s="14" t="s">
        <v>341</v>
      </c>
      <c r="AM17" s="14" t="s">
        <v>342</v>
      </c>
      <c r="AN17" s="14" t="s">
        <v>343</v>
      </c>
      <c r="AO17" s="14" t="s">
        <v>4258</v>
      </c>
      <c r="AP17" s="14" t="s">
        <v>4259</v>
      </c>
      <c r="AQ17" s="14" t="s">
        <v>99</v>
      </c>
      <c r="AR17" s="14" t="s">
        <v>4260</v>
      </c>
      <c r="AS17" s="14" t="s">
        <v>4261</v>
      </c>
      <c r="AT17" s="14" t="s">
        <v>718</v>
      </c>
      <c r="AU17" s="14">
        <v>2013.0</v>
      </c>
      <c r="AV17" s="14">
        <v>16.0</v>
      </c>
      <c r="AW17" s="14">
        <v>2.0</v>
      </c>
      <c r="AX17" s="14" t="s">
        <v>99</v>
      </c>
      <c r="AY17" s="14" t="s">
        <v>99</v>
      </c>
      <c r="AZ17" s="14" t="s">
        <v>99</v>
      </c>
      <c r="BA17" s="14" t="s">
        <v>99</v>
      </c>
      <c r="BB17" s="14">
        <v>286.0</v>
      </c>
      <c r="BC17" s="14">
        <v>295.0</v>
      </c>
      <c r="BD17" s="14" t="s">
        <v>99</v>
      </c>
      <c r="BE17" s="14" t="s">
        <v>4262</v>
      </c>
      <c r="BF17" s="15" t="str">
        <f>HYPERLINK("http://dx.doi.org/10.1111/avsc.12001","http://dx.doi.org/10.1111/avsc.12001")</f>
        <v>http://dx.doi.org/10.1111/avsc.12001</v>
      </c>
      <c r="BG17" s="14" t="s">
        <v>99</v>
      </c>
      <c r="BH17" s="14" t="s">
        <v>99</v>
      </c>
      <c r="BI17" s="14">
        <v>10.0</v>
      </c>
      <c r="BJ17" s="14" t="s">
        <v>1141</v>
      </c>
      <c r="BK17" s="14" t="s">
        <v>122</v>
      </c>
      <c r="BL17" s="14" t="s">
        <v>1142</v>
      </c>
      <c r="BM17" s="14" t="s">
        <v>4263</v>
      </c>
      <c r="BN17" s="14" t="s">
        <v>99</v>
      </c>
      <c r="BO17" s="14" t="s">
        <v>99</v>
      </c>
      <c r="BP17" s="14" t="s">
        <v>99</v>
      </c>
      <c r="BQ17" s="14" t="s">
        <v>99</v>
      </c>
      <c r="BR17" s="14" t="s">
        <v>124</v>
      </c>
      <c r="BS17" s="14" t="s">
        <v>4264</v>
      </c>
      <c r="BT17" s="14" t="str">
        <f>HYPERLINK("https%3A%2F%2Fwww.webofscience.com%2Fwos%2Fwoscc%2Ffull-record%2FWOS:000315690500013","View Full Record in Web of Science")</f>
        <v>View Full Record in Web of Science</v>
      </c>
    </row>
    <row r="18" ht="12.75" customHeight="1">
      <c r="A18" s="14" t="s">
        <v>97</v>
      </c>
      <c r="B18" s="14" t="s">
        <v>4288</v>
      </c>
      <c r="C18" s="14" t="s">
        <v>99</v>
      </c>
      <c r="D18" s="14" t="s">
        <v>99</v>
      </c>
      <c r="E18" s="14" t="s">
        <v>99</v>
      </c>
      <c r="F18" s="14" t="s">
        <v>4289</v>
      </c>
      <c r="G18" s="14" t="s">
        <v>99</v>
      </c>
      <c r="H18" s="14" t="s">
        <v>99</v>
      </c>
      <c r="I18" s="14" t="s">
        <v>4290</v>
      </c>
      <c r="J18" s="14" t="s">
        <v>3898</v>
      </c>
      <c r="K18" s="14" t="s">
        <v>99</v>
      </c>
      <c r="L18" s="14" t="s">
        <v>99</v>
      </c>
      <c r="M18" s="14" t="s">
        <v>103</v>
      </c>
      <c r="N18" s="14" t="s">
        <v>104</v>
      </c>
      <c r="O18" s="14" t="s">
        <v>99</v>
      </c>
      <c r="P18" s="14" t="s">
        <v>99</v>
      </c>
      <c r="Q18" s="14" t="s">
        <v>99</v>
      </c>
      <c r="R18" s="14" t="s">
        <v>99</v>
      </c>
      <c r="S18" s="14" t="s">
        <v>99</v>
      </c>
      <c r="T18" s="14" t="s">
        <v>4291</v>
      </c>
      <c r="U18" s="14" t="s">
        <v>4292</v>
      </c>
      <c r="V18" s="14" t="s">
        <v>4293</v>
      </c>
      <c r="W18" s="14" t="s">
        <v>4294</v>
      </c>
      <c r="X18" s="14" t="s">
        <v>4295</v>
      </c>
      <c r="Y18" s="14" t="s">
        <v>4296</v>
      </c>
      <c r="Z18" s="14" t="s">
        <v>4297</v>
      </c>
      <c r="AA18" s="14" t="s">
        <v>99</v>
      </c>
      <c r="AB18" s="14" t="s">
        <v>99</v>
      </c>
      <c r="AC18" s="14" t="s">
        <v>99</v>
      </c>
      <c r="AD18" s="14" t="s">
        <v>99</v>
      </c>
      <c r="AE18" s="14" t="s">
        <v>99</v>
      </c>
      <c r="AF18" s="14" t="s">
        <v>99</v>
      </c>
      <c r="AG18" s="14">
        <v>47.0</v>
      </c>
      <c r="AH18" s="14">
        <v>2.0</v>
      </c>
      <c r="AI18" s="14">
        <v>2.0</v>
      </c>
      <c r="AJ18" s="14">
        <v>0.0</v>
      </c>
      <c r="AK18" s="14">
        <v>56.0</v>
      </c>
      <c r="AL18" s="14" t="s">
        <v>1731</v>
      </c>
      <c r="AM18" s="14" t="s">
        <v>1732</v>
      </c>
      <c r="AN18" s="14" t="s">
        <v>1733</v>
      </c>
      <c r="AO18" s="14" t="s">
        <v>3911</v>
      </c>
      <c r="AP18" s="14" t="s">
        <v>3912</v>
      </c>
      <c r="AQ18" s="14" t="s">
        <v>99</v>
      </c>
      <c r="AR18" s="14" t="s">
        <v>3913</v>
      </c>
      <c r="AS18" s="14" t="s">
        <v>3914</v>
      </c>
      <c r="AT18" s="14" t="s">
        <v>718</v>
      </c>
      <c r="AU18" s="14">
        <v>2013.0</v>
      </c>
      <c r="AV18" s="14">
        <v>87.0</v>
      </c>
      <c r="AW18" s="14">
        <v>2.0</v>
      </c>
      <c r="AX18" s="14" t="s">
        <v>99</v>
      </c>
      <c r="AY18" s="14" t="s">
        <v>99</v>
      </c>
      <c r="AZ18" s="14" t="s">
        <v>99</v>
      </c>
      <c r="BA18" s="14" t="s">
        <v>99</v>
      </c>
      <c r="BB18" s="14">
        <v>451.0</v>
      </c>
      <c r="BC18" s="14">
        <v>464.0</v>
      </c>
      <c r="BD18" s="14" t="s">
        <v>99</v>
      </c>
      <c r="BE18" s="14" t="s">
        <v>4298</v>
      </c>
      <c r="BF18" s="15" t="str">
        <f>HYPERLINK("http://dx.doi.org/10.1007/s10457-012-9566-9","http://dx.doi.org/10.1007/s10457-012-9566-9")</f>
        <v>http://dx.doi.org/10.1007/s10457-012-9566-9</v>
      </c>
      <c r="BG18" s="14" t="s">
        <v>99</v>
      </c>
      <c r="BH18" s="14" t="s">
        <v>99</v>
      </c>
      <c r="BI18" s="14">
        <v>14.0</v>
      </c>
      <c r="BJ18" s="14" t="s">
        <v>3916</v>
      </c>
      <c r="BK18" s="14" t="s">
        <v>122</v>
      </c>
      <c r="BL18" s="14" t="s">
        <v>3917</v>
      </c>
      <c r="BM18" s="14" t="s">
        <v>4299</v>
      </c>
      <c r="BN18" s="14" t="s">
        <v>99</v>
      </c>
      <c r="BO18" s="14" t="s">
        <v>99</v>
      </c>
      <c r="BP18" s="14" t="s">
        <v>99</v>
      </c>
      <c r="BQ18" s="14" t="s">
        <v>99</v>
      </c>
      <c r="BR18" s="14" t="s">
        <v>124</v>
      </c>
      <c r="BS18" s="14" t="s">
        <v>4300</v>
      </c>
      <c r="BT18" s="14" t="str">
        <f>HYPERLINK("https%3A%2F%2Fwww.webofscience.com%2Fwos%2Fwoscc%2Ffull-record%2FWOS:000316006500019","View Full Record in Web of Science")</f>
        <v>View Full Record in Web of Science</v>
      </c>
    </row>
    <row r="19" ht="12.75" customHeight="1">
      <c r="A19" s="14" t="s">
        <v>97</v>
      </c>
      <c r="B19" s="14" t="s">
        <v>4391</v>
      </c>
      <c r="C19" s="14" t="s">
        <v>99</v>
      </c>
      <c r="D19" s="14" t="s">
        <v>99</v>
      </c>
      <c r="E19" s="14" t="s">
        <v>99</v>
      </c>
      <c r="F19" s="14" t="s">
        <v>4392</v>
      </c>
      <c r="G19" s="14" t="s">
        <v>99</v>
      </c>
      <c r="H19" s="14" t="s">
        <v>99</v>
      </c>
      <c r="I19" s="14" t="s">
        <v>4393</v>
      </c>
      <c r="J19" s="14" t="s">
        <v>2500</v>
      </c>
      <c r="K19" s="14" t="s">
        <v>99</v>
      </c>
      <c r="L19" s="14" t="s">
        <v>99</v>
      </c>
      <c r="M19" s="14" t="s">
        <v>103</v>
      </c>
      <c r="N19" s="14" t="s">
        <v>104</v>
      </c>
      <c r="O19" s="14" t="s">
        <v>99</v>
      </c>
      <c r="P19" s="14" t="s">
        <v>99</v>
      </c>
      <c r="Q19" s="14" t="s">
        <v>99</v>
      </c>
      <c r="R19" s="14" t="s">
        <v>99</v>
      </c>
      <c r="S19" s="14" t="s">
        <v>99</v>
      </c>
      <c r="T19" s="14" t="s">
        <v>99</v>
      </c>
      <c r="U19" s="14" t="s">
        <v>4394</v>
      </c>
      <c r="V19" s="14" t="s">
        <v>4395</v>
      </c>
      <c r="W19" s="14" t="s">
        <v>4396</v>
      </c>
      <c r="X19" s="14" t="s">
        <v>4397</v>
      </c>
      <c r="Y19" s="14" t="s">
        <v>4398</v>
      </c>
      <c r="Z19" s="14" t="s">
        <v>3757</v>
      </c>
      <c r="AA19" s="14" t="s">
        <v>4399</v>
      </c>
      <c r="AB19" s="14" t="s">
        <v>4400</v>
      </c>
      <c r="AC19" s="14" t="s">
        <v>4401</v>
      </c>
      <c r="AD19" s="14" t="s">
        <v>4402</v>
      </c>
      <c r="AE19" s="14" t="s">
        <v>4403</v>
      </c>
      <c r="AF19" s="14" t="s">
        <v>99</v>
      </c>
      <c r="AG19" s="14">
        <v>53.0</v>
      </c>
      <c r="AH19" s="14">
        <v>63.0</v>
      </c>
      <c r="AI19" s="14">
        <v>70.0</v>
      </c>
      <c r="AJ19" s="14">
        <v>1.0</v>
      </c>
      <c r="AK19" s="14">
        <v>11.0</v>
      </c>
      <c r="AL19" s="14" t="s">
        <v>2512</v>
      </c>
      <c r="AM19" s="14" t="s">
        <v>2513</v>
      </c>
      <c r="AN19" s="14" t="s">
        <v>2514</v>
      </c>
      <c r="AO19" s="14" t="s">
        <v>2515</v>
      </c>
      <c r="AP19" s="14" t="s">
        <v>99</v>
      </c>
      <c r="AQ19" s="14" t="s">
        <v>99</v>
      </c>
      <c r="AR19" s="14" t="s">
        <v>2500</v>
      </c>
      <c r="AS19" s="14" t="s">
        <v>2516</v>
      </c>
      <c r="AT19" s="14" t="s">
        <v>4404</v>
      </c>
      <c r="AU19" s="14">
        <v>2013.0</v>
      </c>
      <c r="AV19" s="14">
        <v>8.0</v>
      </c>
      <c r="AW19" s="14">
        <v>1.0</v>
      </c>
      <c r="AX19" s="14" t="s">
        <v>99</v>
      </c>
      <c r="AY19" s="14" t="s">
        <v>99</v>
      </c>
      <c r="AZ19" s="14" t="s">
        <v>99</v>
      </c>
      <c r="BA19" s="14" t="s">
        <v>99</v>
      </c>
      <c r="BB19" s="14" t="s">
        <v>99</v>
      </c>
      <c r="BC19" s="14" t="s">
        <v>99</v>
      </c>
      <c r="BD19" s="14" t="s">
        <v>4405</v>
      </c>
      <c r="BE19" s="14" t="s">
        <v>4406</v>
      </c>
      <c r="BF19" s="15" t="str">
        <f>HYPERLINK("http://dx.doi.org/10.1371/journal.pone.0055461","http://dx.doi.org/10.1371/journal.pone.0055461")</f>
        <v>http://dx.doi.org/10.1371/journal.pone.0055461</v>
      </c>
      <c r="BG19" s="14" t="s">
        <v>99</v>
      </c>
      <c r="BH19" s="14" t="s">
        <v>99</v>
      </c>
      <c r="BI19" s="14">
        <v>9.0</v>
      </c>
      <c r="BJ19" s="14" t="s">
        <v>799</v>
      </c>
      <c r="BK19" s="14" t="s">
        <v>122</v>
      </c>
      <c r="BL19" s="14" t="s">
        <v>801</v>
      </c>
      <c r="BM19" s="14" t="s">
        <v>4407</v>
      </c>
      <c r="BN19" s="14">
        <v>2.3383196E7</v>
      </c>
      <c r="BO19" s="14" t="s">
        <v>1251</v>
      </c>
      <c r="BP19" s="14" t="s">
        <v>99</v>
      </c>
      <c r="BQ19" s="14" t="s">
        <v>99</v>
      </c>
      <c r="BR19" s="14" t="s">
        <v>124</v>
      </c>
      <c r="BS19" s="14" t="s">
        <v>4408</v>
      </c>
      <c r="BT19" s="14" t="str">
        <f>HYPERLINK("https%3A%2F%2Fwww.webofscience.com%2Fwos%2Fwoscc%2Ffull-record%2FWOS:000315483200052","View Full Record in Web of Science")</f>
        <v>View Full Record in Web of Science</v>
      </c>
    </row>
    <row r="20" ht="12.75" customHeight="1">
      <c r="A20" s="14" t="s">
        <v>97</v>
      </c>
      <c r="B20" s="14" t="s">
        <v>4409</v>
      </c>
      <c r="C20" s="14" t="s">
        <v>99</v>
      </c>
      <c r="D20" s="14" t="s">
        <v>99</v>
      </c>
      <c r="E20" s="14" t="s">
        <v>99</v>
      </c>
      <c r="F20" s="14" t="s">
        <v>4410</v>
      </c>
      <c r="G20" s="14" t="s">
        <v>99</v>
      </c>
      <c r="H20" s="14" t="s">
        <v>99</v>
      </c>
      <c r="I20" s="14" t="s">
        <v>4411</v>
      </c>
      <c r="J20" s="14" t="s">
        <v>2500</v>
      </c>
      <c r="K20" s="14" t="s">
        <v>99</v>
      </c>
      <c r="L20" s="14" t="s">
        <v>99</v>
      </c>
      <c r="M20" s="14" t="s">
        <v>103</v>
      </c>
      <c r="N20" s="14" t="s">
        <v>104</v>
      </c>
      <c r="O20" s="14" t="s">
        <v>99</v>
      </c>
      <c r="P20" s="14" t="s">
        <v>99</v>
      </c>
      <c r="Q20" s="14" t="s">
        <v>99</v>
      </c>
      <c r="R20" s="14" t="s">
        <v>99</v>
      </c>
      <c r="S20" s="14" t="s">
        <v>99</v>
      </c>
      <c r="T20" s="14" t="s">
        <v>99</v>
      </c>
      <c r="U20" s="14" t="s">
        <v>4412</v>
      </c>
      <c r="V20" s="14" t="s">
        <v>4413</v>
      </c>
      <c r="W20" s="14" t="s">
        <v>4414</v>
      </c>
      <c r="X20" s="14" t="s">
        <v>4415</v>
      </c>
      <c r="Y20" s="14" t="s">
        <v>4416</v>
      </c>
      <c r="Z20" s="14" t="s">
        <v>4417</v>
      </c>
      <c r="AA20" s="14" t="s">
        <v>4418</v>
      </c>
      <c r="AB20" s="14" t="s">
        <v>4419</v>
      </c>
      <c r="AC20" s="14" t="s">
        <v>4420</v>
      </c>
      <c r="AD20" s="14" t="s">
        <v>4421</v>
      </c>
      <c r="AE20" s="14" t="s">
        <v>4422</v>
      </c>
      <c r="AF20" s="14" t="s">
        <v>99</v>
      </c>
      <c r="AG20" s="14">
        <v>42.0</v>
      </c>
      <c r="AH20" s="14">
        <v>31.0</v>
      </c>
      <c r="AI20" s="14">
        <v>33.0</v>
      </c>
      <c r="AJ20" s="14">
        <v>0.0</v>
      </c>
      <c r="AK20" s="14">
        <v>116.0</v>
      </c>
      <c r="AL20" s="14" t="s">
        <v>2512</v>
      </c>
      <c r="AM20" s="14" t="s">
        <v>2513</v>
      </c>
      <c r="AN20" s="14" t="s">
        <v>2514</v>
      </c>
      <c r="AO20" s="14" t="s">
        <v>2515</v>
      </c>
      <c r="AP20" s="14" t="s">
        <v>99</v>
      </c>
      <c r="AQ20" s="14" t="s">
        <v>99</v>
      </c>
      <c r="AR20" s="14" t="s">
        <v>2500</v>
      </c>
      <c r="AS20" s="14" t="s">
        <v>2516</v>
      </c>
      <c r="AT20" s="14" t="s">
        <v>4423</v>
      </c>
      <c r="AU20" s="14">
        <v>2013.0</v>
      </c>
      <c r="AV20" s="14">
        <v>8.0</v>
      </c>
      <c r="AW20" s="14">
        <v>1.0</v>
      </c>
      <c r="AX20" s="14" t="s">
        <v>99</v>
      </c>
      <c r="AY20" s="14" t="s">
        <v>99</v>
      </c>
      <c r="AZ20" s="14" t="s">
        <v>99</v>
      </c>
      <c r="BA20" s="14" t="s">
        <v>99</v>
      </c>
      <c r="BB20" s="14" t="s">
        <v>99</v>
      </c>
      <c r="BC20" s="14" t="s">
        <v>99</v>
      </c>
      <c r="BD20" s="14" t="s">
        <v>4424</v>
      </c>
      <c r="BE20" s="14" t="s">
        <v>4425</v>
      </c>
      <c r="BF20" s="15" t="str">
        <f>HYPERLINK("http://dx.doi.org/10.1371/journal.pone.0054818","http://dx.doi.org/10.1371/journal.pone.0054818")</f>
        <v>http://dx.doi.org/10.1371/journal.pone.0054818</v>
      </c>
      <c r="BG20" s="14" t="s">
        <v>99</v>
      </c>
      <c r="BH20" s="14" t="s">
        <v>99</v>
      </c>
      <c r="BI20" s="14">
        <v>7.0</v>
      </c>
      <c r="BJ20" s="14" t="s">
        <v>799</v>
      </c>
      <c r="BK20" s="14" t="s">
        <v>122</v>
      </c>
      <c r="BL20" s="14" t="s">
        <v>801</v>
      </c>
      <c r="BM20" s="14" t="s">
        <v>4426</v>
      </c>
      <c r="BN20" s="14">
        <v>2.3382979E7</v>
      </c>
      <c r="BO20" s="14" t="s">
        <v>1251</v>
      </c>
      <c r="BP20" s="14" t="s">
        <v>99</v>
      </c>
      <c r="BQ20" s="14" t="s">
        <v>99</v>
      </c>
      <c r="BR20" s="14" t="s">
        <v>124</v>
      </c>
      <c r="BS20" s="14" t="s">
        <v>4427</v>
      </c>
      <c r="BT20" s="14" t="str">
        <f>HYPERLINK("https%3A%2F%2Fwww.webofscience.com%2Fwos%2Fwoscc%2Ffull-record%2FWOS:000315211500031","View Full Record in Web of Science")</f>
        <v>View Full Record in Web of Science</v>
      </c>
    </row>
    <row r="21" ht="12.75" customHeight="1">
      <c r="A21" s="14" t="s">
        <v>97</v>
      </c>
      <c r="B21" s="14" t="s">
        <v>4447</v>
      </c>
      <c r="C21" s="14" t="s">
        <v>99</v>
      </c>
      <c r="D21" s="14" t="s">
        <v>99</v>
      </c>
      <c r="E21" s="14" t="s">
        <v>99</v>
      </c>
      <c r="F21" s="14" t="s">
        <v>4448</v>
      </c>
      <c r="G21" s="14" t="s">
        <v>99</v>
      </c>
      <c r="H21" s="14" t="s">
        <v>99</v>
      </c>
      <c r="I21" s="14" t="s">
        <v>4449</v>
      </c>
      <c r="J21" s="14" t="s">
        <v>4450</v>
      </c>
      <c r="K21" s="14" t="s">
        <v>99</v>
      </c>
      <c r="L21" s="14" t="s">
        <v>99</v>
      </c>
      <c r="M21" s="14" t="s">
        <v>103</v>
      </c>
      <c r="N21" s="14" t="s">
        <v>104</v>
      </c>
      <c r="O21" s="14" t="s">
        <v>99</v>
      </c>
      <c r="P21" s="14" t="s">
        <v>99</v>
      </c>
      <c r="Q21" s="14" t="s">
        <v>99</v>
      </c>
      <c r="R21" s="14" t="s">
        <v>99</v>
      </c>
      <c r="S21" s="14" t="s">
        <v>99</v>
      </c>
      <c r="T21" s="14" t="s">
        <v>4451</v>
      </c>
      <c r="U21" s="14" t="s">
        <v>4452</v>
      </c>
      <c r="V21" s="14" t="s">
        <v>4453</v>
      </c>
      <c r="W21" s="14" t="s">
        <v>4454</v>
      </c>
      <c r="X21" s="14" t="s">
        <v>99</v>
      </c>
      <c r="Y21" s="14" t="s">
        <v>4455</v>
      </c>
      <c r="Z21" s="14" t="s">
        <v>4456</v>
      </c>
      <c r="AA21" s="14" t="s">
        <v>4457</v>
      </c>
      <c r="AB21" s="14" t="s">
        <v>4458</v>
      </c>
      <c r="AC21" s="14" t="s">
        <v>99</v>
      </c>
      <c r="AD21" s="14" t="s">
        <v>99</v>
      </c>
      <c r="AE21" s="14" t="s">
        <v>99</v>
      </c>
      <c r="AF21" s="14" t="s">
        <v>99</v>
      </c>
      <c r="AG21" s="14">
        <v>21.0</v>
      </c>
      <c r="AH21" s="14">
        <v>3.0</v>
      </c>
      <c r="AI21" s="14">
        <v>4.0</v>
      </c>
      <c r="AJ21" s="14">
        <v>0.0</v>
      </c>
      <c r="AK21" s="14">
        <v>16.0</v>
      </c>
      <c r="AL21" s="14" t="s">
        <v>4459</v>
      </c>
      <c r="AM21" s="14" t="s">
        <v>4460</v>
      </c>
      <c r="AN21" s="14" t="s">
        <v>4461</v>
      </c>
      <c r="AO21" s="14" t="s">
        <v>4462</v>
      </c>
      <c r="AP21" s="14" t="s">
        <v>4463</v>
      </c>
      <c r="AQ21" s="14" t="s">
        <v>99</v>
      </c>
      <c r="AR21" s="14" t="s">
        <v>4464</v>
      </c>
      <c r="AS21" s="14" t="s">
        <v>4465</v>
      </c>
      <c r="AT21" s="14" t="s">
        <v>99</v>
      </c>
      <c r="AU21" s="14">
        <v>2013.0</v>
      </c>
      <c r="AV21" s="14">
        <v>11.0</v>
      </c>
      <c r="AW21" s="14">
        <v>1.0</v>
      </c>
      <c r="AX21" s="14" t="s">
        <v>99</v>
      </c>
      <c r="AY21" s="14" t="s">
        <v>99</v>
      </c>
      <c r="AZ21" s="14" t="s">
        <v>99</v>
      </c>
      <c r="BA21" s="14" t="s">
        <v>99</v>
      </c>
      <c r="BB21" s="14">
        <v>123.0</v>
      </c>
      <c r="BC21" s="14">
        <v>136.0</v>
      </c>
      <c r="BD21" s="14" t="s">
        <v>99</v>
      </c>
      <c r="BE21" s="14" t="s">
        <v>4466</v>
      </c>
      <c r="BF21" s="15" t="str">
        <f>HYPERLINK("http://dx.doi.org/10.15666/aeer/1101_123136","http://dx.doi.org/10.15666/aeer/1101_123136")</f>
        <v>http://dx.doi.org/10.15666/aeer/1101_123136</v>
      </c>
      <c r="BG21" s="14" t="s">
        <v>99</v>
      </c>
      <c r="BH21" s="14" t="s">
        <v>99</v>
      </c>
      <c r="BI21" s="14">
        <v>14.0</v>
      </c>
      <c r="BJ21" s="14" t="s">
        <v>423</v>
      </c>
      <c r="BK21" s="14" t="s">
        <v>122</v>
      </c>
      <c r="BL21" s="14" t="s">
        <v>260</v>
      </c>
      <c r="BM21" s="14" t="s">
        <v>4467</v>
      </c>
      <c r="BN21" s="14" t="s">
        <v>99</v>
      </c>
      <c r="BO21" s="14" t="s">
        <v>238</v>
      </c>
      <c r="BP21" s="14" t="s">
        <v>99</v>
      </c>
      <c r="BQ21" s="14" t="s">
        <v>99</v>
      </c>
      <c r="BR21" s="14" t="s">
        <v>124</v>
      </c>
      <c r="BS21" s="14" t="s">
        <v>4468</v>
      </c>
      <c r="BT21" s="14" t="str">
        <f>HYPERLINK("https%3A%2F%2Fwww.webofscience.com%2Fwos%2Fwoscc%2Ffull-record%2FWOS:000320994600008","View Full Record in Web of Science")</f>
        <v>View Full Record in Web of Science</v>
      </c>
    </row>
    <row r="22" ht="12.75" customHeight="1">
      <c r="A22" s="14" t="s">
        <v>97</v>
      </c>
      <c r="B22" s="14" t="s">
        <v>4523</v>
      </c>
      <c r="C22" s="14" t="s">
        <v>99</v>
      </c>
      <c r="D22" s="14" t="s">
        <v>99</v>
      </c>
      <c r="E22" s="14" t="s">
        <v>99</v>
      </c>
      <c r="F22" s="14" t="s">
        <v>4524</v>
      </c>
      <c r="G22" s="14" t="s">
        <v>99</v>
      </c>
      <c r="H22" s="14" t="s">
        <v>99</v>
      </c>
      <c r="I22" s="14" t="s">
        <v>4525</v>
      </c>
      <c r="J22" s="14" t="s">
        <v>2500</v>
      </c>
      <c r="K22" s="14" t="s">
        <v>99</v>
      </c>
      <c r="L22" s="14" t="s">
        <v>99</v>
      </c>
      <c r="M22" s="14" t="s">
        <v>103</v>
      </c>
      <c r="N22" s="14" t="s">
        <v>104</v>
      </c>
      <c r="O22" s="14" t="s">
        <v>99</v>
      </c>
      <c r="P22" s="14" t="s">
        <v>99</v>
      </c>
      <c r="Q22" s="14" t="s">
        <v>99</v>
      </c>
      <c r="R22" s="14" t="s">
        <v>99</v>
      </c>
      <c r="S22" s="14" t="s">
        <v>99</v>
      </c>
      <c r="T22" s="14" t="s">
        <v>99</v>
      </c>
      <c r="U22" s="14" t="s">
        <v>4526</v>
      </c>
      <c r="V22" s="14" t="s">
        <v>4527</v>
      </c>
      <c r="W22" s="14" t="s">
        <v>4528</v>
      </c>
      <c r="X22" s="14" t="s">
        <v>4529</v>
      </c>
      <c r="Y22" s="14" t="s">
        <v>4530</v>
      </c>
      <c r="Z22" s="14" t="s">
        <v>4531</v>
      </c>
      <c r="AA22" s="14" t="s">
        <v>4532</v>
      </c>
      <c r="AB22" s="14" t="s">
        <v>4533</v>
      </c>
      <c r="AC22" s="14" t="s">
        <v>4534</v>
      </c>
      <c r="AD22" s="14" t="s">
        <v>4535</v>
      </c>
      <c r="AE22" s="14" t="s">
        <v>4536</v>
      </c>
      <c r="AF22" s="14" t="s">
        <v>99</v>
      </c>
      <c r="AG22" s="14">
        <v>50.0</v>
      </c>
      <c r="AH22" s="14">
        <v>26.0</v>
      </c>
      <c r="AI22" s="14">
        <v>29.0</v>
      </c>
      <c r="AJ22" s="14">
        <v>1.0</v>
      </c>
      <c r="AK22" s="14">
        <v>60.0</v>
      </c>
      <c r="AL22" s="14" t="s">
        <v>2512</v>
      </c>
      <c r="AM22" s="14" t="s">
        <v>2513</v>
      </c>
      <c r="AN22" s="14" t="s">
        <v>2514</v>
      </c>
      <c r="AO22" s="14" t="s">
        <v>2515</v>
      </c>
      <c r="AP22" s="14" t="s">
        <v>99</v>
      </c>
      <c r="AQ22" s="14" t="s">
        <v>99</v>
      </c>
      <c r="AR22" s="14" t="s">
        <v>2500</v>
      </c>
      <c r="AS22" s="14" t="s">
        <v>2516</v>
      </c>
      <c r="AT22" s="14" t="s">
        <v>4537</v>
      </c>
      <c r="AU22" s="14">
        <v>2012.0</v>
      </c>
      <c r="AV22" s="14">
        <v>7.0</v>
      </c>
      <c r="AW22" s="14">
        <v>12.0</v>
      </c>
      <c r="AX22" s="14" t="s">
        <v>99</v>
      </c>
      <c r="AY22" s="14" t="s">
        <v>99</v>
      </c>
      <c r="AZ22" s="14" t="s">
        <v>99</v>
      </c>
      <c r="BA22" s="14" t="s">
        <v>99</v>
      </c>
      <c r="BB22" s="14" t="s">
        <v>99</v>
      </c>
      <c r="BC22" s="14" t="s">
        <v>99</v>
      </c>
      <c r="BD22" s="14" t="s">
        <v>4538</v>
      </c>
      <c r="BE22" s="14" t="s">
        <v>4539</v>
      </c>
      <c r="BF22" s="15" t="str">
        <f>HYPERLINK("http://dx.doi.org/10.1371/journal.pone.0051520","http://dx.doi.org/10.1371/journal.pone.0051520")</f>
        <v>http://dx.doi.org/10.1371/journal.pone.0051520</v>
      </c>
      <c r="BG22" s="14" t="s">
        <v>99</v>
      </c>
      <c r="BH22" s="14" t="s">
        <v>99</v>
      </c>
      <c r="BI22" s="14">
        <v>9.0</v>
      </c>
      <c r="BJ22" s="14" t="s">
        <v>799</v>
      </c>
      <c r="BK22" s="14" t="s">
        <v>122</v>
      </c>
      <c r="BL22" s="14" t="s">
        <v>801</v>
      </c>
      <c r="BM22" s="14" t="s">
        <v>4540</v>
      </c>
      <c r="BN22" s="14">
        <v>2.3251563E7</v>
      </c>
      <c r="BO22" s="14" t="s">
        <v>1251</v>
      </c>
      <c r="BP22" s="14" t="s">
        <v>99</v>
      </c>
      <c r="BQ22" s="14" t="s">
        <v>99</v>
      </c>
      <c r="BR22" s="14" t="s">
        <v>124</v>
      </c>
      <c r="BS22" s="14" t="s">
        <v>4541</v>
      </c>
      <c r="BT22" s="14" t="str">
        <f>HYPERLINK("https%3A%2F%2Fwww.webofscience.com%2Fwos%2Fwoscc%2Ffull-record%2FWOS:000313236200129","View Full Record in Web of Science")</f>
        <v>View Full Record in Web of Science</v>
      </c>
    </row>
    <row r="23" ht="12.75" customHeight="1">
      <c r="A23" s="14" t="s">
        <v>97</v>
      </c>
      <c r="B23" s="14" t="s">
        <v>4576</v>
      </c>
      <c r="C23" s="14" t="s">
        <v>99</v>
      </c>
      <c r="D23" s="14" t="s">
        <v>99</v>
      </c>
      <c r="E23" s="14" t="s">
        <v>99</v>
      </c>
      <c r="F23" s="14" t="s">
        <v>4577</v>
      </c>
      <c r="G23" s="14" t="s">
        <v>99</v>
      </c>
      <c r="H23" s="14" t="s">
        <v>99</v>
      </c>
      <c r="I23" s="14" t="s">
        <v>4578</v>
      </c>
      <c r="J23" s="14" t="s">
        <v>2142</v>
      </c>
      <c r="K23" s="14" t="s">
        <v>99</v>
      </c>
      <c r="L23" s="14" t="s">
        <v>99</v>
      </c>
      <c r="M23" s="14" t="s">
        <v>103</v>
      </c>
      <c r="N23" s="14" t="s">
        <v>104</v>
      </c>
      <c r="O23" s="14" t="s">
        <v>99</v>
      </c>
      <c r="P23" s="14" t="s">
        <v>99</v>
      </c>
      <c r="Q23" s="14" t="s">
        <v>99</v>
      </c>
      <c r="R23" s="14" t="s">
        <v>99</v>
      </c>
      <c r="S23" s="14" t="s">
        <v>99</v>
      </c>
      <c r="T23" s="14" t="s">
        <v>4579</v>
      </c>
      <c r="U23" s="14" t="s">
        <v>4580</v>
      </c>
      <c r="V23" s="14" t="s">
        <v>4581</v>
      </c>
      <c r="W23" s="14" t="s">
        <v>4582</v>
      </c>
      <c r="X23" s="14" t="s">
        <v>4583</v>
      </c>
      <c r="Y23" s="14" t="s">
        <v>4584</v>
      </c>
      <c r="Z23" s="14" t="s">
        <v>4585</v>
      </c>
      <c r="AA23" s="14" t="s">
        <v>99</v>
      </c>
      <c r="AB23" s="14" t="s">
        <v>4586</v>
      </c>
      <c r="AC23" s="14" t="s">
        <v>4587</v>
      </c>
      <c r="AD23" s="14" t="s">
        <v>4587</v>
      </c>
      <c r="AE23" s="14" t="s">
        <v>4588</v>
      </c>
      <c r="AF23" s="14" t="s">
        <v>99</v>
      </c>
      <c r="AG23" s="14">
        <v>32.0</v>
      </c>
      <c r="AH23" s="14">
        <v>82.0</v>
      </c>
      <c r="AI23" s="14">
        <v>95.0</v>
      </c>
      <c r="AJ23" s="14">
        <v>0.0</v>
      </c>
      <c r="AK23" s="14">
        <v>80.0</v>
      </c>
      <c r="AL23" s="14" t="s">
        <v>341</v>
      </c>
      <c r="AM23" s="14" t="s">
        <v>342</v>
      </c>
      <c r="AN23" s="14" t="s">
        <v>343</v>
      </c>
      <c r="AO23" s="14" t="s">
        <v>2155</v>
      </c>
      <c r="AP23" s="14" t="s">
        <v>2156</v>
      </c>
      <c r="AQ23" s="14" t="s">
        <v>99</v>
      </c>
      <c r="AR23" s="14" t="s">
        <v>2157</v>
      </c>
      <c r="AS23" s="14" t="s">
        <v>2158</v>
      </c>
      <c r="AT23" s="14" t="s">
        <v>1058</v>
      </c>
      <c r="AU23" s="14">
        <v>2012.0</v>
      </c>
      <c r="AV23" s="14">
        <v>26.0</v>
      </c>
      <c r="AW23" s="14">
        <v>6.0</v>
      </c>
      <c r="AX23" s="14" t="s">
        <v>99</v>
      </c>
      <c r="AY23" s="14" t="s">
        <v>99</v>
      </c>
      <c r="AZ23" s="14" t="s">
        <v>99</v>
      </c>
      <c r="BA23" s="14" t="s">
        <v>99</v>
      </c>
      <c r="BB23" s="14">
        <v>1040.0</v>
      </c>
      <c r="BC23" s="14">
        <v>1051.0</v>
      </c>
      <c r="BD23" s="14" t="s">
        <v>99</v>
      </c>
      <c r="BE23" s="14" t="s">
        <v>4589</v>
      </c>
      <c r="BF23" s="15" t="str">
        <f>HYPERLINK("http://dx.doi.org/10.1111/j.1523-1739.2012.01904.x","http://dx.doi.org/10.1111/j.1523-1739.2012.01904.x")</f>
        <v>http://dx.doi.org/10.1111/j.1523-1739.2012.01904.x</v>
      </c>
      <c r="BG23" s="14" t="s">
        <v>99</v>
      </c>
      <c r="BH23" s="14" t="s">
        <v>99</v>
      </c>
      <c r="BI23" s="14">
        <v>12.0</v>
      </c>
      <c r="BJ23" s="14" t="s">
        <v>351</v>
      </c>
      <c r="BK23" s="14" t="s">
        <v>122</v>
      </c>
      <c r="BL23" s="14" t="s">
        <v>352</v>
      </c>
      <c r="BM23" s="14" t="s">
        <v>4590</v>
      </c>
      <c r="BN23" s="14">
        <v>2.2862688E7</v>
      </c>
      <c r="BO23" s="14" t="s">
        <v>99</v>
      </c>
      <c r="BP23" s="14" t="s">
        <v>99</v>
      </c>
      <c r="BQ23" s="14" t="s">
        <v>99</v>
      </c>
      <c r="BR23" s="14" t="s">
        <v>124</v>
      </c>
      <c r="BS23" s="14" t="s">
        <v>4591</v>
      </c>
      <c r="BT23" s="14" t="str">
        <f>HYPERLINK("https%3A%2F%2Fwww.webofscience.com%2Fwos%2Fwoscc%2Ffull-record%2FWOS:000310798400011","View Full Record in Web of Science")</f>
        <v>View Full Record in Web of Science</v>
      </c>
    </row>
    <row r="24" ht="12.75" customHeight="1">
      <c r="A24" s="14" t="s">
        <v>97</v>
      </c>
      <c r="B24" s="14" t="s">
        <v>4607</v>
      </c>
      <c r="C24" s="14" t="s">
        <v>99</v>
      </c>
      <c r="D24" s="14" t="s">
        <v>99</v>
      </c>
      <c r="E24" s="14" t="s">
        <v>99</v>
      </c>
      <c r="F24" s="14" t="s">
        <v>4608</v>
      </c>
      <c r="G24" s="14" t="s">
        <v>99</v>
      </c>
      <c r="H24" s="14" t="s">
        <v>99</v>
      </c>
      <c r="I24" s="14" t="s">
        <v>4609</v>
      </c>
      <c r="J24" s="14" t="s">
        <v>4610</v>
      </c>
      <c r="K24" s="14" t="s">
        <v>99</v>
      </c>
      <c r="L24" s="14" t="s">
        <v>99</v>
      </c>
      <c r="M24" s="14" t="s">
        <v>103</v>
      </c>
      <c r="N24" s="14" t="s">
        <v>104</v>
      </c>
      <c r="O24" s="14" t="s">
        <v>99</v>
      </c>
      <c r="P24" s="14" t="s">
        <v>99</v>
      </c>
      <c r="Q24" s="14" t="s">
        <v>99</v>
      </c>
      <c r="R24" s="14" t="s">
        <v>99</v>
      </c>
      <c r="S24" s="14" t="s">
        <v>99</v>
      </c>
      <c r="T24" s="14" t="s">
        <v>4611</v>
      </c>
      <c r="U24" s="14" t="s">
        <v>4612</v>
      </c>
      <c r="V24" s="14" t="s">
        <v>4613</v>
      </c>
      <c r="W24" s="14" t="s">
        <v>4614</v>
      </c>
      <c r="X24" s="14" t="s">
        <v>4615</v>
      </c>
      <c r="Y24" s="14" t="s">
        <v>4616</v>
      </c>
      <c r="Z24" s="14" t="s">
        <v>4617</v>
      </c>
      <c r="AA24" s="14" t="s">
        <v>99</v>
      </c>
      <c r="AB24" s="14" t="s">
        <v>99</v>
      </c>
      <c r="AC24" s="14" t="s">
        <v>4618</v>
      </c>
      <c r="AD24" s="14" t="s">
        <v>4619</v>
      </c>
      <c r="AE24" s="14" t="s">
        <v>4620</v>
      </c>
      <c r="AF24" s="14" t="s">
        <v>99</v>
      </c>
      <c r="AG24" s="14">
        <v>71.0</v>
      </c>
      <c r="AH24" s="14">
        <v>33.0</v>
      </c>
      <c r="AI24" s="14">
        <v>43.0</v>
      </c>
      <c r="AJ24" s="14">
        <v>0.0</v>
      </c>
      <c r="AK24" s="14">
        <v>81.0</v>
      </c>
      <c r="AL24" s="14" t="s">
        <v>4621</v>
      </c>
      <c r="AM24" s="14" t="s">
        <v>4622</v>
      </c>
      <c r="AN24" s="14" t="s">
        <v>4623</v>
      </c>
      <c r="AO24" s="14" t="s">
        <v>4624</v>
      </c>
      <c r="AP24" s="14" t="s">
        <v>4625</v>
      </c>
      <c r="AQ24" s="14" t="s">
        <v>99</v>
      </c>
      <c r="AR24" s="14" t="s">
        <v>4626</v>
      </c>
      <c r="AS24" s="14" t="s">
        <v>4627</v>
      </c>
      <c r="AT24" s="14" t="s">
        <v>1058</v>
      </c>
      <c r="AU24" s="14">
        <v>2012.0</v>
      </c>
      <c r="AV24" s="14">
        <v>17.0</v>
      </c>
      <c r="AW24" s="14">
        <v>6.0</v>
      </c>
      <c r="AX24" s="14" t="s">
        <v>99</v>
      </c>
      <c r="AY24" s="14" t="s">
        <v>99</v>
      </c>
      <c r="AZ24" s="14" t="s">
        <v>99</v>
      </c>
      <c r="BA24" s="14" t="s">
        <v>99</v>
      </c>
      <c r="BB24" s="14">
        <v>468.0</v>
      </c>
      <c r="BC24" s="14">
        <v>478.0</v>
      </c>
      <c r="BD24" s="14" t="s">
        <v>99</v>
      </c>
      <c r="BE24" s="14" t="s">
        <v>4628</v>
      </c>
      <c r="BF24" s="15" t="str">
        <f>HYPERLINK("http://dx.doi.org/10.1007/s10310-011-0316-z","http://dx.doi.org/10.1007/s10310-011-0316-z")</f>
        <v>http://dx.doi.org/10.1007/s10310-011-0316-z</v>
      </c>
      <c r="BG24" s="14" t="s">
        <v>99</v>
      </c>
      <c r="BH24" s="14" t="s">
        <v>99</v>
      </c>
      <c r="BI24" s="14">
        <v>11.0</v>
      </c>
      <c r="BJ24" s="14" t="s">
        <v>281</v>
      </c>
      <c r="BK24" s="14" t="s">
        <v>122</v>
      </c>
      <c r="BL24" s="14" t="s">
        <v>281</v>
      </c>
      <c r="BM24" s="14" t="s">
        <v>4629</v>
      </c>
      <c r="BN24" s="14" t="s">
        <v>99</v>
      </c>
      <c r="BO24" s="14" t="s">
        <v>99</v>
      </c>
      <c r="BP24" s="14" t="s">
        <v>99</v>
      </c>
      <c r="BQ24" s="14" t="s">
        <v>99</v>
      </c>
      <c r="BR24" s="14" t="s">
        <v>124</v>
      </c>
      <c r="BS24" s="14" t="s">
        <v>4630</v>
      </c>
      <c r="BT24" s="14" t="str">
        <f>HYPERLINK("https%3A%2F%2Fwww.webofscience.com%2Fwos%2Fwoscc%2Ffull-record%2FWOS:000310957800003","View Full Record in Web of Science")</f>
        <v>View Full Record in Web of Science</v>
      </c>
    </row>
    <row r="25" ht="12.75" customHeight="1">
      <c r="A25" s="14" t="s">
        <v>97</v>
      </c>
      <c r="B25" s="14" t="s">
        <v>4689</v>
      </c>
      <c r="C25" s="14" t="s">
        <v>99</v>
      </c>
      <c r="D25" s="14" t="s">
        <v>99</v>
      </c>
      <c r="E25" s="14" t="s">
        <v>99</v>
      </c>
      <c r="F25" s="14" t="s">
        <v>4690</v>
      </c>
      <c r="G25" s="14" t="s">
        <v>99</v>
      </c>
      <c r="H25" s="14" t="s">
        <v>99</v>
      </c>
      <c r="I25" s="14" t="s">
        <v>4691</v>
      </c>
      <c r="J25" s="14" t="s">
        <v>430</v>
      </c>
      <c r="K25" s="14" t="s">
        <v>99</v>
      </c>
      <c r="L25" s="14" t="s">
        <v>99</v>
      </c>
      <c r="M25" s="14" t="s">
        <v>103</v>
      </c>
      <c r="N25" s="14" t="s">
        <v>104</v>
      </c>
      <c r="O25" s="14" t="s">
        <v>99</v>
      </c>
      <c r="P25" s="14" t="s">
        <v>99</v>
      </c>
      <c r="Q25" s="14" t="s">
        <v>99</v>
      </c>
      <c r="R25" s="14" t="s">
        <v>99</v>
      </c>
      <c r="S25" s="14" t="s">
        <v>99</v>
      </c>
      <c r="T25" s="14" t="s">
        <v>4692</v>
      </c>
      <c r="U25" s="14" t="s">
        <v>4693</v>
      </c>
      <c r="V25" s="14" t="s">
        <v>4694</v>
      </c>
      <c r="W25" s="14" t="s">
        <v>4695</v>
      </c>
      <c r="X25" s="14" t="s">
        <v>4696</v>
      </c>
      <c r="Y25" s="14" t="s">
        <v>4697</v>
      </c>
      <c r="Z25" s="14" t="s">
        <v>4698</v>
      </c>
      <c r="AA25" s="14" t="s">
        <v>4699</v>
      </c>
      <c r="AB25" s="14" t="s">
        <v>4700</v>
      </c>
      <c r="AC25" s="14" t="s">
        <v>4701</v>
      </c>
      <c r="AD25" s="14" t="s">
        <v>4701</v>
      </c>
      <c r="AE25" s="14" t="s">
        <v>4702</v>
      </c>
      <c r="AF25" s="14" t="s">
        <v>99</v>
      </c>
      <c r="AG25" s="14">
        <v>80.0</v>
      </c>
      <c r="AH25" s="14">
        <v>36.0</v>
      </c>
      <c r="AI25" s="14">
        <v>41.0</v>
      </c>
      <c r="AJ25" s="14">
        <v>2.0</v>
      </c>
      <c r="AK25" s="14">
        <v>95.0</v>
      </c>
      <c r="AL25" s="14" t="s">
        <v>441</v>
      </c>
      <c r="AM25" s="14" t="s">
        <v>442</v>
      </c>
      <c r="AN25" s="14" t="s">
        <v>443</v>
      </c>
      <c r="AO25" s="14" t="s">
        <v>444</v>
      </c>
      <c r="AP25" s="14" t="s">
        <v>445</v>
      </c>
      <c r="AQ25" s="14" t="s">
        <v>99</v>
      </c>
      <c r="AR25" s="14" t="s">
        <v>446</v>
      </c>
      <c r="AS25" s="14" t="s">
        <v>447</v>
      </c>
      <c r="AT25" s="14" t="s">
        <v>1160</v>
      </c>
      <c r="AU25" s="14">
        <v>2012.0</v>
      </c>
      <c r="AV25" s="14">
        <v>280.0</v>
      </c>
      <c r="AW25" s="14" t="s">
        <v>99</v>
      </c>
      <c r="AX25" s="14" t="s">
        <v>99</v>
      </c>
      <c r="AY25" s="14" t="s">
        <v>99</v>
      </c>
      <c r="AZ25" s="14" t="s">
        <v>99</v>
      </c>
      <c r="BA25" s="14" t="s">
        <v>99</v>
      </c>
      <c r="BB25" s="14">
        <v>71.0</v>
      </c>
      <c r="BC25" s="14">
        <v>81.0</v>
      </c>
      <c r="BD25" s="14" t="s">
        <v>99</v>
      </c>
      <c r="BE25" s="14" t="s">
        <v>4703</v>
      </c>
      <c r="BF25" s="15" t="str">
        <f>HYPERLINK("http://dx.doi.org/10.1016/j.foreco.2012.05.027","http://dx.doi.org/10.1016/j.foreco.2012.05.027")</f>
        <v>http://dx.doi.org/10.1016/j.foreco.2012.05.027</v>
      </c>
      <c r="BG25" s="14" t="s">
        <v>99</v>
      </c>
      <c r="BH25" s="14" t="s">
        <v>99</v>
      </c>
      <c r="BI25" s="14">
        <v>11.0</v>
      </c>
      <c r="BJ25" s="14" t="s">
        <v>281</v>
      </c>
      <c r="BK25" s="14" t="s">
        <v>122</v>
      </c>
      <c r="BL25" s="14" t="s">
        <v>281</v>
      </c>
      <c r="BM25" s="14" t="s">
        <v>4704</v>
      </c>
      <c r="BN25" s="14" t="s">
        <v>99</v>
      </c>
      <c r="BO25" s="14" t="s">
        <v>425</v>
      </c>
      <c r="BP25" s="14" t="s">
        <v>99</v>
      </c>
      <c r="BQ25" s="14" t="s">
        <v>99</v>
      </c>
      <c r="BR25" s="14" t="s">
        <v>124</v>
      </c>
      <c r="BS25" s="14" t="s">
        <v>4705</v>
      </c>
      <c r="BT25" s="14" t="str">
        <f>HYPERLINK("https%3A%2F%2Fwww.webofscience.com%2Fwos%2Fwoscc%2Ffull-record%2FWOS:000307693400009","View Full Record in Web of Science")</f>
        <v>View Full Record in Web of Science</v>
      </c>
    </row>
    <row r="26" ht="12.75" customHeight="1">
      <c r="A26" s="14" t="s">
        <v>97</v>
      </c>
      <c r="B26" s="14" t="s">
        <v>4733</v>
      </c>
      <c r="C26" s="14" t="s">
        <v>99</v>
      </c>
      <c r="D26" s="14" t="s">
        <v>99</v>
      </c>
      <c r="E26" s="14" t="s">
        <v>99</v>
      </c>
      <c r="F26" s="14" t="s">
        <v>4734</v>
      </c>
      <c r="G26" s="14" t="s">
        <v>99</v>
      </c>
      <c r="H26" s="14" t="s">
        <v>99</v>
      </c>
      <c r="I26" s="14" t="s">
        <v>4735</v>
      </c>
      <c r="J26" s="14" t="s">
        <v>4736</v>
      </c>
      <c r="K26" s="14" t="s">
        <v>99</v>
      </c>
      <c r="L26" s="14" t="s">
        <v>99</v>
      </c>
      <c r="M26" s="14" t="s">
        <v>103</v>
      </c>
      <c r="N26" s="14" t="s">
        <v>104</v>
      </c>
      <c r="O26" s="14" t="s">
        <v>99</v>
      </c>
      <c r="P26" s="14" t="s">
        <v>99</v>
      </c>
      <c r="Q26" s="14" t="s">
        <v>99</v>
      </c>
      <c r="R26" s="14" t="s">
        <v>99</v>
      </c>
      <c r="S26" s="14" t="s">
        <v>99</v>
      </c>
      <c r="T26" s="14" t="s">
        <v>4737</v>
      </c>
      <c r="U26" s="14" t="s">
        <v>4738</v>
      </c>
      <c r="V26" s="14" t="s">
        <v>4739</v>
      </c>
      <c r="W26" s="14" t="s">
        <v>4740</v>
      </c>
      <c r="X26" s="14" t="s">
        <v>4741</v>
      </c>
      <c r="Y26" s="14" t="s">
        <v>4742</v>
      </c>
      <c r="Z26" s="14" t="s">
        <v>4743</v>
      </c>
      <c r="AA26" s="14" t="s">
        <v>4744</v>
      </c>
      <c r="AB26" s="14" t="s">
        <v>4745</v>
      </c>
      <c r="AC26" s="14" t="s">
        <v>4746</v>
      </c>
      <c r="AD26" s="14" t="s">
        <v>3686</v>
      </c>
      <c r="AE26" s="14" t="s">
        <v>4747</v>
      </c>
      <c r="AF26" s="14" t="s">
        <v>99</v>
      </c>
      <c r="AG26" s="14">
        <v>73.0</v>
      </c>
      <c r="AH26" s="14">
        <v>67.0</v>
      </c>
      <c r="AI26" s="14">
        <v>72.0</v>
      </c>
      <c r="AJ26" s="14">
        <v>0.0</v>
      </c>
      <c r="AK26" s="14">
        <v>96.0</v>
      </c>
      <c r="AL26" s="14" t="s">
        <v>1731</v>
      </c>
      <c r="AM26" s="14" t="s">
        <v>1732</v>
      </c>
      <c r="AN26" s="14" t="s">
        <v>1733</v>
      </c>
      <c r="AO26" s="14" t="s">
        <v>4748</v>
      </c>
      <c r="AP26" s="14" t="s">
        <v>4749</v>
      </c>
      <c r="AQ26" s="14" t="s">
        <v>99</v>
      </c>
      <c r="AR26" s="14" t="s">
        <v>4750</v>
      </c>
      <c r="AS26" s="14" t="s">
        <v>4751</v>
      </c>
      <c r="AT26" s="14" t="s">
        <v>421</v>
      </c>
      <c r="AU26" s="14">
        <v>2012.0</v>
      </c>
      <c r="AV26" s="14">
        <v>213.0</v>
      </c>
      <c r="AW26" s="14">
        <v>9.0</v>
      </c>
      <c r="AX26" s="14" t="s">
        <v>99</v>
      </c>
      <c r="AY26" s="14" t="s">
        <v>99</v>
      </c>
      <c r="AZ26" s="14" t="s">
        <v>99</v>
      </c>
      <c r="BA26" s="14" t="s">
        <v>99</v>
      </c>
      <c r="BB26" s="14">
        <v>1413.0</v>
      </c>
      <c r="BC26" s="14">
        <v>1424.0</v>
      </c>
      <c r="BD26" s="14" t="s">
        <v>99</v>
      </c>
      <c r="BE26" s="14" t="s">
        <v>4752</v>
      </c>
      <c r="BF26" s="15" t="str">
        <f>HYPERLINK("http://dx.doi.org/10.1007/s11258-012-0100-y","http://dx.doi.org/10.1007/s11258-012-0100-y")</f>
        <v>http://dx.doi.org/10.1007/s11258-012-0100-y</v>
      </c>
      <c r="BG26" s="14" t="s">
        <v>99</v>
      </c>
      <c r="BH26" s="14" t="s">
        <v>99</v>
      </c>
      <c r="BI26" s="14">
        <v>12.0</v>
      </c>
      <c r="BJ26" s="14" t="s">
        <v>1141</v>
      </c>
      <c r="BK26" s="14" t="s">
        <v>122</v>
      </c>
      <c r="BL26" s="14" t="s">
        <v>1142</v>
      </c>
      <c r="BM26" s="14" t="s">
        <v>4753</v>
      </c>
      <c r="BN26" s="14" t="s">
        <v>99</v>
      </c>
      <c r="BO26" s="14" t="s">
        <v>99</v>
      </c>
      <c r="BP26" s="14" t="s">
        <v>99</v>
      </c>
      <c r="BQ26" s="14" t="s">
        <v>99</v>
      </c>
      <c r="BR26" s="14" t="s">
        <v>124</v>
      </c>
      <c r="BS26" s="14" t="s">
        <v>4754</v>
      </c>
      <c r="BT26" s="14" t="str">
        <f>HYPERLINK("https%3A%2F%2Fwww.webofscience.com%2Fwos%2Fwoscc%2Ffull-record%2FWOS:000307718300004","View Full Record in Web of Science")</f>
        <v>View Full Record in Web of Science</v>
      </c>
    </row>
    <row r="27" ht="12.75" customHeight="1">
      <c r="A27" s="14" t="s">
        <v>97</v>
      </c>
      <c r="B27" s="14" t="s">
        <v>4772</v>
      </c>
      <c r="C27" s="14" t="s">
        <v>99</v>
      </c>
      <c r="D27" s="14" t="s">
        <v>99</v>
      </c>
      <c r="E27" s="14" t="s">
        <v>99</v>
      </c>
      <c r="F27" s="14" t="s">
        <v>4773</v>
      </c>
      <c r="G27" s="14" t="s">
        <v>99</v>
      </c>
      <c r="H27" s="14" t="s">
        <v>99</v>
      </c>
      <c r="I27" s="14" t="s">
        <v>4774</v>
      </c>
      <c r="J27" s="14" t="s">
        <v>430</v>
      </c>
      <c r="K27" s="14" t="s">
        <v>99</v>
      </c>
      <c r="L27" s="14" t="s">
        <v>99</v>
      </c>
      <c r="M27" s="14" t="s">
        <v>103</v>
      </c>
      <c r="N27" s="14" t="s">
        <v>104</v>
      </c>
      <c r="O27" s="14" t="s">
        <v>99</v>
      </c>
      <c r="P27" s="14" t="s">
        <v>99</v>
      </c>
      <c r="Q27" s="14" t="s">
        <v>99</v>
      </c>
      <c r="R27" s="14" t="s">
        <v>99</v>
      </c>
      <c r="S27" s="14" t="s">
        <v>99</v>
      </c>
      <c r="T27" s="14" t="s">
        <v>4775</v>
      </c>
      <c r="U27" s="14" t="s">
        <v>4776</v>
      </c>
      <c r="V27" s="14" t="s">
        <v>4777</v>
      </c>
      <c r="W27" s="14" t="s">
        <v>4778</v>
      </c>
      <c r="X27" s="14" t="s">
        <v>4779</v>
      </c>
      <c r="Y27" s="14" t="s">
        <v>4780</v>
      </c>
      <c r="Z27" s="14" t="s">
        <v>4781</v>
      </c>
      <c r="AA27" s="14" t="s">
        <v>4782</v>
      </c>
      <c r="AB27" s="14" t="s">
        <v>4783</v>
      </c>
      <c r="AC27" s="14" t="s">
        <v>4784</v>
      </c>
      <c r="AD27" s="14" t="s">
        <v>4785</v>
      </c>
      <c r="AE27" s="14" t="s">
        <v>4786</v>
      </c>
      <c r="AF27" s="14" t="s">
        <v>99</v>
      </c>
      <c r="AG27" s="14">
        <v>63.0</v>
      </c>
      <c r="AH27" s="14">
        <v>18.0</v>
      </c>
      <c r="AI27" s="14">
        <v>19.0</v>
      </c>
      <c r="AJ27" s="14">
        <v>0.0</v>
      </c>
      <c r="AK27" s="14">
        <v>67.0</v>
      </c>
      <c r="AL27" s="14" t="s">
        <v>1033</v>
      </c>
      <c r="AM27" s="14" t="s">
        <v>442</v>
      </c>
      <c r="AN27" s="14" t="s">
        <v>1034</v>
      </c>
      <c r="AO27" s="14" t="s">
        <v>444</v>
      </c>
      <c r="AP27" s="14" t="s">
        <v>99</v>
      </c>
      <c r="AQ27" s="14" t="s">
        <v>99</v>
      </c>
      <c r="AR27" s="14" t="s">
        <v>446</v>
      </c>
      <c r="AS27" s="14" t="s">
        <v>447</v>
      </c>
      <c r="AT27" s="14" t="s">
        <v>4787</v>
      </c>
      <c r="AU27" s="14">
        <v>2012.0</v>
      </c>
      <c r="AV27" s="14">
        <v>277.0</v>
      </c>
      <c r="AW27" s="14" t="s">
        <v>99</v>
      </c>
      <c r="AX27" s="14" t="s">
        <v>99</v>
      </c>
      <c r="AY27" s="14" t="s">
        <v>99</v>
      </c>
      <c r="AZ27" s="14" t="s">
        <v>99</v>
      </c>
      <c r="BA27" s="14" t="s">
        <v>99</v>
      </c>
      <c r="BB27" s="14">
        <v>38.0</v>
      </c>
      <c r="BC27" s="14">
        <v>45.0</v>
      </c>
      <c r="BD27" s="14" t="s">
        <v>99</v>
      </c>
      <c r="BE27" s="14" t="s">
        <v>4788</v>
      </c>
      <c r="BF27" s="15" t="str">
        <f>HYPERLINK("http://dx.doi.org/10.1016/j.foreco.2012.04.021","http://dx.doi.org/10.1016/j.foreco.2012.04.021")</f>
        <v>http://dx.doi.org/10.1016/j.foreco.2012.04.021</v>
      </c>
      <c r="BG27" s="14" t="s">
        <v>99</v>
      </c>
      <c r="BH27" s="14" t="s">
        <v>99</v>
      </c>
      <c r="BI27" s="14">
        <v>8.0</v>
      </c>
      <c r="BJ27" s="14" t="s">
        <v>281</v>
      </c>
      <c r="BK27" s="14" t="s">
        <v>122</v>
      </c>
      <c r="BL27" s="14" t="s">
        <v>281</v>
      </c>
      <c r="BM27" s="14" t="s">
        <v>4789</v>
      </c>
      <c r="BN27" s="14" t="s">
        <v>99</v>
      </c>
      <c r="BO27" s="14" t="s">
        <v>99</v>
      </c>
      <c r="BP27" s="14" t="s">
        <v>99</v>
      </c>
      <c r="BQ27" s="14" t="s">
        <v>99</v>
      </c>
      <c r="BR27" s="14" t="s">
        <v>124</v>
      </c>
      <c r="BS27" s="14" t="s">
        <v>4790</v>
      </c>
      <c r="BT27" s="14" t="str">
        <f>HYPERLINK("https%3A%2F%2Fwww.webofscience.com%2Fwos%2Fwoscc%2Ffull-record%2FWOS:000305860200004","View Full Record in Web of Science")</f>
        <v>View Full Record in Web of Science</v>
      </c>
    </row>
    <row r="28" ht="12.75" customHeight="1">
      <c r="A28" s="14" t="s">
        <v>97</v>
      </c>
      <c r="B28" s="14" t="s">
        <v>4909</v>
      </c>
      <c r="C28" s="14" t="s">
        <v>99</v>
      </c>
      <c r="D28" s="14" t="s">
        <v>99</v>
      </c>
      <c r="E28" s="14" t="s">
        <v>99</v>
      </c>
      <c r="F28" s="14" t="s">
        <v>4910</v>
      </c>
      <c r="G28" s="14" t="s">
        <v>99</v>
      </c>
      <c r="H28" s="14" t="s">
        <v>99</v>
      </c>
      <c r="I28" s="14" t="s">
        <v>4911</v>
      </c>
      <c r="J28" s="14" t="s">
        <v>532</v>
      </c>
      <c r="K28" s="14" t="s">
        <v>99</v>
      </c>
      <c r="L28" s="14" t="s">
        <v>99</v>
      </c>
      <c r="M28" s="14" t="s">
        <v>103</v>
      </c>
      <c r="N28" s="14" t="s">
        <v>104</v>
      </c>
      <c r="O28" s="14" t="s">
        <v>99</v>
      </c>
      <c r="P28" s="14" t="s">
        <v>99</v>
      </c>
      <c r="Q28" s="14" t="s">
        <v>99</v>
      </c>
      <c r="R28" s="14" t="s">
        <v>99</v>
      </c>
      <c r="S28" s="14" t="s">
        <v>99</v>
      </c>
      <c r="T28" s="14" t="s">
        <v>4912</v>
      </c>
      <c r="U28" s="14" t="s">
        <v>4913</v>
      </c>
      <c r="V28" s="14" t="s">
        <v>4914</v>
      </c>
      <c r="W28" s="14" t="s">
        <v>4915</v>
      </c>
      <c r="X28" s="14" t="s">
        <v>4916</v>
      </c>
      <c r="Y28" s="14" t="s">
        <v>4917</v>
      </c>
      <c r="Z28" s="14" t="s">
        <v>4918</v>
      </c>
      <c r="AA28" s="14" t="s">
        <v>4919</v>
      </c>
      <c r="AB28" s="14" t="s">
        <v>4920</v>
      </c>
      <c r="AC28" s="14" t="s">
        <v>4921</v>
      </c>
      <c r="AD28" s="14" t="s">
        <v>4922</v>
      </c>
      <c r="AE28" s="14" t="s">
        <v>4923</v>
      </c>
      <c r="AF28" s="14" t="s">
        <v>99</v>
      </c>
      <c r="AG28" s="14">
        <v>40.0</v>
      </c>
      <c r="AH28" s="14">
        <v>212.0</v>
      </c>
      <c r="AI28" s="14">
        <v>240.0</v>
      </c>
      <c r="AJ28" s="14">
        <v>3.0</v>
      </c>
      <c r="AK28" s="14">
        <v>388.0</v>
      </c>
      <c r="AL28" s="14" t="s">
        <v>341</v>
      </c>
      <c r="AM28" s="14" t="s">
        <v>342</v>
      </c>
      <c r="AN28" s="14" t="s">
        <v>343</v>
      </c>
      <c r="AO28" s="14" t="s">
        <v>545</v>
      </c>
      <c r="AP28" s="14" t="s">
        <v>546</v>
      </c>
      <c r="AQ28" s="14" t="s">
        <v>99</v>
      </c>
      <c r="AR28" s="14" t="s">
        <v>547</v>
      </c>
      <c r="AS28" s="14" t="s">
        <v>548</v>
      </c>
      <c r="AT28" s="14" t="s">
        <v>616</v>
      </c>
      <c r="AU28" s="14">
        <v>2012.0</v>
      </c>
      <c r="AV28" s="14">
        <v>49.0</v>
      </c>
      <c r="AW28" s="14">
        <v>3.0</v>
      </c>
      <c r="AX28" s="14" t="s">
        <v>99</v>
      </c>
      <c r="AY28" s="14" t="s">
        <v>99</v>
      </c>
      <c r="AZ28" s="14" t="s">
        <v>99</v>
      </c>
      <c r="BA28" s="14" t="s">
        <v>99</v>
      </c>
      <c r="BB28" s="14">
        <v>723.0</v>
      </c>
      <c r="BC28" s="14">
        <v>732.0</v>
      </c>
      <c r="BD28" s="14" t="s">
        <v>99</v>
      </c>
      <c r="BE28" s="14" t="s">
        <v>4924</v>
      </c>
      <c r="BF28" s="15" t="str">
        <f>HYPERLINK("http://dx.doi.org/10.1111/j.1365-2664.2012.02144.x","http://dx.doi.org/10.1111/j.1365-2664.2012.02144.x")</f>
        <v>http://dx.doi.org/10.1111/j.1365-2664.2012.02144.x</v>
      </c>
      <c r="BG28" s="14" t="s">
        <v>99</v>
      </c>
      <c r="BH28" s="14" t="s">
        <v>99</v>
      </c>
      <c r="BI28" s="14">
        <v>10.0</v>
      </c>
      <c r="BJ28" s="14" t="s">
        <v>550</v>
      </c>
      <c r="BK28" s="14" t="s">
        <v>122</v>
      </c>
      <c r="BL28" s="14" t="s">
        <v>352</v>
      </c>
      <c r="BM28" s="14" t="s">
        <v>4925</v>
      </c>
      <c r="BN28" s="14" t="s">
        <v>99</v>
      </c>
      <c r="BO28" s="14" t="s">
        <v>238</v>
      </c>
      <c r="BP28" s="14" t="s">
        <v>99</v>
      </c>
      <c r="BQ28" s="14" t="s">
        <v>99</v>
      </c>
      <c r="BR28" s="14" t="s">
        <v>124</v>
      </c>
      <c r="BS28" s="14" t="s">
        <v>4926</v>
      </c>
      <c r="BT28" s="14" t="str">
        <f>HYPERLINK("https%3A%2F%2Fwww.webofscience.com%2Fwos%2Fwoscc%2Ffull-record%2FWOS:000304660500023","View Full Record in Web of Science")</f>
        <v>View Full Record in Web of Science</v>
      </c>
    </row>
    <row r="29" ht="12.75" customHeight="1">
      <c r="A29" s="14" t="s">
        <v>97</v>
      </c>
      <c r="B29" s="14" t="s">
        <v>5065</v>
      </c>
      <c r="C29" s="14" t="s">
        <v>99</v>
      </c>
      <c r="D29" s="14" t="s">
        <v>99</v>
      </c>
      <c r="E29" s="14" t="s">
        <v>99</v>
      </c>
      <c r="F29" s="14" t="s">
        <v>5066</v>
      </c>
      <c r="G29" s="14" t="s">
        <v>99</v>
      </c>
      <c r="H29" s="14" t="s">
        <v>99</v>
      </c>
      <c r="I29" s="14" t="s">
        <v>5067</v>
      </c>
      <c r="J29" s="14" t="s">
        <v>5068</v>
      </c>
      <c r="K29" s="14" t="s">
        <v>99</v>
      </c>
      <c r="L29" s="14" t="s">
        <v>99</v>
      </c>
      <c r="M29" s="14" t="s">
        <v>103</v>
      </c>
      <c r="N29" s="14" t="s">
        <v>104</v>
      </c>
      <c r="O29" s="14" t="s">
        <v>99</v>
      </c>
      <c r="P29" s="14" t="s">
        <v>99</v>
      </c>
      <c r="Q29" s="14" t="s">
        <v>99</v>
      </c>
      <c r="R29" s="14" t="s">
        <v>99</v>
      </c>
      <c r="S29" s="14" t="s">
        <v>99</v>
      </c>
      <c r="T29" s="14" t="s">
        <v>5069</v>
      </c>
      <c r="U29" s="14" t="s">
        <v>5070</v>
      </c>
      <c r="V29" s="14" t="s">
        <v>5071</v>
      </c>
      <c r="W29" s="14" t="s">
        <v>5072</v>
      </c>
      <c r="X29" s="14" t="s">
        <v>5073</v>
      </c>
      <c r="Y29" s="14" t="s">
        <v>5074</v>
      </c>
      <c r="Z29" s="14" t="s">
        <v>5075</v>
      </c>
      <c r="AA29" s="14" t="s">
        <v>5076</v>
      </c>
      <c r="AB29" s="14" t="s">
        <v>5077</v>
      </c>
      <c r="AC29" s="14" t="s">
        <v>99</v>
      </c>
      <c r="AD29" s="14" t="s">
        <v>99</v>
      </c>
      <c r="AE29" s="14" t="s">
        <v>99</v>
      </c>
      <c r="AF29" s="14" t="s">
        <v>99</v>
      </c>
      <c r="AG29" s="14">
        <v>46.0</v>
      </c>
      <c r="AH29" s="14">
        <v>55.0</v>
      </c>
      <c r="AI29" s="14">
        <v>62.0</v>
      </c>
      <c r="AJ29" s="14">
        <v>0.0</v>
      </c>
      <c r="AK29" s="14">
        <v>90.0</v>
      </c>
      <c r="AL29" s="14" t="s">
        <v>493</v>
      </c>
      <c r="AM29" s="14" t="s">
        <v>468</v>
      </c>
      <c r="AN29" s="14" t="s">
        <v>635</v>
      </c>
      <c r="AO29" s="14" t="s">
        <v>5078</v>
      </c>
      <c r="AP29" s="14" t="s">
        <v>5079</v>
      </c>
      <c r="AQ29" s="14" t="s">
        <v>99</v>
      </c>
      <c r="AR29" s="14" t="s">
        <v>5080</v>
      </c>
      <c r="AS29" s="14" t="s">
        <v>5081</v>
      </c>
      <c r="AT29" s="14" t="s">
        <v>1485</v>
      </c>
      <c r="AU29" s="14">
        <v>2012.0</v>
      </c>
      <c r="AV29" s="14">
        <v>33.0</v>
      </c>
      <c r="AW29" s="14" t="s">
        <v>99</v>
      </c>
      <c r="AX29" s="14" t="s">
        <v>99</v>
      </c>
      <c r="AY29" s="14" t="s">
        <v>99</v>
      </c>
      <c r="AZ29" s="14" t="s">
        <v>99</v>
      </c>
      <c r="BA29" s="14" t="s">
        <v>99</v>
      </c>
      <c r="BB29" s="14">
        <v>65.0</v>
      </c>
      <c r="BC29" s="14">
        <v>73.0</v>
      </c>
      <c r="BD29" s="14" t="s">
        <v>99</v>
      </c>
      <c r="BE29" s="14" t="s">
        <v>5082</v>
      </c>
      <c r="BF29" s="15" t="str">
        <f>HYPERLINK("http://dx.doi.org/10.1016/j.cropro.2011.09.016","http://dx.doi.org/10.1016/j.cropro.2011.09.016")</f>
        <v>http://dx.doi.org/10.1016/j.cropro.2011.09.016</v>
      </c>
      <c r="BG29" s="14" t="s">
        <v>99</v>
      </c>
      <c r="BH29" s="14" t="s">
        <v>99</v>
      </c>
      <c r="BI29" s="14">
        <v>9.0</v>
      </c>
      <c r="BJ29" s="14" t="s">
        <v>2968</v>
      </c>
      <c r="BK29" s="14" t="s">
        <v>122</v>
      </c>
      <c r="BL29" s="14" t="s">
        <v>2969</v>
      </c>
      <c r="BM29" s="14" t="s">
        <v>5083</v>
      </c>
      <c r="BN29" s="14" t="s">
        <v>99</v>
      </c>
      <c r="BO29" s="14" t="s">
        <v>99</v>
      </c>
      <c r="BP29" s="14" t="s">
        <v>99</v>
      </c>
      <c r="BQ29" s="14" t="s">
        <v>99</v>
      </c>
      <c r="BR29" s="14" t="s">
        <v>124</v>
      </c>
      <c r="BS29" s="14" t="s">
        <v>5084</v>
      </c>
      <c r="BT29" s="14" t="str">
        <f>HYPERLINK("https%3A%2F%2Fwww.webofscience.com%2Fwos%2Fwoscc%2Ffull-record%2FWOS:000300129800010","View Full Record in Web of Science")</f>
        <v>View Full Record in Web of Science</v>
      </c>
    </row>
    <row r="30" ht="12.75" customHeight="1">
      <c r="A30" s="14" t="s">
        <v>97</v>
      </c>
      <c r="B30" s="14" t="s">
        <v>5106</v>
      </c>
      <c r="C30" s="14" t="s">
        <v>99</v>
      </c>
      <c r="D30" s="14" t="s">
        <v>99</v>
      </c>
      <c r="E30" s="14" t="s">
        <v>99</v>
      </c>
      <c r="F30" s="14" t="s">
        <v>5107</v>
      </c>
      <c r="G30" s="14" t="s">
        <v>99</v>
      </c>
      <c r="H30" s="14" t="s">
        <v>99</v>
      </c>
      <c r="I30" s="14" t="s">
        <v>5108</v>
      </c>
      <c r="J30" s="14" t="s">
        <v>404</v>
      </c>
      <c r="K30" s="14" t="s">
        <v>99</v>
      </c>
      <c r="L30" s="14" t="s">
        <v>99</v>
      </c>
      <c r="M30" s="14" t="s">
        <v>103</v>
      </c>
      <c r="N30" s="14" t="s">
        <v>104</v>
      </c>
      <c r="O30" s="14" t="s">
        <v>99</v>
      </c>
      <c r="P30" s="14" t="s">
        <v>99</v>
      </c>
      <c r="Q30" s="14" t="s">
        <v>99</v>
      </c>
      <c r="R30" s="14" t="s">
        <v>99</v>
      </c>
      <c r="S30" s="14" t="s">
        <v>99</v>
      </c>
      <c r="T30" s="14" t="s">
        <v>5109</v>
      </c>
      <c r="U30" s="14" t="s">
        <v>5110</v>
      </c>
      <c r="V30" s="14" t="s">
        <v>5111</v>
      </c>
      <c r="W30" s="14" t="s">
        <v>5112</v>
      </c>
      <c r="X30" s="14" t="s">
        <v>5113</v>
      </c>
      <c r="Y30" s="14" t="s">
        <v>5114</v>
      </c>
      <c r="Z30" s="14" t="s">
        <v>5115</v>
      </c>
      <c r="AA30" s="14" t="s">
        <v>5116</v>
      </c>
      <c r="AB30" s="14" t="s">
        <v>5117</v>
      </c>
      <c r="AC30" s="14" t="s">
        <v>5118</v>
      </c>
      <c r="AD30" s="14" t="s">
        <v>5118</v>
      </c>
      <c r="AE30" s="14" t="s">
        <v>5119</v>
      </c>
      <c r="AF30" s="14" t="s">
        <v>99</v>
      </c>
      <c r="AG30" s="14">
        <v>68.0</v>
      </c>
      <c r="AH30" s="14">
        <v>59.0</v>
      </c>
      <c r="AI30" s="14">
        <v>66.0</v>
      </c>
      <c r="AJ30" s="14">
        <v>1.0</v>
      </c>
      <c r="AK30" s="14">
        <v>191.0</v>
      </c>
      <c r="AL30" s="14" t="s">
        <v>341</v>
      </c>
      <c r="AM30" s="14" t="s">
        <v>342</v>
      </c>
      <c r="AN30" s="14" t="s">
        <v>343</v>
      </c>
      <c r="AO30" s="14" t="s">
        <v>417</v>
      </c>
      <c r="AP30" s="14" t="s">
        <v>418</v>
      </c>
      <c r="AQ30" s="14" t="s">
        <v>99</v>
      </c>
      <c r="AR30" s="14" t="s">
        <v>419</v>
      </c>
      <c r="AS30" s="14" t="s">
        <v>420</v>
      </c>
      <c r="AT30" s="14" t="s">
        <v>1485</v>
      </c>
      <c r="AU30" s="14">
        <v>2012.0</v>
      </c>
      <c r="AV30" s="14">
        <v>22.0</v>
      </c>
      <c r="AW30" s="14">
        <v>2.0</v>
      </c>
      <c r="AX30" s="14" t="s">
        <v>99</v>
      </c>
      <c r="AY30" s="14" t="s">
        <v>99</v>
      </c>
      <c r="AZ30" s="14" t="s">
        <v>99</v>
      </c>
      <c r="BA30" s="14" t="s">
        <v>99</v>
      </c>
      <c r="BB30" s="14">
        <v>561.0</v>
      </c>
      <c r="BC30" s="14">
        <v>571.0</v>
      </c>
      <c r="BD30" s="14" t="s">
        <v>99</v>
      </c>
      <c r="BE30" s="14" t="s">
        <v>5120</v>
      </c>
      <c r="BF30" s="15" t="str">
        <f>HYPERLINK("http://dx.doi.org/10.1890/11-1362.1","http://dx.doi.org/10.1890/11-1362.1")</f>
        <v>http://dx.doi.org/10.1890/11-1362.1</v>
      </c>
      <c r="BG30" s="14" t="s">
        <v>99</v>
      </c>
      <c r="BH30" s="14" t="s">
        <v>99</v>
      </c>
      <c r="BI30" s="14">
        <v>11.0</v>
      </c>
      <c r="BJ30" s="14" t="s">
        <v>423</v>
      </c>
      <c r="BK30" s="14" t="s">
        <v>122</v>
      </c>
      <c r="BL30" s="14" t="s">
        <v>260</v>
      </c>
      <c r="BM30" s="14" t="s">
        <v>5121</v>
      </c>
      <c r="BN30" s="14">
        <v>2.2611854E7</v>
      </c>
      <c r="BO30" s="14" t="s">
        <v>99</v>
      </c>
      <c r="BP30" s="14" t="s">
        <v>99</v>
      </c>
      <c r="BQ30" s="14" t="s">
        <v>99</v>
      </c>
      <c r="BR30" s="14" t="s">
        <v>124</v>
      </c>
      <c r="BS30" s="14" t="s">
        <v>5122</v>
      </c>
      <c r="BT30" s="14" t="str">
        <f>HYPERLINK("https%3A%2F%2Fwww.webofscience.com%2Fwos%2Fwoscc%2Ffull-record%2FWOS:000302516900014","View Full Record in Web of Science")</f>
        <v>View Full Record in Web of Science</v>
      </c>
    </row>
    <row r="31" ht="12.75" customHeight="1">
      <c r="A31" s="14" t="s">
        <v>97</v>
      </c>
      <c r="B31" s="14" t="s">
        <v>5142</v>
      </c>
      <c r="C31" s="14" t="s">
        <v>99</v>
      </c>
      <c r="D31" s="14" t="s">
        <v>99</v>
      </c>
      <c r="E31" s="14" t="s">
        <v>99</v>
      </c>
      <c r="F31" s="14" t="s">
        <v>5143</v>
      </c>
      <c r="G31" s="14" t="s">
        <v>99</v>
      </c>
      <c r="H31" s="14" t="s">
        <v>99</v>
      </c>
      <c r="I31" s="14" t="s">
        <v>5144</v>
      </c>
      <c r="J31" s="14" t="s">
        <v>5145</v>
      </c>
      <c r="K31" s="14" t="s">
        <v>99</v>
      </c>
      <c r="L31" s="14" t="s">
        <v>99</v>
      </c>
      <c r="M31" s="14" t="s">
        <v>103</v>
      </c>
      <c r="N31" s="14" t="s">
        <v>104</v>
      </c>
      <c r="O31" s="14" t="s">
        <v>99</v>
      </c>
      <c r="P31" s="14" t="s">
        <v>99</v>
      </c>
      <c r="Q31" s="14" t="s">
        <v>99</v>
      </c>
      <c r="R31" s="14" t="s">
        <v>99</v>
      </c>
      <c r="S31" s="14" t="s">
        <v>99</v>
      </c>
      <c r="T31" s="14" t="s">
        <v>5146</v>
      </c>
      <c r="U31" s="14" t="s">
        <v>5147</v>
      </c>
      <c r="V31" s="14" t="s">
        <v>5148</v>
      </c>
      <c r="W31" s="14" t="s">
        <v>5149</v>
      </c>
      <c r="X31" s="14" t="s">
        <v>5150</v>
      </c>
      <c r="Y31" s="14" t="s">
        <v>5151</v>
      </c>
      <c r="Z31" s="14" t="s">
        <v>5152</v>
      </c>
      <c r="AA31" s="14" t="s">
        <v>99</v>
      </c>
      <c r="AB31" s="14" t="s">
        <v>99</v>
      </c>
      <c r="AC31" s="14" t="s">
        <v>5153</v>
      </c>
      <c r="AD31" s="14" t="s">
        <v>5154</v>
      </c>
      <c r="AE31" s="14" t="s">
        <v>5155</v>
      </c>
      <c r="AF31" s="14" t="s">
        <v>99</v>
      </c>
      <c r="AG31" s="14">
        <v>33.0</v>
      </c>
      <c r="AH31" s="14">
        <v>20.0</v>
      </c>
      <c r="AI31" s="14">
        <v>35.0</v>
      </c>
      <c r="AJ31" s="14">
        <v>2.0</v>
      </c>
      <c r="AK31" s="14">
        <v>48.0</v>
      </c>
      <c r="AL31" s="14" t="s">
        <v>341</v>
      </c>
      <c r="AM31" s="14" t="s">
        <v>342</v>
      </c>
      <c r="AN31" s="14" t="s">
        <v>343</v>
      </c>
      <c r="AO31" s="14" t="s">
        <v>5156</v>
      </c>
      <c r="AP31" s="14" t="s">
        <v>5157</v>
      </c>
      <c r="AQ31" s="14" t="s">
        <v>99</v>
      </c>
      <c r="AR31" s="14" t="s">
        <v>5158</v>
      </c>
      <c r="AS31" s="14" t="s">
        <v>5159</v>
      </c>
      <c r="AT31" s="14" t="s">
        <v>1485</v>
      </c>
      <c r="AU31" s="14">
        <v>2012.0</v>
      </c>
      <c r="AV31" s="14">
        <v>12.0</v>
      </c>
      <c r="AW31" s="14">
        <v>1.0</v>
      </c>
      <c r="AX31" s="14" t="s">
        <v>99</v>
      </c>
      <c r="AY31" s="14" t="s">
        <v>99</v>
      </c>
      <c r="AZ31" s="14" t="s">
        <v>99</v>
      </c>
      <c r="BA31" s="14" t="s">
        <v>99</v>
      </c>
      <c r="BB31" s="14">
        <v>12.0</v>
      </c>
      <c r="BC31" s="14">
        <v>21.0</v>
      </c>
      <c r="BD31" s="14" t="s">
        <v>99</v>
      </c>
      <c r="BE31" s="14" t="s">
        <v>5160</v>
      </c>
      <c r="BF31" s="15" t="str">
        <f>HYPERLINK("http://dx.doi.org/10.1111/j.1445-6664.2011.00430.x","http://dx.doi.org/10.1111/j.1445-6664.2011.00430.x")</f>
        <v>http://dx.doi.org/10.1111/j.1445-6664.2011.00430.x</v>
      </c>
      <c r="BG31" s="14" t="s">
        <v>99</v>
      </c>
      <c r="BH31" s="14" t="s">
        <v>99</v>
      </c>
      <c r="BI31" s="14">
        <v>10.0</v>
      </c>
      <c r="BJ31" s="14" t="s">
        <v>5161</v>
      </c>
      <c r="BK31" s="14" t="s">
        <v>122</v>
      </c>
      <c r="BL31" s="14" t="s">
        <v>5162</v>
      </c>
      <c r="BM31" s="14" t="s">
        <v>5163</v>
      </c>
      <c r="BN31" s="14" t="s">
        <v>99</v>
      </c>
      <c r="BO31" s="14" t="s">
        <v>99</v>
      </c>
      <c r="BP31" s="14" t="s">
        <v>99</v>
      </c>
      <c r="BQ31" s="14" t="s">
        <v>99</v>
      </c>
      <c r="BR31" s="14" t="s">
        <v>124</v>
      </c>
      <c r="BS31" s="14" t="s">
        <v>5164</v>
      </c>
      <c r="BT31" s="14" t="str">
        <f>HYPERLINK("https%3A%2F%2Fwww.webofscience.com%2Fwos%2Fwoscc%2Ffull-record%2FWOS:000301492700002","View Full Record in Web of Science")</f>
        <v>View Full Record in Web of Science</v>
      </c>
    </row>
    <row r="32" ht="12.75" customHeight="1">
      <c r="A32" s="14" t="s">
        <v>97</v>
      </c>
      <c r="B32" s="14" t="s">
        <v>5253</v>
      </c>
      <c r="C32" s="14" t="s">
        <v>99</v>
      </c>
      <c r="D32" s="14" t="s">
        <v>99</v>
      </c>
      <c r="E32" s="14" t="s">
        <v>99</v>
      </c>
      <c r="F32" s="14" t="s">
        <v>5254</v>
      </c>
      <c r="G32" s="14" t="s">
        <v>99</v>
      </c>
      <c r="H32" s="14" t="s">
        <v>99</v>
      </c>
      <c r="I32" s="14" t="s">
        <v>5255</v>
      </c>
      <c r="J32" s="14" t="s">
        <v>430</v>
      </c>
      <c r="K32" s="14" t="s">
        <v>99</v>
      </c>
      <c r="L32" s="14" t="s">
        <v>99</v>
      </c>
      <c r="M32" s="14" t="s">
        <v>103</v>
      </c>
      <c r="N32" s="14" t="s">
        <v>104</v>
      </c>
      <c r="O32" s="14" t="s">
        <v>99</v>
      </c>
      <c r="P32" s="14" t="s">
        <v>99</v>
      </c>
      <c r="Q32" s="14" t="s">
        <v>99</v>
      </c>
      <c r="R32" s="14" t="s">
        <v>99</v>
      </c>
      <c r="S32" s="14" t="s">
        <v>99</v>
      </c>
      <c r="T32" s="14" t="s">
        <v>5256</v>
      </c>
      <c r="U32" s="14" t="s">
        <v>5257</v>
      </c>
      <c r="V32" s="14" t="s">
        <v>5258</v>
      </c>
      <c r="W32" s="14" t="s">
        <v>5259</v>
      </c>
      <c r="X32" s="14" t="s">
        <v>5260</v>
      </c>
      <c r="Y32" s="14" t="s">
        <v>5261</v>
      </c>
      <c r="Z32" s="14" t="s">
        <v>5262</v>
      </c>
      <c r="AA32" s="14" t="s">
        <v>5263</v>
      </c>
      <c r="AB32" s="14" t="s">
        <v>5264</v>
      </c>
      <c r="AC32" s="14" t="s">
        <v>5265</v>
      </c>
      <c r="AD32" s="14" t="s">
        <v>5266</v>
      </c>
      <c r="AE32" s="14" t="s">
        <v>5267</v>
      </c>
      <c r="AF32" s="14" t="s">
        <v>99</v>
      </c>
      <c r="AG32" s="14">
        <v>62.0</v>
      </c>
      <c r="AH32" s="14">
        <v>22.0</v>
      </c>
      <c r="AI32" s="14">
        <v>30.0</v>
      </c>
      <c r="AJ32" s="14">
        <v>2.0</v>
      </c>
      <c r="AK32" s="14">
        <v>84.0</v>
      </c>
      <c r="AL32" s="14" t="s">
        <v>1033</v>
      </c>
      <c r="AM32" s="14" t="s">
        <v>442</v>
      </c>
      <c r="AN32" s="14" t="s">
        <v>1034</v>
      </c>
      <c r="AO32" s="14" t="s">
        <v>444</v>
      </c>
      <c r="AP32" s="14" t="s">
        <v>445</v>
      </c>
      <c r="AQ32" s="14" t="s">
        <v>99</v>
      </c>
      <c r="AR32" s="14" t="s">
        <v>446</v>
      </c>
      <c r="AS32" s="14" t="s">
        <v>447</v>
      </c>
      <c r="AT32" s="14" t="s">
        <v>4519</v>
      </c>
      <c r="AU32" s="14">
        <v>2011.0</v>
      </c>
      <c r="AV32" s="14">
        <v>262.0</v>
      </c>
      <c r="AW32" s="14">
        <v>12.0</v>
      </c>
      <c r="AX32" s="14" t="s">
        <v>99</v>
      </c>
      <c r="AY32" s="14" t="s">
        <v>99</v>
      </c>
      <c r="AZ32" s="14" t="s">
        <v>99</v>
      </c>
      <c r="BA32" s="14" t="s">
        <v>99</v>
      </c>
      <c r="BB32" s="14">
        <v>2219.0</v>
      </c>
      <c r="BC32" s="14">
        <v>2228.0</v>
      </c>
      <c r="BD32" s="14" t="s">
        <v>99</v>
      </c>
      <c r="BE32" s="14" t="s">
        <v>5268</v>
      </c>
      <c r="BF32" s="15" t="str">
        <f>HYPERLINK("http://dx.doi.org/10.1016/j.foreco.2011.08.014","http://dx.doi.org/10.1016/j.foreco.2011.08.014")</f>
        <v>http://dx.doi.org/10.1016/j.foreco.2011.08.014</v>
      </c>
      <c r="BG32" s="14" t="s">
        <v>99</v>
      </c>
      <c r="BH32" s="14" t="s">
        <v>99</v>
      </c>
      <c r="BI32" s="14">
        <v>10.0</v>
      </c>
      <c r="BJ32" s="14" t="s">
        <v>281</v>
      </c>
      <c r="BK32" s="14" t="s">
        <v>122</v>
      </c>
      <c r="BL32" s="14" t="s">
        <v>281</v>
      </c>
      <c r="BM32" s="14" t="s">
        <v>5269</v>
      </c>
      <c r="BN32" s="14" t="s">
        <v>99</v>
      </c>
      <c r="BO32" s="14" t="s">
        <v>99</v>
      </c>
      <c r="BP32" s="14" t="s">
        <v>99</v>
      </c>
      <c r="BQ32" s="14" t="s">
        <v>99</v>
      </c>
      <c r="BR32" s="14" t="s">
        <v>124</v>
      </c>
      <c r="BS32" s="14" t="s">
        <v>5270</v>
      </c>
      <c r="BT32" s="14" t="str">
        <f>HYPERLINK("https%3A%2F%2Fwww.webofscience.com%2Fwos%2Fwoscc%2Ffull-record%2FWOS:000297775500012","View Full Record in Web of Science")</f>
        <v>View Full Record in Web of Science</v>
      </c>
    </row>
    <row r="33" ht="12.75" customHeight="1">
      <c r="A33" s="14" t="s">
        <v>97</v>
      </c>
      <c r="B33" s="14" t="s">
        <v>5271</v>
      </c>
      <c r="C33" s="14" t="s">
        <v>99</v>
      </c>
      <c r="D33" s="14" t="s">
        <v>99</v>
      </c>
      <c r="E33" s="14" t="s">
        <v>99</v>
      </c>
      <c r="F33" s="14" t="s">
        <v>5272</v>
      </c>
      <c r="G33" s="14" t="s">
        <v>99</v>
      </c>
      <c r="H33" s="14" t="s">
        <v>99</v>
      </c>
      <c r="I33" s="14" t="s">
        <v>5273</v>
      </c>
      <c r="J33" s="14" t="s">
        <v>430</v>
      </c>
      <c r="K33" s="14" t="s">
        <v>99</v>
      </c>
      <c r="L33" s="14" t="s">
        <v>99</v>
      </c>
      <c r="M33" s="14" t="s">
        <v>103</v>
      </c>
      <c r="N33" s="14" t="s">
        <v>104</v>
      </c>
      <c r="O33" s="14" t="s">
        <v>99</v>
      </c>
      <c r="P33" s="14" t="s">
        <v>99</v>
      </c>
      <c r="Q33" s="14" t="s">
        <v>99</v>
      </c>
      <c r="R33" s="14" t="s">
        <v>99</v>
      </c>
      <c r="S33" s="14" t="s">
        <v>99</v>
      </c>
      <c r="T33" s="14" t="s">
        <v>5274</v>
      </c>
      <c r="U33" s="14" t="s">
        <v>5275</v>
      </c>
      <c r="V33" s="14" t="s">
        <v>5276</v>
      </c>
      <c r="W33" s="14" t="s">
        <v>5277</v>
      </c>
      <c r="X33" s="14" t="s">
        <v>5278</v>
      </c>
      <c r="Y33" s="14" t="s">
        <v>5279</v>
      </c>
      <c r="Z33" s="14" t="s">
        <v>5280</v>
      </c>
      <c r="AA33" s="14" t="s">
        <v>99</v>
      </c>
      <c r="AB33" s="14" t="s">
        <v>99</v>
      </c>
      <c r="AC33" s="14" t="s">
        <v>5281</v>
      </c>
      <c r="AD33" s="14" t="s">
        <v>5282</v>
      </c>
      <c r="AE33" s="14" t="s">
        <v>5283</v>
      </c>
      <c r="AF33" s="14" t="s">
        <v>99</v>
      </c>
      <c r="AG33" s="14">
        <v>72.0</v>
      </c>
      <c r="AH33" s="14">
        <v>20.0</v>
      </c>
      <c r="AI33" s="14">
        <v>23.0</v>
      </c>
      <c r="AJ33" s="14">
        <v>0.0</v>
      </c>
      <c r="AK33" s="14">
        <v>23.0</v>
      </c>
      <c r="AL33" s="14" t="s">
        <v>441</v>
      </c>
      <c r="AM33" s="14" t="s">
        <v>442</v>
      </c>
      <c r="AN33" s="14" t="s">
        <v>443</v>
      </c>
      <c r="AO33" s="14" t="s">
        <v>444</v>
      </c>
      <c r="AP33" s="14" t="s">
        <v>445</v>
      </c>
      <c r="AQ33" s="14" t="s">
        <v>99</v>
      </c>
      <c r="AR33" s="14" t="s">
        <v>446</v>
      </c>
      <c r="AS33" s="14" t="s">
        <v>447</v>
      </c>
      <c r="AT33" s="14" t="s">
        <v>1039</v>
      </c>
      <c r="AU33" s="14">
        <v>2011.0</v>
      </c>
      <c r="AV33" s="14">
        <v>262.0</v>
      </c>
      <c r="AW33" s="14">
        <v>11.0</v>
      </c>
      <c r="AX33" s="14" t="s">
        <v>99</v>
      </c>
      <c r="AY33" s="14" t="s">
        <v>99</v>
      </c>
      <c r="AZ33" s="14" t="s">
        <v>99</v>
      </c>
      <c r="BA33" s="14" t="s">
        <v>99</v>
      </c>
      <c r="BB33" s="14">
        <v>2079.0</v>
      </c>
      <c r="BC33" s="14">
        <v>2093.0</v>
      </c>
      <c r="BD33" s="14" t="s">
        <v>99</v>
      </c>
      <c r="BE33" s="14" t="s">
        <v>5284</v>
      </c>
      <c r="BF33" s="15" t="str">
        <f>HYPERLINK("http://dx.doi.org/10.1016/j.foreco.2011.08.032","http://dx.doi.org/10.1016/j.foreco.2011.08.032")</f>
        <v>http://dx.doi.org/10.1016/j.foreco.2011.08.032</v>
      </c>
      <c r="BG33" s="14" t="s">
        <v>99</v>
      </c>
      <c r="BH33" s="14" t="s">
        <v>99</v>
      </c>
      <c r="BI33" s="14">
        <v>15.0</v>
      </c>
      <c r="BJ33" s="14" t="s">
        <v>281</v>
      </c>
      <c r="BK33" s="14" t="s">
        <v>122</v>
      </c>
      <c r="BL33" s="14" t="s">
        <v>281</v>
      </c>
      <c r="BM33" s="14" t="s">
        <v>5285</v>
      </c>
      <c r="BN33" s="14" t="s">
        <v>99</v>
      </c>
      <c r="BO33" s="14" t="s">
        <v>99</v>
      </c>
      <c r="BP33" s="14" t="s">
        <v>99</v>
      </c>
      <c r="BQ33" s="14" t="s">
        <v>99</v>
      </c>
      <c r="BR33" s="14" t="s">
        <v>124</v>
      </c>
      <c r="BS33" s="14" t="s">
        <v>5286</v>
      </c>
      <c r="BT33" s="14" t="str">
        <f>HYPERLINK("https%3A%2F%2Fwww.webofscience.com%2Fwos%2Fwoscc%2Ffull-record%2FWOS:000297602200014","View Full Record in Web of Science")</f>
        <v>View Full Record in Web of Science</v>
      </c>
    </row>
    <row r="34" ht="12.75" customHeight="1">
      <c r="A34" s="14" t="s">
        <v>97</v>
      </c>
      <c r="B34" s="14" t="s">
        <v>5326</v>
      </c>
      <c r="C34" s="14" t="s">
        <v>99</v>
      </c>
      <c r="D34" s="14" t="s">
        <v>99</v>
      </c>
      <c r="E34" s="14" t="s">
        <v>99</v>
      </c>
      <c r="F34" s="14" t="s">
        <v>5327</v>
      </c>
      <c r="G34" s="14" t="s">
        <v>99</v>
      </c>
      <c r="H34" s="14" t="s">
        <v>99</v>
      </c>
      <c r="I34" s="14" t="s">
        <v>5328</v>
      </c>
      <c r="J34" s="14" t="s">
        <v>5329</v>
      </c>
      <c r="K34" s="14" t="s">
        <v>99</v>
      </c>
      <c r="L34" s="14" t="s">
        <v>99</v>
      </c>
      <c r="M34" s="14" t="s">
        <v>103</v>
      </c>
      <c r="N34" s="14" t="s">
        <v>104</v>
      </c>
      <c r="O34" s="14" t="s">
        <v>99</v>
      </c>
      <c r="P34" s="14" t="s">
        <v>99</v>
      </c>
      <c r="Q34" s="14" t="s">
        <v>99</v>
      </c>
      <c r="R34" s="14" t="s">
        <v>99</v>
      </c>
      <c r="S34" s="14" t="s">
        <v>99</v>
      </c>
      <c r="T34" s="14" t="s">
        <v>5330</v>
      </c>
      <c r="U34" s="14" t="s">
        <v>5331</v>
      </c>
      <c r="V34" s="14" t="s">
        <v>5332</v>
      </c>
      <c r="W34" s="14" t="s">
        <v>5333</v>
      </c>
      <c r="X34" s="14" t="s">
        <v>5334</v>
      </c>
      <c r="Y34" s="14" t="s">
        <v>5335</v>
      </c>
      <c r="Z34" s="14" t="s">
        <v>5336</v>
      </c>
      <c r="AA34" s="14" t="s">
        <v>5337</v>
      </c>
      <c r="AB34" s="14" t="s">
        <v>5338</v>
      </c>
      <c r="AC34" s="14" t="s">
        <v>99</v>
      </c>
      <c r="AD34" s="14" t="s">
        <v>99</v>
      </c>
      <c r="AE34" s="14" t="s">
        <v>99</v>
      </c>
      <c r="AF34" s="14" t="s">
        <v>99</v>
      </c>
      <c r="AG34" s="14">
        <v>132.0</v>
      </c>
      <c r="AH34" s="14">
        <v>32.0</v>
      </c>
      <c r="AI34" s="14">
        <v>36.0</v>
      </c>
      <c r="AJ34" s="14">
        <v>0.0</v>
      </c>
      <c r="AK34" s="14">
        <v>57.0</v>
      </c>
      <c r="AL34" s="14" t="s">
        <v>1593</v>
      </c>
      <c r="AM34" s="14" t="s">
        <v>2726</v>
      </c>
      <c r="AN34" s="14" t="s">
        <v>4668</v>
      </c>
      <c r="AO34" s="14" t="s">
        <v>5339</v>
      </c>
      <c r="AP34" s="14" t="s">
        <v>5340</v>
      </c>
      <c r="AQ34" s="14" t="s">
        <v>99</v>
      </c>
      <c r="AR34" s="14" t="s">
        <v>5341</v>
      </c>
      <c r="AS34" s="14" t="s">
        <v>5342</v>
      </c>
      <c r="AT34" s="14" t="s">
        <v>1058</v>
      </c>
      <c r="AU34" s="14">
        <v>2011.0</v>
      </c>
      <c r="AV34" s="14">
        <v>26.0</v>
      </c>
      <c r="AW34" s="14">
        <v>4.0</v>
      </c>
      <c r="AX34" s="14" t="s">
        <v>99</v>
      </c>
      <c r="AY34" s="14" t="s">
        <v>99</v>
      </c>
      <c r="AZ34" s="14" t="s">
        <v>99</v>
      </c>
      <c r="BA34" s="14" t="s">
        <v>99</v>
      </c>
      <c r="BB34" s="14">
        <v>297.0</v>
      </c>
      <c r="BC34" s="14">
        <v>316.0</v>
      </c>
      <c r="BD34" s="14" t="s">
        <v>99</v>
      </c>
      <c r="BE34" s="14" t="s">
        <v>5343</v>
      </c>
      <c r="BF34" s="15" t="str">
        <f>HYPERLINK("http://dx.doi.org/10.1017/S1742170511000111","http://dx.doi.org/10.1017/S1742170511000111")</f>
        <v>http://dx.doi.org/10.1017/S1742170511000111</v>
      </c>
      <c r="BG34" s="14" t="s">
        <v>99</v>
      </c>
      <c r="BH34" s="14" t="s">
        <v>99</v>
      </c>
      <c r="BI34" s="14">
        <v>20.0</v>
      </c>
      <c r="BJ34" s="14" t="s">
        <v>5344</v>
      </c>
      <c r="BK34" s="14" t="s">
        <v>122</v>
      </c>
      <c r="BL34" s="14" t="s">
        <v>2969</v>
      </c>
      <c r="BM34" s="14" t="s">
        <v>5345</v>
      </c>
      <c r="BN34" s="14" t="s">
        <v>99</v>
      </c>
      <c r="BO34" s="14" t="s">
        <v>99</v>
      </c>
      <c r="BP34" s="14" t="s">
        <v>99</v>
      </c>
      <c r="BQ34" s="14" t="s">
        <v>99</v>
      </c>
      <c r="BR34" s="14" t="s">
        <v>124</v>
      </c>
      <c r="BS34" s="14" t="s">
        <v>5346</v>
      </c>
      <c r="BT34" s="14" t="str">
        <f>HYPERLINK("https%3A%2F%2Fwww.webofscience.com%2Fwos%2Fwoscc%2Ffull-record%2FWOS:000297510700005","View Full Record in Web of Science")</f>
        <v>View Full Record in Web of Science</v>
      </c>
    </row>
    <row r="35" ht="12.75" customHeight="1">
      <c r="A35" s="14" t="s">
        <v>97</v>
      </c>
      <c r="B35" s="14" t="s">
        <v>5600</v>
      </c>
      <c r="C35" s="14" t="s">
        <v>99</v>
      </c>
      <c r="D35" s="14" t="s">
        <v>99</v>
      </c>
      <c r="E35" s="14" t="s">
        <v>99</v>
      </c>
      <c r="F35" s="14" t="s">
        <v>5601</v>
      </c>
      <c r="G35" s="14" t="s">
        <v>99</v>
      </c>
      <c r="H35" s="14" t="s">
        <v>99</v>
      </c>
      <c r="I35" s="14" t="s">
        <v>5602</v>
      </c>
      <c r="J35" s="14" t="s">
        <v>5603</v>
      </c>
      <c r="K35" s="14" t="s">
        <v>99</v>
      </c>
      <c r="L35" s="14" t="s">
        <v>99</v>
      </c>
      <c r="M35" s="14" t="s">
        <v>103</v>
      </c>
      <c r="N35" s="14" t="s">
        <v>104</v>
      </c>
      <c r="O35" s="14" t="s">
        <v>99</v>
      </c>
      <c r="P35" s="14" t="s">
        <v>99</v>
      </c>
      <c r="Q35" s="14" t="s">
        <v>99</v>
      </c>
      <c r="R35" s="14" t="s">
        <v>99</v>
      </c>
      <c r="S35" s="14" t="s">
        <v>99</v>
      </c>
      <c r="T35" s="14" t="s">
        <v>5604</v>
      </c>
      <c r="U35" s="14" t="s">
        <v>5605</v>
      </c>
      <c r="V35" s="14" t="s">
        <v>5606</v>
      </c>
      <c r="W35" s="14" t="s">
        <v>5607</v>
      </c>
      <c r="X35" s="14" t="s">
        <v>5608</v>
      </c>
      <c r="Y35" s="14" t="s">
        <v>5609</v>
      </c>
      <c r="Z35" s="14" t="s">
        <v>5610</v>
      </c>
      <c r="AA35" s="14" t="s">
        <v>5611</v>
      </c>
      <c r="AB35" s="14" t="s">
        <v>5612</v>
      </c>
      <c r="AC35" s="14" t="s">
        <v>5613</v>
      </c>
      <c r="AD35" s="14" t="s">
        <v>5614</v>
      </c>
      <c r="AE35" s="14" t="s">
        <v>5615</v>
      </c>
      <c r="AF35" s="14" t="s">
        <v>99</v>
      </c>
      <c r="AG35" s="14">
        <v>21.0</v>
      </c>
      <c r="AH35" s="14">
        <v>3.0</v>
      </c>
      <c r="AI35" s="14">
        <v>4.0</v>
      </c>
      <c r="AJ35" s="14">
        <v>1.0</v>
      </c>
      <c r="AK35" s="14">
        <v>32.0</v>
      </c>
      <c r="AL35" s="14" t="s">
        <v>441</v>
      </c>
      <c r="AM35" s="14" t="s">
        <v>442</v>
      </c>
      <c r="AN35" s="14" t="s">
        <v>443</v>
      </c>
      <c r="AO35" s="14" t="s">
        <v>5616</v>
      </c>
      <c r="AP35" s="14" t="s">
        <v>5617</v>
      </c>
      <c r="AQ35" s="14" t="s">
        <v>99</v>
      </c>
      <c r="AR35" s="14" t="s">
        <v>5618</v>
      </c>
      <c r="AS35" s="14" t="s">
        <v>5619</v>
      </c>
      <c r="AT35" s="14" t="s">
        <v>474</v>
      </c>
      <c r="AU35" s="14">
        <v>2011.0</v>
      </c>
      <c r="AV35" s="14">
        <v>142.0</v>
      </c>
      <c r="AW35" s="14" t="s">
        <v>5620</v>
      </c>
      <c r="AX35" s="14" t="s">
        <v>99</v>
      </c>
      <c r="AY35" s="14" t="s">
        <v>99</v>
      </c>
      <c r="AZ35" s="14" t="s">
        <v>99</v>
      </c>
      <c r="BA35" s="14" t="s">
        <v>99</v>
      </c>
      <c r="BB35" s="14">
        <v>428.0</v>
      </c>
      <c r="BC35" s="14">
        <v>431.0</v>
      </c>
      <c r="BD35" s="14" t="s">
        <v>99</v>
      </c>
      <c r="BE35" s="14" t="s">
        <v>5621</v>
      </c>
      <c r="BF35" s="15" t="str">
        <f>HYPERLINK("http://dx.doi.org/10.1016/j.agee.2011.06.009","http://dx.doi.org/10.1016/j.agee.2011.06.009")</f>
        <v>http://dx.doi.org/10.1016/j.agee.2011.06.009</v>
      </c>
      <c r="BG35" s="14" t="s">
        <v>99</v>
      </c>
      <c r="BH35" s="14" t="s">
        <v>99</v>
      </c>
      <c r="BI35" s="14">
        <v>4.0</v>
      </c>
      <c r="BJ35" s="14" t="s">
        <v>5622</v>
      </c>
      <c r="BK35" s="14" t="s">
        <v>122</v>
      </c>
      <c r="BL35" s="14" t="s">
        <v>5623</v>
      </c>
      <c r="BM35" s="14" t="s">
        <v>5624</v>
      </c>
      <c r="BN35" s="14" t="s">
        <v>99</v>
      </c>
      <c r="BO35" s="14" t="s">
        <v>99</v>
      </c>
      <c r="BP35" s="14" t="s">
        <v>99</v>
      </c>
      <c r="BQ35" s="14" t="s">
        <v>99</v>
      </c>
      <c r="BR35" s="14" t="s">
        <v>124</v>
      </c>
      <c r="BS35" s="14" t="s">
        <v>5625</v>
      </c>
      <c r="BT35" s="14" t="str">
        <f>HYPERLINK("https%3A%2F%2Fwww.webofscience.com%2Fwos%2Fwoscc%2Ffull-record%2FWOS:000295245100035","View Full Record in Web of Science")</f>
        <v>View Full Record in Web of Science</v>
      </c>
    </row>
    <row r="36" ht="12.75" customHeight="1">
      <c r="A36" s="14" t="s">
        <v>97</v>
      </c>
      <c r="B36" s="14" t="s">
        <v>5664</v>
      </c>
      <c r="C36" s="14" t="s">
        <v>99</v>
      </c>
      <c r="D36" s="14" t="s">
        <v>99</v>
      </c>
      <c r="E36" s="14" t="s">
        <v>99</v>
      </c>
      <c r="F36" s="14" t="s">
        <v>5665</v>
      </c>
      <c r="G36" s="14" t="s">
        <v>99</v>
      </c>
      <c r="H36" s="14" t="s">
        <v>99</v>
      </c>
      <c r="I36" s="14" t="s">
        <v>5666</v>
      </c>
      <c r="J36" s="14" t="s">
        <v>5667</v>
      </c>
      <c r="K36" s="14" t="s">
        <v>99</v>
      </c>
      <c r="L36" s="14" t="s">
        <v>99</v>
      </c>
      <c r="M36" s="14" t="s">
        <v>103</v>
      </c>
      <c r="N36" s="14" t="s">
        <v>104</v>
      </c>
      <c r="O36" s="14" t="s">
        <v>99</v>
      </c>
      <c r="P36" s="14" t="s">
        <v>99</v>
      </c>
      <c r="Q36" s="14" t="s">
        <v>99</v>
      </c>
      <c r="R36" s="14" t="s">
        <v>99</v>
      </c>
      <c r="S36" s="14" t="s">
        <v>99</v>
      </c>
      <c r="T36" s="14" t="s">
        <v>5668</v>
      </c>
      <c r="U36" s="14" t="s">
        <v>5669</v>
      </c>
      <c r="V36" s="14" t="s">
        <v>5670</v>
      </c>
      <c r="W36" s="14" t="s">
        <v>5671</v>
      </c>
      <c r="X36" s="14" t="s">
        <v>5672</v>
      </c>
      <c r="Y36" s="14" t="s">
        <v>5673</v>
      </c>
      <c r="Z36" s="14" t="s">
        <v>5674</v>
      </c>
      <c r="AA36" s="14" t="s">
        <v>5675</v>
      </c>
      <c r="AB36" s="14" t="s">
        <v>5676</v>
      </c>
      <c r="AC36" s="14" t="s">
        <v>5677</v>
      </c>
      <c r="AD36" s="14" t="s">
        <v>5678</v>
      </c>
      <c r="AE36" s="14" t="s">
        <v>5679</v>
      </c>
      <c r="AF36" s="14" t="s">
        <v>99</v>
      </c>
      <c r="AG36" s="14">
        <v>30.0</v>
      </c>
      <c r="AH36" s="14">
        <v>6.0</v>
      </c>
      <c r="AI36" s="14">
        <v>6.0</v>
      </c>
      <c r="AJ36" s="14">
        <v>0.0</v>
      </c>
      <c r="AK36" s="14">
        <v>23.0</v>
      </c>
      <c r="AL36" s="14" t="s">
        <v>3607</v>
      </c>
      <c r="AM36" s="14" t="s">
        <v>3608</v>
      </c>
      <c r="AN36" s="14" t="s">
        <v>3609</v>
      </c>
      <c r="AO36" s="14" t="s">
        <v>5680</v>
      </c>
      <c r="AP36" s="14" t="s">
        <v>99</v>
      </c>
      <c r="AQ36" s="14" t="s">
        <v>99</v>
      </c>
      <c r="AR36" s="14" t="s">
        <v>5681</v>
      </c>
      <c r="AS36" s="14" t="s">
        <v>5682</v>
      </c>
      <c r="AT36" s="14" t="s">
        <v>525</v>
      </c>
      <c r="AU36" s="14">
        <v>2011.0</v>
      </c>
      <c r="AV36" s="14">
        <v>31.0</v>
      </c>
      <c r="AW36" s="14">
        <v>3.0</v>
      </c>
      <c r="AX36" s="14" t="s">
        <v>99</v>
      </c>
      <c r="AY36" s="14" t="s">
        <v>99</v>
      </c>
      <c r="AZ36" s="14" t="s">
        <v>99</v>
      </c>
      <c r="BA36" s="14" t="s">
        <v>99</v>
      </c>
      <c r="BB36" s="14">
        <v>533.0</v>
      </c>
      <c r="BC36" s="14">
        <v>540.0</v>
      </c>
      <c r="BD36" s="14" t="s">
        <v>99</v>
      </c>
      <c r="BE36" s="14" t="s">
        <v>5683</v>
      </c>
      <c r="BF36" s="15" t="str">
        <f>HYPERLINK("http://dx.doi.org/10.1007/s13593-011-0008-2","http://dx.doi.org/10.1007/s13593-011-0008-2")</f>
        <v>http://dx.doi.org/10.1007/s13593-011-0008-2</v>
      </c>
      <c r="BG36" s="14" t="s">
        <v>99</v>
      </c>
      <c r="BH36" s="14" t="s">
        <v>99</v>
      </c>
      <c r="BI36" s="14">
        <v>8.0</v>
      </c>
      <c r="BJ36" s="14" t="s">
        <v>5684</v>
      </c>
      <c r="BK36" s="14" t="s">
        <v>122</v>
      </c>
      <c r="BL36" s="14" t="s">
        <v>5685</v>
      </c>
      <c r="BM36" s="14" t="s">
        <v>5686</v>
      </c>
      <c r="BN36" s="14" t="s">
        <v>99</v>
      </c>
      <c r="BO36" s="14" t="s">
        <v>425</v>
      </c>
      <c r="BP36" s="14" t="s">
        <v>99</v>
      </c>
      <c r="BQ36" s="14" t="s">
        <v>99</v>
      </c>
      <c r="BR36" s="14" t="s">
        <v>124</v>
      </c>
      <c r="BS36" s="14" t="s">
        <v>5687</v>
      </c>
      <c r="BT36" s="14" t="str">
        <f>HYPERLINK("https%3A%2F%2Fwww.webofscience.com%2Fwos%2Fwoscc%2Ffull-record%2FWOS:000291882200009","View Full Record in Web of Science")</f>
        <v>View Full Record in Web of Science</v>
      </c>
    </row>
    <row r="37" ht="12.75" customHeight="1">
      <c r="A37" s="14" t="s">
        <v>97</v>
      </c>
      <c r="B37" s="14" t="s">
        <v>5688</v>
      </c>
      <c r="C37" s="14" t="s">
        <v>99</v>
      </c>
      <c r="D37" s="14" t="s">
        <v>99</v>
      </c>
      <c r="E37" s="14" t="s">
        <v>99</v>
      </c>
      <c r="F37" s="14" t="s">
        <v>5689</v>
      </c>
      <c r="G37" s="14" t="s">
        <v>99</v>
      </c>
      <c r="H37" s="14" t="s">
        <v>99</v>
      </c>
      <c r="I37" s="14" t="s">
        <v>5690</v>
      </c>
      <c r="J37" s="14" t="s">
        <v>430</v>
      </c>
      <c r="K37" s="14" t="s">
        <v>99</v>
      </c>
      <c r="L37" s="14" t="s">
        <v>99</v>
      </c>
      <c r="M37" s="14" t="s">
        <v>103</v>
      </c>
      <c r="N37" s="14" t="s">
        <v>104</v>
      </c>
      <c r="O37" s="14" t="s">
        <v>99</v>
      </c>
      <c r="P37" s="14" t="s">
        <v>99</v>
      </c>
      <c r="Q37" s="14" t="s">
        <v>99</v>
      </c>
      <c r="R37" s="14" t="s">
        <v>99</v>
      </c>
      <c r="S37" s="14" t="s">
        <v>99</v>
      </c>
      <c r="T37" s="14" t="s">
        <v>5691</v>
      </c>
      <c r="U37" s="14" t="s">
        <v>5692</v>
      </c>
      <c r="V37" s="14" t="s">
        <v>5693</v>
      </c>
      <c r="W37" s="14" t="s">
        <v>5694</v>
      </c>
      <c r="X37" s="14" t="s">
        <v>5695</v>
      </c>
      <c r="Y37" s="14" t="s">
        <v>5696</v>
      </c>
      <c r="Z37" s="14" t="s">
        <v>5697</v>
      </c>
      <c r="AA37" s="14" t="s">
        <v>5698</v>
      </c>
      <c r="AB37" s="14" t="s">
        <v>5699</v>
      </c>
      <c r="AC37" s="14" t="s">
        <v>5700</v>
      </c>
      <c r="AD37" s="14" t="s">
        <v>5700</v>
      </c>
      <c r="AE37" s="14" t="s">
        <v>5701</v>
      </c>
      <c r="AF37" s="14" t="s">
        <v>99</v>
      </c>
      <c r="AG37" s="14">
        <v>49.0</v>
      </c>
      <c r="AH37" s="14">
        <v>9.0</v>
      </c>
      <c r="AI37" s="14">
        <v>14.0</v>
      </c>
      <c r="AJ37" s="14">
        <v>1.0</v>
      </c>
      <c r="AK37" s="14">
        <v>43.0</v>
      </c>
      <c r="AL37" s="14" t="s">
        <v>441</v>
      </c>
      <c r="AM37" s="14" t="s">
        <v>442</v>
      </c>
      <c r="AN37" s="14" t="s">
        <v>443</v>
      </c>
      <c r="AO37" s="14" t="s">
        <v>444</v>
      </c>
      <c r="AP37" s="14" t="s">
        <v>445</v>
      </c>
      <c r="AQ37" s="14" t="s">
        <v>99</v>
      </c>
      <c r="AR37" s="14" t="s">
        <v>446</v>
      </c>
      <c r="AS37" s="14" t="s">
        <v>447</v>
      </c>
      <c r="AT37" s="14" t="s">
        <v>3233</v>
      </c>
      <c r="AU37" s="14">
        <v>2011.0</v>
      </c>
      <c r="AV37" s="14">
        <v>261.0</v>
      </c>
      <c r="AW37" s="14">
        <v>11.0</v>
      </c>
      <c r="AX37" s="14" t="s">
        <v>99</v>
      </c>
      <c r="AY37" s="14" t="s">
        <v>99</v>
      </c>
      <c r="AZ37" s="14" t="s">
        <v>99</v>
      </c>
      <c r="BA37" s="14" t="s">
        <v>99</v>
      </c>
      <c r="BB37" s="14">
        <v>1892.0</v>
      </c>
      <c r="BC37" s="14">
        <v>1900.0</v>
      </c>
      <c r="BD37" s="14" t="s">
        <v>99</v>
      </c>
      <c r="BE37" s="14" t="s">
        <v>5702</v>
      </c>
      <c r="BF37" s="15" t="str">
        <f>HYPERLINK("http://dx.doi.org/10.1016/j.foreco.2011.02.012","http://dx.doi.org/10.1016/j.foreco.2011.02.012")</f>
        <v>http://dx.doi.org/10.1016/j.foreco.2011.02.012</v>
      </c>
      <c r="BG37" s="14" t="s">
        <v>99</v>
      </c>
      <c r="BH37" s="14" t="s">
        <v>99</v>
      </c>
      <c r="BI37" s="14">
        <v>9.0</v>
      </c>
      <c r="BJ37" s="14" t="s">
        <v>281</v>
      </c>
      <c r="BK37" s="14" t="s">
        <v>122</v>
      </c>
      <c r="BL37" s="14" t="s">
        <v>281</v>
      </c>
      <c r="BM37" s="14" t="s">
        <v>5703</v>
      </c>
      <c r="BN37" s="14" t="s">
        <v>99</v>
      </c>
      <c r="BO37" s="14" t="s">
        <v>238</v>
      </c>
      <c r="BP37" s="14" t="s">
        <v>99</v>
      </c>
      <c r="BQ37" s="14" t="s">
        <v>99</v>
      </c>
      <c r="BR37" s="14" t="s">
        <v>124</v>
      </c>
      <c r="BS37" s="14" t="s">
        <v>5704</v>
      </c>
      <c r="BT37" s="14" t="str">
        <f>HYPERLINK("https%3A%2F%2Fwww.webofscience.com%2Fwos%2Fwoscc%2Ffull-record%2FWOS:000291125700019","View Full Record in Web of Science")</f>
        <v>View Full Record in Web of Science</v>
      </c>
    </row>
    <row r="38" ht="12.75" customHeight="1">
      <c r="A38" s="14" t="s">
        <v>97</v>
      </c>
      <c r="B38" s="14" t="s">
        <v>5762</v>
      </c>
      <c r="C38" s="14" t="s">
        <v>99</v>
      </c>
      <c r="D38" s="14" t="s">
        <v>99</v>
      </c>
      <c r="E38" s="14" t="s">
        <v>99</v>
      </c>
      <c r="F38" s="14" t="s">
        <v>5763</v>
      </c>
      <c r="G38" s="14" t="s">
        <v>99</v>
      </c>
      <c r="H38" s="14" t="s">
        <v>99</v>
      </c>
      <c r="I38" s="14" t="s">
        <v>5764</v>
      </c>
      <c r="J38" s="14" t="s">
        <v>404</v>
      </c>
      <c r="K38" s="14" t="s">
        <v>99</v>
      </c>
      <c r="L38" s="14" t="s">
        <v>99</v>
      </c>
      <c r="M38" s="14" t="s">
        <v>103</v>
      </c>
      <c r="N38" s="14" t="s">
        <v>104</v>
      </c>
      <c r="O38" s="14" t="s">
        <v>99</v>
      </c>
      <c r="P38" s="14" t="s">
        <v>99</v>
      </c>
      <c r="Q38" s="14" t="s">
        <v>99</v>
      </c>
      <c r="R38" s="14" t="s">
        <v>99</v>
      </c>
      <c r="S38" s="14" t="s">
        <v>99</v>
      </c>
      <c r="T38" s="14" t="s">
        <v>5765</v>
      </c>
      <c r="U38" s="14" t="s">
        <v>5766</v>
      </c>
      <c r="V38" s="14" t="s">
        <v>5767</v>
      </c>
      <c r="W38" s="14" t="s">
        <v>5768</v>
      </c>
      <c r="X38" s="14" t="s">
        <v>5769</v>
      </c>
      <c r="Y38" s="14" t="s">
        <v>5770</v>
      </c>
      <c r="Z38" s="14" t="s">
        <v>5771</v>
      </c>
      <c r="AA38" s="14" t="s">
        <v>99</v>
      </c>
      <c r="AB38" s="14" t="s">
        <v>99</v>
      </c>
      <c r="AC38" s="14" t="s">
        <v>5772</v>
      </c>
      <c r="AD38" s="14" t="s">
        <v>5772</v>
      </c>
      <c r="AE38" s="14" t="s">
        <v>5773</v>
      </c>
      <c r="AF38" s="14" t="s">
        <v>99</v>
      </c>
      <c r="AG38" s="14">
        <v>57.0</v>
      </c>
      <c r="AH38" s="14">
        <v>31.0</v>
      </c>
      <c r="AI38" s="14">
        <v>43.0</v>
      </c>
      <c r="AJ38" s="14">
        <v>1.0</v>
      </c>
      <c r="AK38" s="14">
        <v>55.0</v>
      </c>
      <c r="AL38" s="14" t="s">
        <v>341</v>
      </c>
      <c r="AM38" s="14" t="s">
        <v>342</v>
      </c>
      <c r="AN38" s="14" t="s">
        <v>343</v>
      </c>
      <c r="AO38" s="14" t="s">
        <v>417</v>
      </c>
      <c r="AP38" s="14" t="s">
        <v>418</v>
      </c>
      <c r="AQ38" s="14" t="s">
        <v>99</v>
      </c>
      <c r="AR38" s="14" t="s">
        <v>419</v>
      </c>
      <c r="AS38" s="14" t="s">
        <v>420</v>
      </c>
      <c r="AT38" s="14" t="s">
        <v>718</v>
      </c>
      <c r="AU38" s="14">
        <v>2011.0</v>
      </c>
      <c r="AV38" s="14">
        <v>21.0</v>
      </c>
      <c r="AW38" s="14">
        <v>3.0</v>
      </c>
      <c r="AX38" s="14" t="s">
        <v>99</v>
      </c>
      <c r="AY38" s="14" t="s">
        <v>99</v>
      </c>
      <c r="AZ38" s="14" t="s">
        <v>99</v>
      </c>
      <c r="BA38" s="14" t="s">
        <v>99</v>
      </c>
      <c r="BB38" s="14">
        <v>806.0</v>
      </c>
      <c r="BC38" s="14">
        <v>816.0</v>
      </c>
      <c r="BD38" s="14" t="s">
        <v>99</v>
      </c>
      <c r="BE38" s="14" t="s">
        <v>5774</v>
      </c>
      <c r="BF38" s="15" t="str">
        <f>HYPERLINK("http://dx.doi.org/10.1890/10-0715.1","http://dx.doi.org/10.1890/10-0715.1")</f>
        <v>http://dx.doi.org/10.1890/10-0715.1</v>
      </c>
      <c r="BG38" s="14" t="s">
        <v>99</v>
      </c>
      <c r="BH38" s="14" t="s">
        <v>99</v>
      </c>
      <c r="BI38" s="14">
        <v>11.0</v>
      </c>
      <c r="BJ38" s="14" t="s">
        <v>423</v>
      </c>
      <c r="BK38" s="14" t="s">
        <v>122</v>
      </c>
      <c r="BL38" s="14" t="s">
        <v>260</v>
      </c>
      <c r="BM38" s="14" t="s">
        <v>5775</v>
      </c>
      <c r="BN38" s="14">
        <v>2.1639046E7</v>
      </c>
      <c r="BO38" s="14" t="s">
        <v>99</v>
      </c>
      <c r="BP38" s="14" t="s">
        <v>99</v>
      </c>
      <c r="BQ38" s="14" t="s">
        <v>99</v>
      </c>
      <c r="BR38" s="14" t="s">
        <v>124</v>
      </c>
      <c r="BS38" s="14" t="s">
        <v>5776</v>
      </c>
      <c r="BT38" s="14" t="str">
        <f>HYPERLINK("https%3A%2F%2Fwww.webofscience.com%2Fwos%2Fwoscc%2Ffull-record%2FWOS:000290661300014","View Full Record in Web of Science")</f>
        <v>View Full Record in Web of Science</v>
      </c>
    </row>
    <row r="39" ht="12.75" customHeight="1">
      <c r="A39" s="14" t="s">
        <v>97</v>
      </c>
      <c r="B39" s="14" t="s">
        <v>5965</v>
      </c>
      <c r="C39" s="14" t="s">
        <v>99</v>
      </c>
      <c r="D39" s="14" t="s">
        <v>99</v>
      </c>
      <c r="E39" s="14" t="s">
        <v>99</v>
      </c>
      <c r="F39" s="14" t="s">
        <v>5966</v>
      </c>
      <c r="G39" s="14" t="s">
        <v>99</v>
      </c>
      <c r="H39" s="14" t="s">
        <v>99</v>
      </c>
      <c r="I39" s="14" t="s">
        <v>5967</v>
      </c>
      <c r="J39" s="14" t="s">
        <v>5968</v>
      </c>
      <c r="K39" s="14" t="s">
        <v>99</v>
      </c>
      <c r="L39" s="14" t="s">
        <v>99</v>
      </c>
      <c r="M39" s="14" t="s">
        <v>103</v>
      </c>
      <c r="N39" s="14" t="s">
        <v>104</v>
      </c>
      <c r="O39" s="14" t="s">
        <v>99</v>
      </c>
      <c r="P39" s="14" t="s">
        <v>99</v>
      </c>
      <c r="Q39" s="14" t="s">
        <v>99</v>
      </c>
      <c r="R39" s="14" t="s">
        <v>99</v>
      </c>
      <c r="S39" s="14" t="s">
        <v>99</v>
      </c>
      <c r="T39" s="14" t="s">
        <v>5969</v>
      </c>
      <c r="U39" s="14" t="s">
        <v>5970</v>
      </c>
      <c r="V39" s="14" t="s">
        <v>5971</v>
      </c>
      <c r="W39" s="14" t="s">
        <v>5972</v>
      </c>
      <c r="X39" s="14" t="s">
        <v>5973</v>
      </c>
      <c r="Y39" s="14" t="s">
        <v>5974</v>
      </c>
      <c r="Z39" s="14" t="s">
        <v>5975</v>
      </c>
      <c r="AA39" s="14" t="s">
        <v>5976</v>
      </c>
      <c r="AB39" s="14" t="s">
        <v>5977</v>
      </c>
      <c r="AC39" s="14" t="s">
        <v>5978</v>
      </c>
      <c r="AD39" s="14" t="s">
        <v>5979</v>
      </c>
      <c r="AE39" s="14" t="s">
        <v>5980</v>
      </c>
      <c r="AF39" s="14" t="s">
        <v>99</v>
      </c>
      <c r="AG39" s="14">
        <v>51.0</v>
      </c>
      <c r="AH39" s="14">
        <v>12.0</v>
      </c>
      <c r="AI39" s="14">
        <v>12.0</v>
      </c>
      <c r="AJ39" s="14">
        <v>0.0</v>
      </c>
      <c r="AK39" s="14">
        <v>34.0</v>
      </c>
      <c r="AL39" s="14" t="s">
        <v>4621</v>
      </c>
      <c r="AM39" s="14" t="s">
        <v>4622</v>
      </c>
      <c r="AN39" s="14" t="s">
        <v>4623</v>
      </c>
      <c r="AO39" s="14" t="s">
        <v>5981</v>
      </c>
      <c r="AP39" s="14" t="s">
        <v>5982</v>
      </c>
      <c r="AQ39" s="14" t="s">
        <v>99</v>
      </c>
      <c r="AR39" s="14" t="s">
        <v>5983</v>
      </c>
      <c r="AS39" s="14" t="s">
        <v>5984</v>
      </c>
      <c r="AT39" s="14" t="s">
        <v>99</v>
      </c>
      <c r="AU39" s="14">
        <v>2011.0</v>
      </c>
      <c r="AV39" s="14">
        <v>54.0</v>
      </c>
      <c r="AW39" s="14">
        <v>2.0</v>
      </c>
      <c r="AX39" s="14" t="s">
        <v>99</v>
      </c>
      <c r="AY39" s="14" t="s">
        <v>99</v>
      </c>
      <c r="AZ39" s="14" t="s">
        <v>99</v>
      </c>
      <c r="BA39" s="14" t="s">
        <v>99</v>
      </c>
      <c r="BB39" s="14">
        <v>83.0</v>
      </c>
      <c r="BC39" s="14">
        <v>96.0</v>
      </c>
      <c r="BD39" s="14" t="s">
        <v>5985</v>
      </c>
      <c r="BE39" s="14" t="s">
        <v>5986</v>
      </c>
      <c r="BF39" s="15" t="str">
        <f>HYPERLINK("http://dx.doi.org/10.1080/00288233.2011.558904","http://dx.doi.org/10.1080/00288233.2011.558904")</f>
        <v>http://dx.doi.org/10.1080/00288233.2011.558904</v>
      </c>
      <c r="BG39" s="14" t="s">
        <v>99</v>
      </c>
      <c r="BH39" s="14" t="s">
        <v>99</v>
      </c>
      <c r="BI39" s="14">
        <v>14.0</v>
      </c>
      <c r="BJ39" s="14" t="s">
        <v>5344</v>
      </c>
      <c r="BK39" s="14" t="s">
        <v>122</v>
      </c>
      <c r="BL39" s="14" t="s">
        <v>2969</v>
      </c>
      <c r="BM39" s="14" t="s">
        <v>5987</v>
      </c>
      <c r="BN39" s="14" t="s">
        <v>99</v>
      </c>
      <c r="BO39" s="14" t="s">
        <v>99</v>
      </c>
      <c r="BP39" s="14" t="s">
        <v>99</v>
      </c>
      <c r="BQ39" s="14" t="s">
        <v>99</v>
      </c>
      <c r="BR39" s="14" t="s">
        <v>124</v>
      </c>
      <c r="BS39" s="14" t="s">
        <v>5988</v>
      </c>
      <c r="BT39" s="14" t="str">
        <f>HYPERLINK("https%3A%2F%2Fwww.webofscience.com%2Fwos%2Fwoscc%2Ffull-record%2FWOS:000290968200002","View Full Record in Web of Science")</f>
        <v>View Full Record in Web of Science</v>
      </c>
    </row>
    <row r="40" ht="12.75" customHeight="1">
      <c r="A40" s="14" t="s">
        <v>97</v>
      </c>
      <c r="B40" s="14" t="s">
        <v>5989</v>
      </c>
      <c r="C40" s="14" t="s">
        <v>99</v>
      </c>
      <c r="D40" s="14" t="s">
        <v>99</v>
      </c>
      <c r="E40" s="14" t="s">
        <v>99</v>
      </c>
      <c r="F40" s="14" t="s">
        <v>5990</v>
      </c>
      <c r="G40" s="14" t="s">
        <v>99</v>
      </c>
      <c r="H40" s="14" t="s">
        <v>99</v>
      </c>
      <c r="I40" s="14" t="s">
        <v>5991</v>
      </c>
      <c r="J40" s="14" t="s">
        <v>1102</v>
      </c>
      <c r="K40" s="14" t="s">
        <v>99</v>
      </c>
      <c r="L40" s="14" t="s">
        <v>99</v>
      </c>
      <c r="M40" s="14" t="s">
        <v>103</v>
      </c>
      <c r="N40" s="14" t="s">
        <v>104</v>
      </c>
      <c r="O40" s="14" t="s">
        <v>99</v>
      </c>
      <c r="P40" s="14" t="s">
        <v>99</v>
      </c>
      <c r="Q40" s="14" t="s">
        <v>99</v>
      </c>
      <c r="R40" s="14" t="s">
        <v>99</v>
      </c>
      <c r="S40" s="14" t="s">
        <v>99</v>
      </c>
      <c r="T40" s="14" t="s">
        <v>5992</v>
      </c>
      <c r="U40" s="14" t="s">
        <v>5993</v>
      </c>
      <c r="V40" s="14" t="s">
        <v>5994</v>
      </c>
      <c r="W40" s="14" t="s">
        <v>5995</v>
      </c>
      <c r="X40" s="14" t="s">
        <v>5996</v>
      </c>
      <c r="Y40" s="14" t="s">
        <v>5997</v>
      </c>
      <c r="Z40" s="14" t="s">
        <v>5998</v>
      </c>
      <c r="AA40" s="14" t="s">
        <v>5999</v>
      </c>
      <c r="AB40" s="14" t="s">
        <v>6000</v>
      </c>
      <c r="AC40" s="14" t="s">
        <v>6001</v>
      </c>
      <c r="AD40" s="14" t="s">
        <v>6002</v>
      </c>
      <c r="AE40" s="14" t="s">
        <v>6003</v>
      </c>
      <c r="AF40" s="14" t="s">
        <v>99</v>
      </c>
      <c r="AG40" s="14">
        <v>73.0</v>
      </c>
      <c r="AH40" s="14">
        <v>148.0</v>
      </c>
      <c r="AI40" s="14">
        <v>173.0</v>
      </c>
      <c r="AJ40" s="14">
        <v>1.0</v>
      </c>
      <c r="AK40" s="14">
        <v>104.0</v>
      </c>
      <c r="AL40" s="14" t="s">
        <v>493</v>
      </c>
      <c r="AM40" s="14" t="s">
        <v>468</v>
      </c>
      <c r="AN40" s="14" t="s">
        <v>635</v>
      </c>
      <c r="AO40" s="14" t="s">
        <v>1112</v>
      </c>
      <c r="AP40" s="14" t="s">
        <v>1113</v>
      </c>
      <c r="AQ40" s="14" t="s">
        <v>99</v>
      </c>
      <c r="AR40" s="14" t="s">
        <v>1114</v>
      </c>
      <c r="AS40" s="14" t="s">
        <v>1115</v>
      </c>
      <c r="AT40" s="14" t="s">
        <v>935</v>
      </c>
      <c r="AU40" s="14">
        <v>2011.0</v>
      </c>
      <c r="AV40" s="14">
        <v>144.0</v>
      </c>
      <c r="AW40" s="14">
        <v>1.0</v>
      </c>
      <c r="AX40" s="14" t="s">
        <v>99</v>
      </c>
      <c r="AY40" s="14" t="s">
        <v>99</v>
      </c>
      <c r="AZ40" s="14" t="s">
        <v>99</v>
      </c>
      <c r="BA40" s="14" t="s">
        <v>99</v>
      </c>
      <c r="BB40" s="14">
        <v>166.0</v>
      </c>
      <c r="BC40" s="14">
        <v>174.0</v>
      </c>
      <c r="BD40" s="14" t="s">
        <v>99</v>
      </c>
      <c r="BE40" s="14" t="s">
        <v>6004</v>
      </c>
      <c r="BF40" s="15" t="str">
        <f>HYPERLINK("http://dx.doi.org/10.1016/j.biocon.2010.08.011","http://dx.doi.org/10.1016/j.biocon.2010.08.011")</f>
        <v>http://dx.doi.org/10.1016/j.biocon.2010.08.011</v>
      </c>
      <c r="BG40" s="14" t="s">
        <v>99</v>
      </c>
      <c r="BH40" s="14" t="s">
        <v>99</v>
      </c>
      <c r="BI40" s="14">
        <v>9.0</v>
      </c>
      <c r="BJ40" s="14" t="s">
        <v>351</v>
      </c>
      <c r="BK40" s="14" t="s">
        <v>122</v>
      </c>
      <c r="BL40" s="14" t="s">
        <v>352</v>
      </c>
      <c r="BM40" s="14" t="s">
        <v>6005</v>
      </c>
      <c r="BN40" s="14" t="s">
        <v>99</v>
      </c>
      <c r="BO40" s="14" t="s">
        <v>99</v>
      </c>
      <c r="BP40" s="14" t="s">
        <v>99</v>
      </c>
      <c r="BQ40" s="14" t="s">
        <v>99</v>
      </c>
      <c r="BR40" s="14" t="s">
        <v>124</v>
      </c>
      <c r="BS40" s="14" t="s">
        <v>6006</v>
      </c>
      <c r="BT40" s="14" t="str">
        <f>HYPERLINK("https%3A%2F%2Fwww.webofscience.com%2Fwos%2Fwoscc%2Ffull-record%2FWOS:000287168100017","View Full Record in Web of Science")</f>
        <v>View Full Record in Web of Science</v>
      </c>
    </row>
    <row r="41" ht="12.75" customHeight="1">
      <c r="A41" s="14" t="s">
        <v>97</v>
      </c>
      <c r="B41" s="14" t="s">
        <v>6007</v>
      </c>
      <c r="C41" s="14" t="s">
        <v>99</v>
      </c>
      <c r="D41" s="14" t="s">
        <v>99</v>
      </c>
      <c r="E41" s="14" t="s">
        <v>99</v>
      </c>
      <c r="F41" s="14" t="s">
        <v>6008</v>
      </c>
      <c r="G41" s="14" t="s">
        <v>99</v>
      </c>
      <c r="H41" s="14" t="s">
        <v>99</v>
      </c>
      <c r="I41" s="14" t="s">
        <v>6009</v>
      </c>
      <c r="J41" s="14" t="s">
        <v>5603</v>
      </c>
      <c r="K41" s="14" t="s">
        <v>99</v>
      </c>
      <c r="L41" s="14" t="s">
        <v>99</v>
      </c>
      <c r="M41" s="14" t="s">
        <v>103</v>
      </c>
      <c r="N41" s="14" t="s">
        <v>104</v>
      </c>
      <c r="O41" s="14" t="s">
        <v>99</v>
      </c>
      <c r="P41" s="14" t="s">
        <v>99</v>
      </c>
      <c r="Q41" s="14" t="s">
        <v>99</v>
      </c>
      <c r="R41" s="14" t="s">
        <v>99</v>
      </c>
      <c r="S41" s="14" t="s">
        <v>99</v>
      </c>
      <c r="T41" s="14" t="s">
        <v>6010</v>
      </c>
      <c r="U41" s="14" t="s">
        <v>6011</v>
      </c>
      <c r="V41" s="14" t="s">
        <v>6012</v>
      </c>
      <c r="W41" s="14" t="s">
        <v>6013</v>
      </c>
      <c r="X41" s="14" t="s">
        <v>6014</v>
      </c>
      <c r="Y41" s="14" t="s">
        <v>6015</v>
      </c>
      <c r="Z41" s="14" t="s">
        <v>6016</v>
      </c>
      <c r="AA41" s="14" t="s">
        <v>6017</v>
      </c>
      <c r="AB41" s="14" t="s">
        <v>6018</v>
      </c>
      <c r="AC41" s="14" t="s">
        <v>6019</v>
      </c>
      <c r="AD41" s="14" t="s">
        <v>6020</v>
      </c>
      <c r="AE41" s="14" t="s">
        <v>6021</v>
      </c>
      <c r="AF41" s="14" t="s">
        <v>99</v>
      </c>
      <c r="AG41" s="14">
        <v>51.0</v>
      </c>
      <c r="AH41" s="14">
        <v>52.0</v>
      </c>
      <c r="AI41" s="14">
        <v>60.0</v>
      </c>
      <c r="AJ41" s="14">
        <v>1.0</v>
      </c>
      <c r="AK41" s="14">
        <v>82.0</v>
      </c>
      <c r="AL41" s="14" t="s">
        <v>1033</v>
      </c>
      <c r="AM41" s="14" t="s">
        <v>442</v>
      </c>
      <c r="AN41" s="14" t="s">
        <v>1034</v>
      </c>
      <c r="AO41" s="14" t="s">
        <v>5616</v>
      </c>
      <c r="AP41" s="14" t="s">
        <v>99</v>
      </c>
      <c r="AQ41" s="14" t="s">
        <v>99</v>
      </c>
      <c r="AR41" s="14" t="s">
        <v>5618</v>
      </c>
      <c r="AS41" s="14" t="s">
        <v>5619</v>
      </c>
      <c r="AT41" s="14" t="s">
        <v>4519</v>
      </c>
      <c r="AU41" s="14">
        <v>2010.0</v>
      </c>
      <c r="AV41" s="14">
        <v>139.0</v>
      </c>
      <c r="AW41" s="14">
        <v>4.0</v>
      </c>
      <c r="AX41" s="14" t="s">
        <v>99</v>
      </c>
      <c r="AY41" s="14" t="s">
        <v>99</v>
      </c>
      <c r="AZ41" s="14" t="s">
        <v>99</v>
      </c>
      <c r="BA41" s="14" t="s">
        <v>99</v>
      </c>
      <c r="BB41" s="14">
        <v>571.0</v>
      </c>
      <c r="BC41" s="14">
        <v>577.0</v>
      </c>
      <c r="BD41" s="14" t="s">
        <v>99</v>
      </c>
      <c r="BE41" s="14" t="s">
        <v>6022</v>
      </c>
      <c r="BF41" s="15" t="str">
        <f>HYPERLINK("http://dx.doi.org/10.1016/j.agee.2010.09.018","http://dx.doi.org/10.1016/j.agee.2010.09.018")</f>
        <v>http://dx.doi.org/10.1016/j.agee.2010.09.018</v>
      </c>
      <c r="BG41" s="14" t="s">
        <v>99</v>
      </c>
      <c r="BH41" s="14" t="s">
        <v>99</v>
      </c>
      <c r="BI41" s="14">
        <v>7.0</v>
      </c>
      <c r="BJ41" s="14" t="s">
        <v>5622</v>
      </c>
      <c r="BK41" s="14" t="s">
        <v>122</v>
      </c>
      <c r="BL41" s="14" t="s">
        <v>5623</v>
      </c>
      <c r="BM41" s="14" t="s">
        <v>6023</v>
      </c>
      <c r="BN41" s="14" t="s">
        <v>99</v>
      </c>
      <c r="BO41" s="14" t="s">
        <v>576</v>
      </c>
      <c r="BP41" s="14" t="s">
        <v>99</v>
      </c>
      <c r="BQ41" s="14" t="s">
        <v>99</v>
      </c>
      <c r="BR41" s="14" t="s">
        <v>124</v>
      </c>
      <c r="BS41" s="14" t="s">
        <v>6024</v>
      </c>
      <c r="BT41" s="14" t="str">
        <f>HYPERLINK("https%3A%2F%2Fwww.webofscience.com%2Fwos%2Fwoscc%2Ffull-record%2FWOS:000287277100016","View Full Record in Web of Science")</f>
        <v>View Full Record in Web of Science</v>
      </c>
    </row>
    <row r="42" ht="12.75" customHeight="1">
      <c r="A42" s="14" t="s">
        <v>97</v>
      </c>
      <c r="B42" s="14" t="s">
        <v>6141</v>
      </c>
      <c r="C42" s="14" t="s">
        <v>99</v>
      </c>
      <c r="D42" s="14" t="s">
        <v>99</v>
      </c>
      <c r="E42" s="14" t="s">
        <v>99</v>
      </c>
      <c r="F42" s="14" t="s">
        <v>6142</v>
      </c>
      <c r="G42" s="14" t="s">
        <v>99</v>
      </c>
      <c r="H42" s="14" t="s">
        <v>99</v>
      </c>
      <c r="I42" s="14" t="s">
        <v>6143</v>
      </c>
      <c r="J42" s="14" t="s">
        <v>5068</v>
      </c>
      <c r="K42" s="14" t="s">
        <v>99</v>
      </c>
      <c r="L42" s="14" t="s">
        <v>99</v>
      </c>
      <c r="M42" s="14" t="s">
        <v>103</v>
      </c>
      <c r="N42" s="14" t="s">
        <v>104</v>
      </c>
      <c r="O42" s="14" t="s">
        <v>99</v>
      </c>
      <c r="P42" s="14" t="s">
        <v>99</v>
      </c>
      <c r="Q42" s="14" t="s">
        <v>99</v>
      </c>
      <c r="R42" s="14" t="s">
        <v>99</v>
      </c>
      <c r="S42" s="14" t="s">
        <v>99</v>
      </c>
      <c r="T42" s="14" t="s">
        <v>6144</v>
      </c>
      <c r="U42" s="14" t="s">
        <v>6145</v>
      </c>
      <c r="V42" s="14" t="s">
        <v>6146</v>
      </c>
      <c r="W42" s="14" t="s">
        <v>6147</v>
      </c>
      <c r="X42" s="14" t="s">
        <v>6148</v>
      </c>
      <c r="Y42" s="14" t="s">
        <v>6149</v>
      </c>
      <c r="Z42" s="14" t="s">
        <v>6150</v>
      </c>
      <c r="AA42" s="14" t="s">
        <v>99</v>
      </c>
      <c r="AB42" s="14" t="s">
        <v>99</v>
      </c>
      <c r="AC42" s="14" t="s">
        <v>6151</v>
      </c>
      <c r="AD42" s="14" t="s">
        <v>6152</v>
      </c>
      <c r="AE42" s="14" t="s">
        <v>6153</v>
      </c>
      <c r="AF42" s="14" t="s">
        <v>99</v>
      </c>
      <c r="AG42" s="14">
        <v>30.0</v>
      </c>
      <c r="AH42" s="14">
        <v>33.0</v>
      </c>
      <c r="AI42" s="14">
        <v>37.0</v>
      </c>
      <c r="AJ42" s="14">
        <v>1.0</v>
      </c>
      <c r="AK42" s="14">
        <v>24.0</v>
      </c>
      <c r="AL42" s="14" t="s">
        <v>493</v>
      </c>
      <c r="AM42" s="14" t="s">
        <v>468</v>
      </c>
      <c r="AN42" s="14" t="s">
        <v>635</v>
      </c>
      <c r="AO42" s="14" t="s">
        <v>5078</v>
      </c>
      <c r="AP42" s="14" t="s">
        <v>5079</v>
      </c>
      <c r="AQ42" s="14" t="s">
        <v>99</v>
      </c>
      <c r="AR42" s="14" t="s">
        <v>5080</v>
      </c>
      <c r="AS42" s="14" t="s">
        <v>5081</v>
      </c>
      <c r="AT42" s="14" t="s">
        <v>421</v>
      </c>
      <c r="AU42" s="14">
        <v>2010.0</v>
      </c>
      <c r="AV42" s="14">
        <v>29.0</v>
      </c>
      <c r="AW42" s="14">
        <v>9.0</v>
      </c>
      <c r="AX42" s="14" t="s">
        <v>99</v>
      </c>
      <c r="AY42" s="14" t="s">
        <v>99</v>
      </c>
      <c r="AZ42" s="14" t="s">
        <v>99</v>
      </c>
      <c r="BA42" s="14" t="s">
        <v>99</v>
      </c>
      <c r="BB42" s="14">
        <v>957.0</v>
      </c>
      <c r="BC42" s="14">
        <v>962.0</v>
      </c>
      <c r="BD42" s="14" t="s">
        <v>99</v>
      </c>
      <c r="BE42" s="14" t="s">
        <v>6154</v>
      </c>
      <c r="BF42" s="15" t="str">
        <f>HYPERLINK("http://dx.doi.org/10.1016/j.cropro.2010.05.001","http://dx.doi.org/10.1016/j.cropro.2010.05.001")</f>
        <v>http://dx.doi.org/10.1016/j.cropro.2010.05.001</v>
      </c>
      <c r="BG42" s="14" t="s">
        <v>99</v>
      </c>
      <c r="BH42" s="14" t="s">
        <v>99</v>
      </c>
      <c r="BI42" s="14">
        <v>6.0</v>
      </c>
      <c r="BJ42" s="14" t="s">
        <v>2968</v>
      </c>
      <c r="BK42" s="14" t="s">
        <v>122</v>
      </c>
      <c r="BL42" s="14" t="s">
        <v>2969</v>
      </c>
      <c r="BM42" s="14" t="s">
        <v>6155</v>
      </c>
      <c r="BN42" s="14" t="s">
        <v>99</v>
      </c>
      <c r="BO42" s="14" t="s">
        <v>99</v>
      </c>
      <c r="BP42" s="14" t="s">
        <v>99</v>
      </c>
      <c r="BQ42" s="14" t="s">
        <v>99</v>
      </c>
      <c r="BR42" s="14" t="s">
        <v>124</v>
      </c>
      <c r="BS42" s="14" t="s">
        <v>6156</v>
      </c>
      <c r="BT42" s="14" t="str">
        <f>HYPERLINK("https%3A%2F%2Fwww.webofscience.com%2Fwos%2Fwoscc%2Ffull-record%2FWOS:000281107700008","View Full Record in Web of Science")</f>
        <v>View Full Record in Web of Science</v>
      </c>
    </row>
    <row r="43" ht="12.75" customHeight="1">
      <c r="A43" s="14" t="s">
        <v>97</v>
      </c>
      <c r="B43" s="14" t="s">
        <v>6239</v>
      </c>
      <c r="C43" s="14" t="s">
        <v>99</v>
      </c>
      <c r="D43" s="14" t="s">
        <v>99</v>
      </c>
      <c r="E43" s="14" t="s">
        <v>99</v>
      </c>
      <c r="F43" s="14" t="s">
        <v>6240</v>
      </c>
      <c r="G43" s="14" t="s">
        <v>99</v>
      </c>
      <c r="H43" s="14" t="s">
        <v>99</v>
      </c>
      <c r="I43" s="14" t="s">
        <v>6241</v>
      </c>
      <c r="J43" s="14" t="s">
        <v>6242</v>
      </c>
      <c r="K43" s="14" t="s">
        <v>99</v>
      </c>
      <c r="L43" s="14" t="s">
        <v>99</v>
      </c>
      <c r="M43" s="14" t="s">
        <v>103</v>
      </c>
      <c r="N43" s="14" t="s">
        <v>104</v>
      </c>
      <c r="O43" s="14" t="s">
        <v>99</v>
      </c>
      <c r="P43" s="14" t="s">
        <v>99</v>
      </c>
      <c r="Q43" s="14" t="s">
        <v>99</v>
      </c>
      <c r="R43" s="14" t="s">
        <v>99</v>
      </c>
      <c r="S43" s="14" t="s">
        <v>99</v>
      </c>
      <c r="T43" s="14" t="s">
        <v>6243</v>
      </c>
      <c r="U43" s="14" t="s">
        <v>6244</v>
      </c>
      <c r="V43" s="14" t="s">
        <v>6245</v>
      </c>
      <c r="W43" s="14" t="s">
        <v>6246</v>
      </c>
      <c r="X43" s="14" t="s">
        <v>6247</v>
      </c>
      <c r="Y43" s="14" t="s">
        <v>6248</v>
      </c>
      <c r="Z43" s="14" t="s">
        <v>6249</v>
      </c>
      <c r="AA43" s="14" t="s">
        <v>6250</v>
      </c>
      <c r="AB43" s="14" t="s">
        <v>6251</v>
      </c>
      <c r="AC43" s="14" t="s">
        <v>6252</v>
      </c>
      <c r="AD43" s="14" t="s">
        <v>6253</v>
      </c>
      <c r="AE43" s="14" t="s">
        <v>6254</v>
      </c>
      <c r="AF43" s="14" t="s">
        <v>99</v>
      </c>
      <c r="AG43" s="14">
        <v>52.0</v>
      </c>
      <c r="AH43" s="14">
        <v>70.0</v>
      </c>
      <c r="AI43" s="14">
        <v>78.0</v>
      </c>
      <c r="AJ43" s="14">
        <v>4.0</v>
      </c>
      <c r="AK43" s="14">
        <v>96.0</v>
      </c>
      <c r="AL43" s="14" t="s">
        <v>1731</v>
      </c>
      <c r="AM43" s="14" t="s">
        <v>1732</v>
      </c>
      <c r="AN43" s="14" t="s">
        <v>1733</v>
      </c>
      <c r="AO43" s="14" t="s">
        <v>6255</v>
      </c>
      <c r="AP43" s="14" t="s">
        <v>6256</v>
      </c>
      <c r="AQ43" s="14" t="s">
        <v>99</v>
      </c>
      <c r="AR43" s="14" t="s">
        <v>6257</v>
      </c>
      <c r="AS43" s="14" t="s">
        <v>6258</v>
      </c>
      <c r="AT43" s="14" t="s">
        <v>616</v>
      </c>
      <c r="AU43" s="14">
        <v>2010.0</v>
      </c>
      <c r="AV43" s="14">
        <v>45.0</v>
      </c>
      <c r="AW43" s="14">
        <v>2.0</v>
      </c>
      <c r="AX43" s="14" t="s">
        <v>99</v>
      </c>
      <c r="AY43" s="14" t="s">
        <v>99</v>
      </c>
      <c r="AZ43" s="14" t="s">
        <v>99</v>
      </c>
      <c r="BA43" s="14" t="s">
        <v>99</v>
      </c>
      <c r="BB43" s="14">
        <v>125.0</v>
      </c>
      <c r="BC43" s="14">
        <v>142.0</v>
      </c>
      <c r="BD43" s="14" t="s">
        <v>99</v>
      </c>
      <c r="BE43" s="14" t="s">
        <v>6259</v>
      </c>
      <c r="BF43" s="15" t="str">
        <f>HYPERLINK("http://dx.doi.org/10.1007/s12224-010-9062-9","http://dx.doi.org/10.1007/s12224-010-9062-9")</f>
        <v>http://dx.doi.org/10.1007/s12224-010-9062-9</v>
      </c>
      <c r="BG43" s="14" t="s">
        <v>99</v>
      </c>
      <c r="BH43" s="14" t="s">
        <v>99</v>
      </c>
      <c r="BI43" s="14">
        <v>18.0</v>
      </c>
      <c r="BJ43" s="14" t="s">
        <v>214</v>
      </c>
      <c r="BK43" s="14" t="s">
        <v>122</v>
      </c>
      <c r="BL43" s="14" t="s">
        <v>214</v>
      </c>
      <c r="BM43" s="14" t="s">
        <v>6260</v>
      </c>
      <c r="BN43" s="14" t="s">
        <v>99</v>
      </c>
      <c r="BO43" s="14" t="s">
        <v>99</v>
      </c>
      <c r="BP43" s="14" t="s">
        <v>99</v>
      </c>
      <c r="BQ43" s="14" t="s">
        <v>99</v>
      </c>
      <c r="BR43" s="14" t="s">
        <v>124</v>
      </c>
      <c r="BS43" s="14" t="s">
        <v>6261</v>
      </c>
      <c r="BT43" s="14" t="str">
        <f>HYPERLINK("https%3A%2F%2Fwww.webofscience.com%2Fwos%2Fwoscc%2Ffull-record%2FWOS:000281207800002","View Full Record in Web of Science")</f>
        <v>View Full Record in Web of Science</v>
      </c>
    </row>
    <row r="44" ht="12.75" customHeight="1">
      <c r="A44" s="14" t="s">
        <v>97</v>
      </c>
      <c r="B44" s="14" t="s">
        <v>6436</v>
      </c>
      <c r="C44" s="14" t="s">
        <v>99</v>
      </c>
      <c r="D44" s="14" t="s">
        <v>99</v>
      </c>
      <c r="E44" s="14" t="s">
        <v>99</v>
      </c>
      <c r="F44" s="14" t="s">
        <v>6437</v>
      </c>
      <c r="G44" s="14" t="s">
        <v>99</v>
      </c>
      <c r="H44" s="14" t="s">
        <v>99</v>
      </c>
      <c r="I44" s="14" t="s">
        <v>6438</v>
      </c>
      <c r="J44" s="14" t="s">
        <v>430</v>
      </c>
      <c r="K44" s="14" t="s">
        <v>99</v>
      </c>
      <c r="L44" s="14" t="s">
        <v>99</v>
      </c>
      <c r="M44" s="14" t="s">
        <v>103</v>
      </c>
      <c r="N44" s="14" t="s">
        <v>104</v>
      </c>
      <c r="O44" s="14" t="s">
        <v>99</v>
      </c>
      <c r="P44" s="14" t="s">
        <v>99</v>
      </c>
      <c r="Q44" s="14" t="s">
        <v>99</v>
      </c>
      <c r="R44" s="14" t="s">
        <v>99</v>
      </c>
      <c r="S44" s="14" t="s">
        <v>99</v>
      </c>
      <c r="T44" s="14" t="s">
        <v>6439</v>
      </c>
      <c r="U44" s="14" t="s">
        <v>6440</v>
      </c>
      <c r="V44" s="14" t="s">
        <v>6441</v>
      </c>
      <c r="W44" s="14" t="s">
        <v>6442</v>
      </c>
      <c r="X44" s="14" t="s">
        <v>6443</v>
      </c>
      <c r="Y44" s="14" t="s">
        <v>6444</v>
      </c>
      <c r="Z44" s="14" t="s">
        <v>6445</v>
      </c>
      <c r="AA44" s="14" t="s">
        <v>99</v>
      </c>
      <c r="AB44" s="14" t="s">
        <v>99</v>
      </c>
      <c r="AC44" s="14" t="s">
        <v>6446</v>
      </c>
      <c r="AD44" s="14" t="s">
        <v>6447</v>
      </c>
      <c r="AE44" s="14" t="s">
        <v>6448</v>
      </c>
      <c r="AF44" s="14" t="s">
        <v>99</v>
      </c>
      <c r="AG44" s="14">
        <v>61.0</v>
      </c>
      <c r="AH44" s="14">
        <v>37.0</v>
      </c>
      <c r="AI44" s="14">
        <v>48.0</v>
      </c>
      <c r="AJ44" s="14">
        <v>1.0</v>
      </c>
      <c r="AK44" s="14">
        <v>49.0</v>
      </c>
      <c r="AL44" s="14" t="s">
        <v>441</v>
      </c>
      <c r="AM44" s="14" t="s">
        <v>442</v>
      </c>
      <c r="AN44" s="14" t="s">
        <v>443</v>
      </c>
      <c r="AO44" s="14" t="s">
        <v>444</v>
      </c>
      <c r="AP44" s="14" t="s">
        <v>445</v>
      </c>
      <c r="AQ44" s="14" t="s">
        <v>99</v>
      </c>
      <c r="AR44" s="14" t="s">
        <v>446</v>
      </c>
      <c r="AS44" s="14" t="s">
        <v>447</v>
      </c>
      <c r="AT44" s="14" t="s">
        <v>5795</v>
      </c>
      <c r="AU44" s="14">
        <v>2010.0</v>
      </c>
      <c r="AV44" s="14">
        <v>259.0</v>
      </c>
      <c r="AW44" s="14">
        <v>8.0</v>
      </c>
      <c r="AX44" s="14" t="s">
        <v>99</v>
      </c>
      <c r="AY44" s="14" t="s">
        <v>99</v>
      </c>
      <c r="AZ44" s="14" t="s">
        <v>99</v>
      </c>
      <c r="BA44" s="14" t="s">
        <v>99</v>
      </c>
      <c r="BB44" s="14">
        <v>1522.0</v>
      </c>
      <c r="BC44" s="14">
        <v>1529.0</v>
      </c>
      <c r="BD44" s="14" t="s">
        <v>99</v>
      </c>
      <c r="BE44" s="14" t="s">
        <v>6449</v>
      </c>
      <c r="BF44" s="15" t="str">
        <f>HYPERLINK("http://dx.doi.org/10.1016/j.foreco.2010.01.028","http://dx.doi.org/10.1016/j.foreco.2010.01.028")</f>
        <v>http://dx.doi.org/10.1016/j.foreco.2010.01.028</v>
      </c>
      <c r="BG44" s="14" t="s">
        <v>99</v>
      </c>
      <c r="BH44" s="14" t="s">
        <v>99</v>
      </c>
      <c r="BI44" s="14">
        <v>8.0</v>
      </c>
      <c r="BJ44" s="14" t="s">
        <v>281</v>
      </c>
      <c r="BK44" s="14" t="s">
        <v>122</v>
      </c>
      <c r="BL44" s="14" t="s">
        <v>281</v>
      </c>
      <c r="BM44" s="14" t="s">
        <v>6450</v>
      </c>
      <c r="BN44" s="14" t="s">
        <v>99</v>
      </c>
      <c r="BO44" s="14" t="s">
        <v>99</v>
      </c>
      <c r="BP44" s="14" t="s">
        <v>99</v>
      </c>
      <c r="BQ44" s="14" t="s">
        <v>99</v>
      </c>
      <c r="BR44" s="14" t="s">
        <v>124</v>
      </c>
      <c r="BS44" s="14" t="s">
        <v>6451</v>
      </c>
      <c r="BT44" s="14" t="str">
        <f>HYPERLINK("https%3A%2F%2Fwww.webofscience.com%2Fwos%2Fwoscc%2Ffull-record%2FWOS:000276292900019","View Full Record in Web of Science")</f>
        <v>View Full Record in Web of Science</v>
      </c>
    </row>
    <row r="45" ht="12.75" customHeight="1">
      <c r="A45" s="14" t="s">
        <v>97</v>
      </c>
      <c r="B45" s="14" t="s">
        <v>6492</v>
      </c>
      <c r="C45" s="14" t="s">
        <v>99</v>
      </c>
      <c r="D45" s="14" t="s">
        <v>99</v>
      </c>
      <c r="E45" s="14" t="s">
        <v>99</v>
      </c>
      <c r="F45" s="14" t="s">
        <v>6493</v>
      </c>
      <c r="G45" s="14" t="s">
        <v>99</v>
      </c>
      <c r="H45" s="14" t="s">
        <v>99</v>
      </c>
      <c r="I45" s="14" t="s">
        <v>6494</v>
      </c>
      <c r="J45" s="14" t="s">
        <v>5708</v>
      </c>
      <c r="K45" s="14" t="s">
        <v>99</v>
      </c>
      <c r="L45" s="14" t="s">
        <v>99</v>
      </c>
      <c r="M45" s="14" t="s">
        <v>103</v>
      </c>
      <c r="N45" s="14" t="s">
        <v>104</v>
      </c>
      <c r="O45" s="14" t="s">
        <v>99</v>
      </c>
      <c r="P45" s="14" t="s">
        <v>99</v>
      </c>
      <c r="Q45" s="14" t="s">
        <v>99</v>
      </c>
      <c r="R45" s="14" t="s">
        <v>99</v>
      </c>
      <c r="S45" s="14" t="s">
        <v>99</v>
      </c>
      <c r="T45" s="14" t="s">
        <v>6495</v>
      </c>
      <c r="U45" s="14" t="s">
        <v>6496</v>
      </c>
      <c r="V45" s="14" t="s">
        <v>6497</v>
      </c>
      <c r="W45" s="14" t="s">
        <v>6498</v>
      </c>
      <c r="X45" s="14" t="s">
        <v>6499</v>
      </c>
      <c r="Y45" s="14" t="s">
        <v>6500</v>
      </c>
      <c r="Z45" s="14" t="s">
        <v>6501</v>
      </c>
      <c r="AA45" s="14" t="s">
        <v>6502</v>
      </c>
      <c r="AB45" s="14" t="s">
        <v>6503</v>
      </c>
      <c r="AC45" s="14" t="s">
        <v>6504</v>
      </c>
      <c r="AD45" s="14" t="s">
        <v>6505</v>
      </c>
      <c r="AE45" s="14" t="s">
        <v>6506</v>
      </c>
      <c r="AF45" s="14" t="s">
        <v>99</v>
      </c>
      <c r="AG45" s="14">
        <v>34.0</v>
      </c>
      <c r="AH45" s="14">
        <v>67.0</v>
      </c>
      <c r="AI45" s="14">
        <v>79.0</v>
      </c>
      <c r="AJ45" s="14">
        <v>1.0</v>
      </c>
      <c r="AK45" s="14">
        <v>29.0</v>
      </c>
      <c r="AL45" s="14" t="s">
        <v>1822</v>
      </c>
      <c r="AM45" s="14" t="s">
        <v>342</v>
      </c>
      <c r="AN45" s="14" t="s">
        <v>343</v>
      </c>
      <c r="AO45" s="14" t="s">
        <v>5719</v>
      </c>
      <c r="AP45" s="14" t="s">
        <v>99</v>
      </c>
      <c r="AQ45" s="14" t="s">
        <v>99</v>
      </c>
      <c r="AR45" s="14" t="s">
        <v>5721</v>
      </c>
      <c r="AS45" s="14" t="s">
        <v>5722</v>
      </c>
      <c r="AT45" s="14" t="s">
        <v>1485</v>
      </c>
      <c r="AU45" s="14">
        <v>2010.0</v>
      </c>
      <c r="AV45" s="14">
        <v>48.0</v>
      </c>
      <c r="AW45" s="14">
        <v>1.0</v>
      </c>
      <c r="AX45" s="14" t="s">
        <v>99</v>
      </c>
      <c r="AY45" s="14" t="s">
        <v>99</v>
      </c>
      <c r="AZ45" s="14" t="s">
        <v>99</v>
      </c>
      <c r="BA45" s="14" t="s">
        <v>99</v>
      </c>
      <c r="BB45" s="14">
        <v>78.0</v>
      </c>
      <c r="BC45" s="14">
        <v>86.0</v>
      </c>
      <c r="BD45" s="14" t="s">
        <v>99</v>
      </c>
      <c r="BE45" s="14" t="s">
        <v>6507</v>
      </c>
      <c r="BF45" s="15" t="str">
        <f>HYPERLINK("http://dx.doi.org/10.1111/j.1365-2028.2009.01084.x","http://dx.doi.org/10.1111/j.1365-2028.2009.01084.x")</f>
        <v>http://dx.doi.org/10.1111/j.1365-2028.2009.01084.x</v>
      </c>
      <c r="BG45" s="14" t="s">
        <v>99</v>
      </c>
      <c r="BH45" s="14" t="s">
        <v>99</v>
      </c>
      <c r="BI45" s="14">
        <v>9.0</v>
      </c>
      <c r="BJ45" s="14" t="s">
        <v>259</v>
      </c>
      <c r="BK45" s="14" t="s">
        <v>122</v>
      </c>
      <c r="BL45" s="14" t="s">
        <v>260</v>
      </c>
      <c r="BM45" s="14" t="s">
        <v>6508</v>
      </c>
      <c r="BN45" s="14" t="s">
        <v>99</v>
      </c>
      <c r="BO45" s="14" t="s">
        <v>99</v>
      </c>
      <c r="BP45" s="14" t="s">
        <v>99</v>
      </c>
      <c r="BQ45" s="14" t="s">
        <v>99</v>
      </c>
      <c r="BR45" s="14" t="s">
        <v>124</v>
      </c>
      <c r="BS45" s="14" t="s">
        <v>6509</v>
      </c>
      <c r="BT45" s="14" t="str">
        <f>HYPERLINK("https%3A%2F%2Fwww.webofscience.com%2Fwos%2Fwoscc%2Ffull-record%2FWOS:000274199800011","View Full Record in Web of Science")</f>
        <v>View Full Record in Web of Science</v>
      </c>
    </row>
    <row r="46" ht="12.75" customHeight="1">
      <c r="A46" s="14" t="s">
        <v>97</v>
      </c>
      <c r="B46" s="14" t="s">
        <v>6645</v>
      </c>
      <c r="C46" s="14" t="s">
        <v>99</v>
      </c>
      <c r="D46" s="14" t="s">
        <v>99</v>
      </c>
      <c r="E46" s="14" t="s">
        <v>99</v>
      </c>
      <c r="F46" s="14" t="s">
        <v>6646</v>
      </c>
      <c r="G46" s="14" t="s">
        <v>99</v>
      </c>
      <c r="H46" s="14" t="s">
        <v>99</v>
      </c>
      <c r="I46" s="14" t="s">
        <v>6647</v>
      </c>
      <c r="J46" s="14" t="s">
        <v>2950</v>
      </c>
      <c r="K46" s="14" t="s">
        <v>99</v>
      </c>
      <c r="L46" s="14" t="s">
        <v>99</v>
      </c>
      <c r="M46" s="14" t="s">
        <v>103</v>
      </c>
      <c r="N46" s="14" t="s">
        <v>104</v>
      </c>
      <c r="O46" s="14" t="s">
        <v>99</v>
      </c>
      <c r="P46" s="14" t="s">
        <v>99</v>
      </c>
      <c r="Q46" s="14" t="s">
        <v>99</v>
      </c>
      <c r="R46" s="14" t="s">
        <v>99</v>
      </c>
      <c r="S46" s="14" t="s">
        <v>99</v>
      </c>
      <c r="T46" s="14" t="s">
        <v>6648</v>
      </c>
      <c r="U46" s="14" t="s">
        <v>6649</v>
      </c>
      <c r="V46" s="14" t="s">
        <v>6650</v>
      </c>
      <c r="W46" s="14" t="s">
        <v>6651</v>
      </c>
      <c r="X46" s="14" t="s">
        <v>6652</v>
      </c>
      <c r="Y46" s="14" t="s">
        <v>6653</v>
      </c>
      <c r="Z46" s="14" t="s">
        <v>6654</v>
      </c>
      <c r="AA46" s="14" t="s">
        <v>99</v>
      </c>
      <c r="AB46" s="14" t="s">
        <v>99</v>
      </c>
      <c r="AC46" s="14" t="s">
        <v>6655</v>
      </c>
      <c r="AD46" s="14" t="s">
        <v>6655</v>
      </c>
      <c r="AE46" s="14" t="s">
        <v>6656</v>
      </c>
      <c r="AF46" s="14" t="s">
        <v>99</v>
      </c>
      <c r="AG46" s="14">
        <v>34.0</v>
      </c>
      <c r="AH46" s="14">
        <v>67.0</v>
      </c>
      <c r="AI46" s="14">
        <v>75.0</v>
      </c>
      <c r="AJ46" s="14">
        <v>0.0</v>
      </c>
      <c r="AK46" s="14">
        <v>99.0</v>
      </c>
      <c r="AL46" s="14" t="s">
        <v>6590</v>
      </c>
      <c r="AM46" s="14" t="s">
        <v>6591</v>
      </c>
      <c r="AN46" s="14" t="s">
        <v>6592</v>
      </c>
      <c r="AO46" s="14" t="s">
        <v>2963</v>
      </c>
      <c r="AP46" s="14" t="s">
        <v>99</v>
      </c>
      <c r="AQ46" s="14" t="s">
        <v>99</v>
      </c>
      <c r="AR46" s="14" t="s">
        <v>2965</v>
      </c>
      <c r="AS46" s="14" t="s">
        <v>2966</v>
      </c>
      <c r="AT46" s="14" t="s">
        <v>1058</v>
      </c>
      <c r="AU46" s="14">
        <v>2009.0</v>
      </c>
      <c r="AV46" s="14">
        <v>64.0</v>
      </c>
      <c r="AW46" s="14">
        <v>4.0</v>
      </c>
      <c r="AX46" s="14" t="s">
        <v>99</v>
      </c>
      <c r="AY46" s="14" t="s">
        <v>99</v>
      </c>
      <c r="AZ46" s="14" t="s">
        <v>99</v>
      </c>
      <c r="BA46" s="14" t="s">
        <v>99</v>
      </c>
      <c r="BB46" s="14">
        <v>454.0</v>
      </c>
      <c r="BC46" s="14">
        <v>465.0</v>
      </c>
      <c r="BD46" s="14" t="s">
        <v>99</v>
      </c>
      <c r="BE46" s="14" t="s">
        <v>6657</v>
      </c>
      <c r="BF46" s="15" t="str">
        <f>HYPERLINK("http://dx.doi.org/10.1111/j.1365-2494.2009.00713.x","http://dx.doi.org/10.1111/j.1365-2494.2009.00713.x")</f>
        <v>http://dx.doi.org/10.1111/j.1365-2494.2009.00713.x</v>
      </c>
      <c r="BG46" s="14" t="s">
        <v>99</v>
      </c>
      <c r="BH46" s="14" t="s">
        <v>99</v>
      </c>
      <c r="BI46" s="14">
        <v>12.0</v>
      </c>
      <c r="BJ46" s="14" t="s">
        <v>2968</v>
      </c>
      <c r="BK46" s="14" t="s">
        <v>122</v>
      </c>
      <c r="BL46" s="14" t="s">
        <v>2969</v>
      </c>
      <c r="BM46" s="14" t="s">
        <v>6658</v>
      </c>
      <c r="BN46" s="14" t="s">
        <v>99</v>
      </c>
      <c r="BO46" s="14" t="s">
        <v>99</v>
      </c>
      <c r="BP46" s="14" t="s">
        <v>99</v>
      </c>
      <c r="BQ46" s="14" t="s">
        <v>99</v>
      </c>
      <c r="BR46" s="14" t="s">
        <v>124</v>
      </c>
      <c r="BS46" s="14" t="s">
        <v>6659</v>
      </c>
      <c r="BT46" s="14" t="str">
        <f>HYPERLINK("https%3A%2F%2Fwww.webofscience.com%2Fwos%2Fwoscc%2Ffull-record%2FWOS:000271783500012","View Full Record in Web of Science")</f>
        <v>View Full Record in Web of Science</v>
      </c>
    </row>
    <row r="47" ht="12.75" customHeight="1">
      <c r="A47" s="14" t="s">
        <v>97</v>
      </c>
      <c r="B47" s="14" t="s">
        <v>6660</v>
      </c>
      <c r="C47" s="14" t="s">
        <v>99</v>
      </c>
      <c r="D47" s="14" t="s">
        <v>99</v>
      </c>
      <c r="E47" s="14" t="s">
        <v>99</v>
      </c>
      <c r="F47" s="14" t="s">
        <v>6661</v>
      </c>
      <c r="G47" s="14" t="s">
        <v>99</v>
      </c>
      <c r="H47" s="14" t="s">
        <v>99</v>
      </c>
      <c r="I47" s="14" t="s">
        <v>6662</v>
      </c>
      <c r="J47" s="14" t="s">
        <v>2950</v>
      </c>
      <c r="K47" s="14" t="s">
        <v>99</v>
      </c>
      <c r="L47" s="14" t="s">
        <v>99</v>
      </c>
      <c r="M47" s="14" t="s">
        <v>103</v>
      </c>
      <c r="N47" s="14" t="s">
        <v>104</v>
      </c>
      <c r="O47" s="14" t="s">
        <v>99</v>
      </c>
      <c r="P47" s="14" t="s">
        <v>99</v>
      </c>
      <c r="Q47" s="14" t="s">
        <v>99</v>
      </c>
      <c r="R47" s="14" t="s">
        <v>99</v>
      </c>
      <c r="S47" s="14" t="s">
        <v>99</v>
      </c>
      <c r="T47" s="14" t="s">
        <v>6663</v>
      </c>
      <c r="U47" s="14" t="s">
        <v>6664</v>
      </c>
      <c r="V47" s="14" t="s">
        <v>6665</v>
      </c>
      <c r="W47" s="14" t="s">
        <v>6666</v>
      </c>
      <c r="X47" s="14" t="s">
        <v>6667</v>
      </c>
      <c r="Y47" s="14" t="s">
        <v>6668</v>
      </c>
      <c r="Z47" s="14" t="s">
        <v>6669</v>
      </c>
      <c r="AA47" s="14" t="s">
        <v>6670</v>
      </c>
      <c r="AB47" s="14" t="s">
        <v>6671</v>
      </c>
      <c r="AC47" s="14" t="s">
        <v>6672</v>
      </c>
      <c r="AD47" s="14" t="s">
        <v>6673</v>
      </c>
      <c r="AE47" s="14" t="s">
        <v>6674</v>
      </c>
      <c r="AF47" s="14" t="s">
        <v>99</v>
      </c>
      <c r="AG47" s="14">
        <v>66.0</v>
      </c>
      <c r="AH47" s="14">
        <v>36.0</v>
      </c>
      <c r="AI47" s="14">
        <v>41.0</v>
      </c>
      <c r="AJ47" s="14">
        <v>1.0</v>
      </c>
      <c r="AK47" s="14">
        <v>108.0</v>
      </c>
      <c r="AL47" s="14" t="s">
        <v>341</v>
      </c>
      <c r="AM47" s="14" t="s">
        <v>342</v>
      </c>
      <c r="AN47" s="14" t="s">
        <v>343</v>
      </c>
      <c r="AO47" s="14" t="s">
        <v>2963</v>
      </c>
      <c r="AP47" s="14" t="s">
        <v>2964</v>
      </c>
      <c r="AQ47" s="14" t="s">
        <v>99</v>
      </c>
      <c r="AR47" s="14" t="s">
        <v>2965</v>
      </c>
      <c r="AS47" s="14" t="s">
        <v>2966</v>
      </c>
      <c r="AT47" s="14" t="s">
        <v>1058</v>
      </c>
      <c r="AU47" s="14">
        <v>2009.0</v>
      </c>
      <c r="AV47" s="14">
        <v>64.0</v>
      </c>
      <c r="AW47" s="14">
        <v>4.0</v>
      </c>
      <c r="AX47" s="14" t="s">
        <v>99</v>
      </c>
      <c r="AY47" s="14" t="s">
        <v>99</v>
      </c>
      <c r="AZ47" s="14" t="s">
        <v>99</v>
      </c>
      <c r="BA47" s="14" t="s">
        <v>99</v>
      </c>
      <c r="BB47" s="14">
        <v>443.0</v>
      </c>
      <c r="BC47" s="14">
        <v>453.0</v>
      </c>
      <c r="BD47" s="14" t="s">
        <v>99</v>
      </c>
      <c r="BE47" s="14" t="s">
        <v>6675</v>
      </c>
      <c r="BF47" s="15" t="str">
        <f>HYPERLINK("http://dx.doi.org/10.1111/j.1365-2494.2009.00709.x","http://dx.doi.org/10.1111/j.1365-2494.2009.00709.x")</f>
        <v>http://dx.doi.org/10.1111/j.1365-2494.2009.00709.x</v>
      </c>
      <c r="BG47" s="14" t="s">
        <v>99</v>
      </c>
      <c r="BH47" s="14" t="s">
        <v>99</v>
      </c>
      <c r="BI47" s="14">
        <v>11.0</v>
      </c>
      <c r="BJ47" s="14" t="s">
        <v>2968</v>
      </c>
      <c r="BK47" s="14" t="s">
        <v>122</v>
      </c>
      <c r="BL47" s="14" t="s">
        <v>2969</v>
      </c>
      <c r="BM47" s="14" t="s">
        <v>6658</v>
      </c>
      <c r="BN47" s="14" t="s">
        <v>99</v>
      </c>
      <c r="BO47" s="14" t="s">
        <v>99</v>
      </c>
      <c r="BP47" s="14" t="s">
        <v>99</v>
      </c>
      <c r="BQ47" s="14" t="s">
        <v>99</v>
      </c>
      <c r="BR47" s="14" t="s">
        <v>124</v>
      </c>
      <c r="BS47" s="14" t="s">
        <v>6676</v>
      </c>
      <c r="BT47" s="14" t="str">
        <f>HYPERLINK("https%3A%2F%2Fwww.webofscience.com%2Fwos%2Fwoscc%2Ffull-record%2FWOS:000271783500011","View Full Record in Web of Science")</f>
        <v>View Full Record in Web of Science</v>
      </c>
    </row>
    <row r="48" ht="12.75" customHeight="1">
      <c r="A48" s="14" t="s">
        <v>97</v>
      </c>
      <c r="B48" s="14" t="s">
        <v>6797</v>
      </c>
      <c r="C48" s="14" t="s">
        <v>99</v>
      </c>
      <c r="D48" s="14" t="s">
        <v>99</v>
      </c>
      <c r="E48" s="14" t="s">
        <v>99</v>
      </c>
      <c r="F48" s="14" t="s">
        <v>6798</v>
      </c>
      <c r="G48" s="14" t="s">
        <v>99</v>
      </c>
      <c r="H48" s="14" t="s">
        <v>99</v>
      </c>
      <c r="I48" s="14" t="s">
        <v>6799</v>
      </c>
      <c r="J48" s="14" t="s">
        <v>6800</v>
      </c>
      <c r="K48" s="14" t="s">
        <v>99</v>
      </c>
      <c r="L48" s="14" t="s">
        <v>99</v>
      </c>
      <c r="M48" s="14" t="s">
        <v>103</v>
      </c>
      <c r="N48" s="14" t="s">
        <v>104</v>
      </c>
      <c r="O48" s="14" t="s">
        <v>99</v>
      </c>
      <c r="P48" s="14" t="s">
        <v>99</v>
      </c>
      <c r="Q48" s="14" t="s">
        <v>99</v>
      </c>
      <c r="R48" s="14" t="s">
        <v>99</v>
      </c>
      <c r="S48" s="14" t="s">
        <v>99</v>
      </c>
      <c r="T48" s="14" t="s">
        <v>6801</v>
      </c>
      <c r="U48" s="14" t="s">
        <v>6802</v>
      </c>
      <c r="V48" s="14" t="s">
        <v>6803</v>
      </c>
      <c r="W48" s="14" t="s">
        <v>6804</v>
      </c>
      <c r="X48" s="14" t="s">
        <v>6805</v>
      </c>
      <c r="Y48" s="14" t="s">
        <v>6806</v>
      </c>
      <c r="Z48" s="14" t="s">
        <v>6807</v>
      </c>
      <c r="AA48" s="14" t="s">
        <v>6808</v>
      </c>
      <c r="AB48" s="14" t="s">
        <v>6809</v>
      </c>
      <c r="AC48" s="14" t="s">
        <v>99</v>
      </c>
      <c r="AD48" s="14" t="s">
        <v>99</v>
      </c>
      <c r="AE48" s="14" t="s">
        <v>99</v>
      </c>
      <c r="AF48" s="14" t="s">
        <v>99</v>
      </c>
      <c r="AG48" s="14">
        <v>70.0</v>
      </c>
      <c r="AH48" s="14">
        <v>56.0</v>
      </c>
      <c r="AI48" s="14">
        <v>70.0</v>
      </c>
      <c r="AJ48" s="14">
        <v>8.0</v>
      </c>
      <c r="AK48" s="14">
        <v>163.0</v>
      </c>
      <c r="AL48" s="14" t="s">
        <v>1731</v>
      </c>
      <c r="AM48" s="14" t="s">
        <v>1594</v>
      </c>
      <c r="AN48" s="14" t="s">
        <v>3585</v>
      </c>
      <c r="AO48" s="14" t="s">
        <v>6810</v>
      </c>
      <c r="AP48" s="14" t="s">
        <v>6811</v>
      </c>
      <c r="AQ48" s="14" t="s">
        <v>99</v>
      </c>
      <c r="AR48" s="14" t="s">
        <v>6812</v>
      </c>
      <c r="AS48" s="14" t="s">
        <v>6813</v>
      </c>
      <c r="AT48" s="14" t="s">
        <v>525</v>
      </c>
      <c r="AU48" s="14">
        <v>2009.0</v>
      </c>
      <c r="AV48" s="14">
        <v>45.0</v>
      </c>
      <c r="AW48" s="14">
        <v>6.0</v>
      </c>
      <c r="AX48" s="14" t="s">
        <v>99</v>
      </c>
      <c r="AY48" s="14" t="s">
        <v>99</v>
      </c>
      <c r="AZ48" s="14" t="s">
        <v>99</v>
      </c>
      <c r="BA48" s="14" t="s">
        <v>99</v>
      </c>
      <c r="BB48" s="14">
        <v>595.0</v>
      </c>
      <c r="BC48" s="14">
        <v>608.0</v>
      </c>
      <c r="BD48" s="14" t="s">
        <v>99</v>
      </c>
      <c r="BE48" s="14" t="s">
        <v>6814</v>
      </c>
      <c r="BF48" s="15" t="str">
        <f>HYPERLINK("http://dx.doi.org/10.1007/s00374-009-0370-2","http://dx.doi.org/10.1007/s00374-009-0370-2")</f>
        <v>http://dx.doi.org/10.1007/s00374-009-0370-2</v>
      </c>
      <c r="BG48" s="14" t="s">
        <v>99</v>
      </c>
      <c r="BH48" s="14" t="s">
        <v>99</v>
      </c>
      <c r="BI48" s="14">
        <v>14.0</v>
      </c>
      <c r="BJ48" s="14" t="s">
        <v>6815</v>
      </c>
      <c r="BK48" s="14" t="s">
        <v>122</v>
      </c>
      <c r="BL48" s="14" t="s">
        <v>2969</v>
      </c>
      <c r="BM48" s="14" t="s">
        <v>6816</v>
      </c>
      <c r="BN48" s="14" t="s">
        <v>99</v>
      </c>
      <c r="BO48" s="14" t="s">
        <v>99</v>
      </c>
      <c r="BP48" s="14" t="s">
        <v>99</v>
      </c>
      <c r="BQ48" s="14" t="s">
        <v>99</v>
      </c>
      <c r="BR48" s="14" t="s">
        <v>124</v>
      </c>
      <c r="BS48" s="14" t="s">
        <v>6817</v>
      </c>
      <c r="BT48" s="14" t="str">
        <f>HYPERLINK("https%3A%2F%2Fwww.webofscience.com%2Fwos%2Fwoscc%2Ffull-record%2FWOS:000267540800004","View Full Record in Web of Science")</f>
        <v>View Full Record in Web of Science</v>
      </c>
    </row>
    <row r="49" ht="12.75" customHeight="1">
      <c r="A49" s="14" t="s">
        <v>97</v>
      </c>
      <c r="B49" s="14" t="s">
        <v>6818</v>
      </c>
      <c r="C49" s="14" t="s">
        <v>99</v>
      </c>
      <c r="D49" s="14" t="s">
        <v>99</v>
      </c>
      <c r="E49" s="14" t="s">
        <v>99</v>
      </c>
      <c r="F49" s="14" t="s">
        <v>6819</v>
      </c>
      <c r="G49" s="14" t="s">
        <v>99</v>
      </c>
      <c r="H49" s="14" t="s">
        <v>99</v>
      </c>
      <c r="I49" s="14" t="s">
        <v>6820</v>
      </c>
      <c r="J49" s="14" t="s">
        <v>5603</v>
      </c>
      <c r="K49" s="14" t="s">
        <v>99</v>
      </c>
      <c r="L49" s="14" t="s">
        <v>99</v>
      </c>
      <c r="M49" s="14" t="s">
        <v>103</v>
      </c>
      <c r="N49" s="14" t="s">
        <v>104</v>
      </c>
      <c r="O49" s="14" t="s">
        <v>99</v>
      </c>
      <c r="P49" s="14" t="s">
        <v>99</v>
      </c>
      <c r="Q49" s="14" t="s">
        <v>99</v>
      </c>
      <c r="R49" s="14" t="s">
        <v>99</v>
      </c>
      <c r="S49" s="14" t="s">
        <v>99</v>
      </c>
      <c r="T49" s="14" t="s">
        <v>6821</v>
      </c>
      <c r="U49" s="14" t="s">
        <v>6822</v>
      </c>
      <c r="V49" s="14" t="s">
        <v>6823</v>
      </c>
      <c r="W49" s="14" t="s">
        <v>6824</v>
      </c>
      <c r="X49" s="14" t="s">
        <v>6825</v>
      </c>
      <c r="Y49" s="14" t="s">
        <v>6826</v>
      </c>
      <c r="Z49" s="14" t="s">
        <v>6827</v>
      </c>
      <c r="AA49" s="14" t="s">
        <v>6828</v>
      </c>
      <c r="AB49" s="14" t="s">
        <v>6829</v>
      </c>
      <c r="AC49" s="14" t="s">
        <v>6830</v>
      </c>
      <c r="AD49" s="14" t="s">
        <v>6830</v>
      </c>
      <c r="AE49" s="14" t="s">
        <v>6831</v>
      </c>
      <c r="AF49" s="14" t="s">
        <v>99</v>
      </c>
      <c r="AG49" s="14">
        <v>32.0</v>
      </c>
      <c r="AH49" s="14">
        <v>30.0</v>
      </c>
      <c r="AI49" s="14">
        <v>32.0</v>
      </c>
      <c r="AJ49" s="14">
        <v>0.0</v>
      </c>
      <c r="AK49" s="14">
        <v>52.0</v>
      </c>
      <c r="AL49" s="14" t="s">
        <v>441</v>
      </c>
      <c r="AM49" s="14" t="s">
        <v>442</v>
      </c>
      <c r="AN49" s="14" t="s">
        <v>443</v>
      </c>
      <c r="AO49" s="14" t="s">
        <v>5616</v>
      </c>
      <c r="AP49" s="14" t="s">
        <v>5617</v>
      </c>
      <c r="AQ49" s="14" t="s">
        <v>99</v>
      </c>
      <c r="AR49" s="14" t="s">
        <v>5618</v>
      </c>
      <c r="AS49" s="14" t="s">
        <v>5619</v>
      </c>
      <c r="AT49" s="14" t="s">
        <v>616</v>
      </c>
      <c r="AU49" s="14">
        <v>2009.0</v>
      </c>
      <c r="AV49" s="14">
        <v>131.0</v>
      </c>
      <c r="AW49" s="14" t="s">
        <v>5620</v>
      </c>
      <c r="AX49" s="14" t="s">
        <v>99</v>
      </c>
      <c r="AY49" s="14" t="s">
        <v>99</v>
      </c>
      <c r="AZ49" s="14" t="s">
        <v>99</v>
      </c>
      <c r="BA49" s="14" t="s">
        <v>99</v>
      </c>
      <c r="BB49" s="14">
        <v>315.0</v>
      </c>
      <c r="BC49" s="14">
        <v>324.0</v>
      </c>
      <c r="BD49" s="14" t="s">
        <v>99</v>
      </c>
      <c r="BE49" s="14" t="s">
        <v>6832</v>
      </c>
      <c r="BF49" s="15" t="str">
        <f>HYPERLINK("http://dx.doi.org/10.1016/j.agee.2009.02.005","http://dx.doi.org/10.1016/j.agee.2009.02.005")</f>
        <v>http://dx.doi.org/10.1016/j.agee.2009.02.005</v>
      </c>
      <c r="BG49" s="14" t="s">
        <v>99</v>
      </c>
      <c r="BH49" s="14" t="s">
        <v>99</v>
      </c>
      <c r="BI49" s="14">
        <v>10.0</v>
      </c>
      <c r="BJ49" s="14" t="s">
        <v>5622</v>
      </c>
      <c r="BK49" s="14" t="s">
        <v>122</v>
      </c>
      <c r="BL49" s="14" t="s">
        <v>5623</v>
      </c>
      <c r="BM49" s="14" t="s">
        <v>6833</v>
      </c>
      <c r="BN49" s="14" t="s">
        <v>99</v>
      </c>
      <c r="BO49" s="14" t="s">
        <v>99</v>
      </c>
      <c r="BP49" s="14" t="s">
        <v>99</v>
      </c>
      <c r="BQ49" s="14" t="s">
        <v>99</v>
      </c>
      <c r="BR49" s="14" t="s">
        <v>124</v>
      </c>
      <c r="BS49" s="14" t="s">
        <v>6834</v>
      </c>
      <c r="BT49" s="14" t="str">
        <f>HYPERLINK("https%3A%2F%2Fwww.webofscience.com%2Fwos%2Fwoscc%2Ffull-record%2FWOS:000265556700024","View Full Record in Web of Science")</f>
        <v>View Full Record in Web of Science</v>
      </c>
    </row>
    <row r="50" ht="12.75" customHeight="1">
      <c r="A50" s="14" t="s">
        <v>97</v>
      </c>
      <c r="B50" s="14" t="s">
        <v>6933</v>
      </c>
      <c r="C50" s="14" t="s">
        <v>99</v>
      </c>
      <c r="D50" s="14" t="s">
        <v>99</v>
      </c>
      <c r="E50" s="14" t="s">
        <v>99</v>
      </c>
      <c r="F50" s="14" t="s">
        <v>6934</v>
      </c>
      <c r="G50" s="14" t="s">
        <v>99</v>
      </c>
      <c r="H50" s="14" t="s">
        <v>99</v>
      </c>
      <c r="I50" s="14" t="s">
        <v>6935</v>
      </c>
      <c r="J50" s="14" t="s">
        <v>4736</v>
      </c>
      <c r="K50" s="14" t="s">
        <v>99</v>
      </c>
      <c r="L50" s="14" t="s">
        <v>99</v>
      </c>
      <c r="M50" s="14" t="s">
        <v>103</v>
      </c>
      <c r="N50" s="14" t="s">
        <v>104</v>
      </c>
      <c r="O50" s="14" t="s">
        <v>99</v>
      </c>
      <c r="P50" s="14" t="s">
        <v>99</v>
      </c>
      <c r="Q50" s="14" t="s">
        <v>99</v>
      </c>
      <c r="R50" s="14" t="s">
        <v>99</v>
      </c>
      <c r="S50" s="14" t="s">
        <v>99</v>
      </c>
      <c r="T50" s="14" t="s">
        <v>6936</v>
      </c>
      <c r="U50" s="14" t="s">
        <v>6937</v>
      </c>
      <c r="V50" s="14" t="s">
        <v>6938</v>
      </c>
      <c r="W50" s="14" t="s">
        <v>6939</v>
      </c>
      <c r="X50" s="14" t="s">
        <v>6940</v>
      </c>
      <c r="Y50" s="14" t="s">
        <v>6941</v>
      </c>
      <c r="Z50" s="14" t="s">
        <v>6942</v>
      </c>
      <c r="AA50" s="14" t="s">
        <v>6943</v>
      </c>
      <c r="AB50" s="14" t="s">
        <v>6944</v>
      </c>
      <c r="AC50" s="14" t="s">
        <v>6945</v>
      </c>
      <c r="AD50" s="14" t="s">
        <v>6946</v>
      </c>
      <c r="AE50" s="14" t="s">
        <v>6947</v>
      </c>
      <c r="AF50" s="14" t="s">
        <v>99</v>
      </c>
      <c r="AG50" s="14">
        <v>50.0</v>
      </c>
      <c r="AH50" s="14">
        <v>38.0</v>
      </c>
      <c r="AI50" s="14">
        <v>40.0</v>
      </c>
      <c r="AJ50" s="14">
        <v>0.0</v>
      </c>
      <c r="AK50" s="14">
        <v>25.0</v>
      </c>
      <c r="AL50" s="14" t="s">
        <v>1731</v>
      </c>
      <c r="AM50" s="14" t="s">
        <v>1732</v>
      </c>
      <c r="AN50" s="14" t="s">
        <v>1733</v>
      </c>
      <c r="AO50" s="14" t="s">
        <v>4748</v>
      </c>
      <c r="AP50" s="14" t="s">
        <v>4749</v>
      </c>
      <c r="AQ50" s="14" t="s">
        <v>99</v>
      </c>
      <c r="AR50" s="14" t="s">
        <v>4750</v>
      </c>
      <c r="AS50" s="14" t="s">
        <v>4751</v>
      </c>
      <c r="AT50" s="14" t="s">
        <v>1485</v>
      </c>
      <c r="AU50" s="14">
        <v>2009.0</v>
      </c>
      <c r="AV50" s="14">
        <v>201.0</v>
      </c>
      <c r="AW50" s="14">
        <v>1.0</v>
      </c>
      <c r="AX50" s="14" t="s">
        <v>99</v>
      </c>
      <c r="AY50" s="14" t="s">
        <v>99</v>
      </c>
      <c r="AZ50" s="14" t="s">
        <v>99</v>
      </c>
      <c r="BA50" s="14" t="s">
        <v>99</v>
      </c>
      <c r="BB50" s="14">
        <v>211.0</v>
      </c>
      <c r="BC50" s="14">
        <v>220.0</v>
      </c>
      <c r="BD50" s="14" t="s">
        <v>99</v>
      </c>
      <c r="BE50" s="14" t="s">
        <v>6948</v>
      </c>
      <c r="BF50" s="15" t="str">
        <f>HYPERLINK("http://dx.doi.org/10.1007/s11258-008-9490-2","http://dx.doi.org/10.1007/s11258-008-9490-2")</f>
        <v>http://dx.doi.org/10.1007/s11258-008-9490-2</v>
      </c>
      <c r="BG50" s="14" t="s">
        <v>99</v>
      </c>
      <c r="BH50" s="14" t="s">
        <v>99</v>
      </c>
      <c r="BI50" s="14">
        <v>10.0</v>
      </c>
      <c r="BJ50" s="14" t="s">
        <v>1141</v>
      </c>
      <c r="BK50" s="14" t="s">
        <v>122</v>
      </c>
      <c r="BL50" s="14" t="s">
        <v>1142</v>
      </c>
      <c r="BM50" s="14" t="s">
        <v>6949</v>
      </c>
      <c r="BN50" s="14" t="s">
        <v>99</v>
      </c>
      <c r="BO50" s="14" t="s">
        <v>99</v>
      </c>
      <c r="BP50" s="14" t="s">
        <v>99</v>
      </c>
      <c r="BQ50" s="14" t="s">
        <v>99</v>
      </c>
      <c r="BR50" s="14" t="s">
        <v>124</v>
      </c>
      <c r="BS50" s="14" t="s">
        <v>6950</v>
      </c>
      <c r="BT50" s="14" t="str">
        <f>HYPERLINK("https%3A%2F%2Fwww.webofscience.com%2Fwos%2Fwoscc%2Ffull-record%2FWOS:000263175800016","View Full Record in Web of Science")</f>
        <v>View Full Record in Web of Science</v>
      </c>
    </row>
    <row r="51" ht="12.75" customHeight="1">
      <c r="A51" s="14" t="s">
        <v>284</v>
      </c>
      <c r="B51" s="14" t="s">
        <v>6933</v>
      </c>
      <c r="C51" s="14" t="s">
        <v>99</v>
      </c>
      <c r="D51" s="14" t="s">
        <v>6994</v>
      </c>
      <c r="E51" s="14" t="s">
        <v>99</v>
      </c>
      <c r="F51" s="14" t="s">
        <v>6934</v>
      </c>
      <c r="G51" s="14" t="s">
        <v>99</v>
      </c>
      <c r="H51" s="14" t="s">
        <v>99</v>
      </c>
      <c r="I51" s="14" t="s">
        <v>6935</v>
      </c>
      <c r="J51" s="14" t="s">
        <v>6995</v>
      </c>
      <c r="K51" s="14" t="s">
        <v>99</v>
      </c>
      <c r="L51" s="14" t="s">
        <v>99</v>
      </c>
      <c r="M51" s="14" t="s">
        <v>103</v>
      </c>
      <c r="N51" s="14" t="s">
        <v>291</v>
      </c>
      <c r="O51" s="14" t="s">
        <v>99</v>
      </c>
      <c r="P51" s="14" t="s">
        <v>99</v>
      </c>
      <c r="Q51" s="14" t="s">
        <v>99</v>
      </c>
      <c r="R51" s="14" t="s">
        <v>99</v>
      </c>
      <c r="S51" s="14" t="s">
        <v>99</v>
      </c>
      <c r="T51" s="14" t="s">
        <v>6936</v>
      </c>
      <c r="U51" s="14" t="s">
        <v>6937</v>
      </c>
      <c r="V51" s="14" t="s">
        <v>6938</v>
      </c>
      <c r="W51" s="14" t="s">
        <v>6996</v>
      </c>
      <c r="X51" s="14" t="s">
        <v>6997</v>
      </c>
      <c r="Y51" s="14" t="s">
        <v>6941</v>
      </c>
      <c r="Z51" s="14" t="s">
        <v>6942</v>
      </c>
      <c r="AA51" s="14" t="s">
        <v>6943</v>
      </c>
      <c r="AB51" s="14" t="s">
        <v>6944</v>
      </c>
      <c r="AC51" s="14" t="s">
        <v>99</v>
      </c>
      <c r="AD51" s="14" t="s">
        <v>99</v>
      </c>
      <c r="AE51" s="14" t="s">
        <v>99</v>
      </c>
      <c r="AF51" s="14" t="s">
        <v>99</v>
      </c>
      <c r="AG51" s="14">
        <v>50.0</v>
      </c>
      <c r="AH51" s="14">
        <v>38.0</v>
      </c>
      <c r="AI51" s="14">
        <v>40.0</v>
      </c>
      <c r="AJ51" s="14">
        <v>0.0</v>
      </c>
      <c r="AK51" s="14">
        <v>25.0</v>
      </c>
      <c r="AL51" s="14" t="s">
        <v>1731</v>
      </c>
      <c r="AM51" s="14" t="s">
        <v>1594</v>
      </c>
      <c r="AN51" s="14" t="s">
        <v>6998</v>
      </c>
      <c r="AO51" s="14" t="s">
        <v>99</v>
      </c>
      <c r="AP51" s="14" t="s">
        <v>99</v>
      </c>
      <c r="AQ51" s="14" t="s">
        <v>6999</v>
      </c>
      <c r="AR51" s="14" t="s">
        <v>99</v>
      </c>
      <c r="AS51" s="14" t="s">
        <v>99</v>
      </c>
      <c r="AT51" s="14" t="s">
        <v>99</v>
      </c>
      <c r="AU51" s="14">
        <v>2009.0</v>
      </c>
      <c r="AV51" s="14" t="s">
        <v>99</v>
      </c>
      <c r="AW51" s="14" t="s">
        <v>99</v>
      </c>
      <c r="AX51" s="14" t="s">
        <v>99</v>
      </c>
      <c r="AY51" s="14" t="s">
        <v>99</v>
      </c>
      <c r="AZ51" s="14" t="s">
        <v>99</v>
      </c>
      <c r="BA51" s="14" t="s">
        <v>99</v>
      </c>
      <c r="BB51" s="14">
        <v>211.0</v>
      </c>
      <c r="BC51" s="14">
        <v>220.0</v>
      </c>
      <c r="BD51" s="14" t="s">
        <v>99</v>
      </c>
      <c r="BE51" s="14" t="s">
        <v>7000</v>
      </c>
      <c r="BF51" s="15" t="str">
        <f>HYPERLINK("http://dx.doi.org/10.1007/978-90-481-2795-5_16","http://dx.doi.org/10.1007/978-90-481-2795-5_16")</f>
        <v>http://dx.doi.org/10.1007/978-90-481-2795-5_16</v>
      </c>
      <c r="BG51" s="14" t="s">
        <v>7001</v>
      </c>
      <c r="BH51" s="14" t="s">
        <v>99</v>
      </c>
      <c r="BI51" s="14">
        <v>10.0</v>
      </c>
      <c r="BJ51" s="14" t="s">
        <v>7002</v>
      </c>
      <c r="BK51" s="14" t="s">
        <v>302</v>
      </c>
      <c r="BL51" s="14" t="s">
        <v>7003</v>
      </c>
      <c r="BM51" s="14" t="s">
        <v>7004</v>
      </c>
      <c r="BN51" s="14" t="s">
        <v>99</v>
      </c>
      <c r="BO51" s="14" t="s">
        <v>99</v>
      </c>
      <c r="BP51" s="14" t="s">
        <v>99</v>
      </c>
      <c r="BQ51" s="14" t="s">
        <v>99</v>
      </c>
      <c r="BR51" s="14" t="s">
        <v>124</v>
      </c>
      <c r="BS51" s="14" t="s">
        <v>7005</v>
      </c>
      <c r="BT51" s="14" t="str">
        <f>HYPERLINK("https%3A%2F%2Fwww.webofscience.com%2Fwos%2Fwoscc%2Ffull-record%2FWOS:000271018900016","View Full Record in Web of Science")</f>
        <v>View Full Record in Web of Science</v>
      </c>
    </row>
    <row r="52" ht="12.75" customHeight="1">
      <c r="A52" s="14" t="s">
        <v>97</v>
      </c>
      <c r="B52" s="14" t="s">
        <v>7006</v>
      </c>
      <c r="C52" s="14" t="s">
        <v>99</v>
      </c>
      <c r="D52" s="14" t="s">
        <v>99</v>
      </c>
      <c r="E52" s="14" t="s">
        <v>99</v>
      </c>
      <c r="F52" s="14" t="s">
        <v>7007</v>
      </c>
      <c r="G52" s="14" t="s">
        <v>99</v>
      </c>
      <c r="H52" s="14" t="s">
        <v>99</v>
      </c>
      <c r="I52" s="14" t="s">
        <v>7008</v>
      </c>
      <c r="J52" s="14" t="s">
        <v>3750</v>
      </c>
      <c r="K52" s="14" t="s">
        <v>99</v>
      </c>
      <c r="L52" s="14" t="s">
        <v>99</v>
      </c>
      <c r="M52" s="14" t="s">
        <v>103</v>
      </c>
      <c r="N52" s="14" t="s">
        <v>104</v>
      </c>
      <c r="O52" s="14" t="s">
        <v>99</v>
      </c>
      <c r="P52" s="14" t="s">
        <v>99</v>
      </c>
      <c r="Q52" s="14" t="s">
        <v>99</v>
      </c>
      <c r="R52" s="14" t="s">
        <v>99</v>
      </c>
      <c r="S52" s="14" t="s">
        <v>99</v>
      </c>
      <c r="T52" s="14" t="s">
        <v>7009</v>
      </c>
      <c r="U52" s="14" t="s">
        <v>7010</v>
      </c>
      <c r="V52" s="14" t="s">
        <v>7011</v>
      </c>
      <c r="W52" s="14" t="s">
        <v>7012</v>
      </c>
      <c r="X52" s="14" t="s">
        <v>4817</v>
      </c>
      <c r="Y52" s="14" t="s">
        <v>7013</v>
      </c>
      <c r="Z52" s="14" t="s">
        <v>7014</v>
      </c>
      <c r="AA52" s="14" t="s">
        <v>7015</v>
      </c>
      <c r="AB52" s="14" t="s">
        <v>7016</v>
      </c>
      <c r="AC52" s="14" t="s">
        <v>7017</v>
      </c>
      <c r="AD52" s="14" t="s">
        <v>7018</v>
      </c>
      <c r="AE52" s="14" t="s">
        <v>7019</v>
      </c>
      <c r="AF52" s="14" t="s">
        <v>99</v>
      </c>
      <c r="AG52" s="14">
        <v>40.0</v>
      </c>
      <c r="AH52" s="14">
        <v>23.0</v>
      </c>
      <c r="AI52" s="14">
        <v>27.0</v>
      </c>
      <c r="AJ52" s="14">
        <v>2.0</v>
      </c>
      <c r="AK52" s="14">
        <v>77.0</v>
      </c>
      <c r="AL52" s="14" t="s">
        <v>2917</v>
      </c>
      <c r="AM52" s="14" t="s">
        <v>2918</v>
      </c>
      <c r="AN52" s="14" t="s">
        <v>2919</v>
      </c>
      <c r="AO52" s="14" t="s">
        <v>3762</v>
      </c>
      <c r="AP52" s="14" t="s">
        <v>3763</v>
      </c>
      <c r="AQ52" s="14" t="s">
        <v>99</v>
      </c>
      <c r="AR52" s="14" t="s">
        <v>3764</v>
      </c>
      <c r="AS52" s="14" t="s">
        <v>3765</v>
      </c>
      <c r="AT52" s="14" t="s">
        <v>99</v>
      </c>
      <c r="AU52" s="14">
        <v>2009.0</v>
      </c>
      <c r="AV52" s="14">
        <v>10.0</v>
      </c>
      <c r="AW52" s="14">
        <v>8.0</v>
      </c>
      <c r="AX52" s="14" t="s">
        <v>99</v>
      </c>
      <c r="AY52" s="14" t="s">
        <v>99</v>
      </c>
      <c r="AZ52" s="14" t="s">
        <v>99</v>
      </c>
      <c r="BA52" s="14" t="s">
        <v>99</v>
      </c>
      <c r="BB52" s="14">
        <v>687.0</v>
      </c>
      <c r="BC52" s="14">
        <v>696.0</v>
      </c>
      <c r="BD52" s="14" t="s">
        <v>99</v>
      </c>
      <c r="BE52" s="14" t="s">
        <v>7020</v>
      </c>
      <c r="BF52" s="15" t="str">
        <f>HYPERLINK("http://dx.doi.org/10.1016/j.baae.2009.09.001","http://dx.doi.org/10.1016/j.baae.2009.09.001")</f>
        <v>http://dx.doi.org/10.1016/j.baae.2009.09.001</v>
      </c>
      <c r="BG52" s="14" t="s">
        <v>99</v>
      </c>
      <c r="BH52" s="14" t="s">
        <v>99</v>
      </c>
      <c r="BI52" s="14">
        <v>10.0</v>
      </c>
      <c r="BJ52" s="14" t="s">
        <v>259</v>
      </c>
      <c r="BK52" s="14" t="s">
        <v>122</v>
      </c>
      <c r="BL52" s="14" t="s">
        <v>260</v>
      </c>
      <c r="BM52" s="14" t="s">
        <v>7021</v>
      </c>
      <c r="BN52" s="14" t="s">
        <v>99</v>
      </c>
      <c r="BO52" s="14" t="s">
        <v>99</v>
      </c>
      <c r="BP52" s="14" t="s">
        <v>99</v>
      </c>
      <c r="BQ52" s="14" t="s">
        <v>99</v>
      </c>
      <c r="BR52" s="14" t="s">
        <v>124</v>
      </c>
      <c r="BS52" s="14" t="s">
        <v>7022</v>
      </c>
      <c r="BT52" s="14" t="str">
        <f>HYPERLINK("https%3A%2F%2Fwww.webofscience.com%2Fwos%2Fwoscc%2Ffull-record%2FWOS:000273694600001","View Full Record in Web of Science")</f>
        <v>View Full Record in Web of Science</v>
      </c>
    </row>
    <row r="53" ht="12.75" customHeight="1">
      <c r="A53" s="14" t="s">
        <v>97</v>
      </c>
      <c r="B53" s="14" t="s">
        <v>7023</v>
      </c>
      <c r="C53" s="14" t="s">
        <v>99</v>
      </c>
      <c r="D53" s="14" t="s">
        <v>99</v>
      </c>
      <c r="E53" s="14" t="s">
        <v>99</v>
      </c>
      <c r="F53" s="14" t="s">
        <v>7024</v>
      </c>
      <c r="G53" s="14" t="s">
        <v>99</v>
      </c>
      <c r="H53" s="14" t="s">
        <v>99</v>
      </c>
      <c r="I53" s="14" t="s">
        <v>7025</v>
      </c>
      <c r="J53" s="14" t="s">
        <v>3750</v>
      </c>
      <c r="K53" s="14" t="s">
        <v>99</v>
      </c>
      <c r="L53" s="14" t="s">
        <v>99</v>
      </c>
      <c r="M53" s="14" t="s">
        <v>103</v>
      </c>
      <c r="N53" s="14" t="s">
        <v>104</v>
      </c>
      <c r="O53" s="14" t="s">
        <v>99</v>
      </c>
      <c r="P53" s="14" t="s">
        <v>99</v>
      </c>
      <c r="Q53" s="14" t="s">
        <v>99</v>
      </c>
      <c r="R53" s="14" t="s">
        <v>99</v>
      </c>
      <c r="S53" s="14" t="s">
        <v>99</v>
      </c>
      <c r="T53" s="14" t="s">
        <v>7026</v>
      </c>
      <c r="U53" s="14" t="s">
        <v>7027</v>
      </c>
      <c r="V53" s="14" t="s">
        <v>7028</v>
      </c>
      <c r="W53" s="14" t="s">
        <v>7029</v>
      </c>
      <c r="X53" s="14" t="s">
        <v>7030</v>
      </c>
      <c r="Y53" s="14" t="s">
        <v>7031</v>
      </c>
      <c r="Z53" s="14" t="s">
        <v>7032</v>
      </c>
      <c r="AA53" s="14" t="s">
        <v>99</v>
      </c>
      <c r="AB53" s="14" t="s">
        <v>99</v>
      </c>
      <c r="AC53" s="14" t="s">
        <v>7033</v>
      </c>
      <c r="AD53" s="14" t="s">
        <v>7034</v>
      </c>
      <c r="AE53" s="14" t="s">
        <v>7035</v>
      </c>
      <c r="AF53" s="14" t="s">
        <v>99</v>
      </c>
      <c r="AG53" s="14">
        <v>36.0</v>
      </c>
      <c r="AH53" s="14">
        <v>79.0</v>
      </c>
      <c r="AI53" s="14">
        <v>89.0</v>
      </c>
      <c r="AJ53" s="14">
        <v>0.0</v>
      </c>
      <c r="AK53" s="14">
        <v>93.0</v>
      </c>
      <c r="AL53" s="14" t="s">
        <v>7036</v>
      </c>
      <c r="AM53" s="14" t="s">
        <v>7037</v>
      </c>
      <c r="AN53" s="14" t="s">
        <v>7038</v>
      </c>
      <c r="AO53" s="14" t="s">
        <v>3762</v>
      </c>
      <c r="AP53" s="14" t="s">
        <v>99</v>
      </c>
      <c r="AQ53" s="14" t="s">
        <v>99</v>
      </c>
      <c r="AR53" s="14" t="s">
        <v>3764</v>
      </c>
      <c r="AS53" s="14" t="s">
        <v>3765</v>
      </c>
      <c r="AT53" s="14" t="s">
        <v>99</v>
      </c>
      <c r="AU53" s="14">
        <v>2009.0</v>
      </c>
      <c r="AV53" s="14">
        <v>10.0</v>
      </c>
      <c r="AW53" s="14">
        <v>5.0</v>
      </c>
      <c r="AX53" s="14" t="s">
        <v>99</v>
      </c>
      <c r="AY53" s="14" t="s">
        <v>99</v>
      </c>
      <c r="AZ53" s="14" t="s">
        <v>99</v>
      </c>
      <c r="BA53" s="14" t="s">
        <v>99</v>
      </c>
      <c r="BB53" s="14">
        <v>447.0</v>
      </c>
      <c r="BC53" s="14">
        <v>455.0</v>
      </c>
      <c r="BD53" s="14" t="s">
        <v>99</v>
      </c>
      <c r="BE53" s="14" t="s">
        <v>7039</v>
      </c>
      <c r="BF53" s="15" t="str">
        <f>HYPERLINK("http://dx.doi.org/10.1016/j.baae.2008.10.004","http://dx.doi.org/10.1016/j.baae.2008.10.004")</f>
        <v>http://dx.doi.org/10.1016/j.baae.2008.10.004</v>
      </c>
      <c r="BG53" s="14" t="s">
        <v>99</v>
      </c>
      <c r="BH53" s="14" t="s">
        <v>99</v>
      </c>
      <c r="BI53" s="14">
        <v>9.0</v>
      </c>
      <c r="BJ53" s="14" t="s">
        <v>259</v>
      </c>
      <c r="BK53" s="14" t="s">
        <v>122</v>
      </c>
      <c r="BL53" s="14" t="s">
        <v>260</v>
      </c>
      <c r="BM53" s="14" t="s">
        <v>7040</v>
      </c>
      <c r="BN53" s="14" t="s">
        <v>99</v>
      </c>
      <c r="BO53" s="14" t="s">
        <v>99</v>
      </c>
      <c r="BP53" s="14" t="s">
        <v>99</v>
      </c>
      <c r="BQ53" s="14" t="s">
        <v>99</v>
      </c>
      <c r="BR53" s="14" t="s">
        <v>124</v>
      </c>
      <c r="BS53" s="14" t="s">
        <v>7041</v>
      </c>
      <c r="BT53" s="14" t="str">
        <f>HYPERLINK("https%3A%2F%2Fwww.webofscience.com%2Fwos%2Fwoscc%2Ffull-record%2FWOS:000268839500007","View Full Record in Web of Science")</f>
        <v>View Full Record in Web of Science</v>
      </c>
    </row>
    <row r="54" ht="12.75" customHeight="1">
      <c r="A54" s="14" t="s">
        <v>97</v>
      </c>
      <c r="B54" s="14" t="s">
        <v>7096</v>
      </c>
      <c r="C54" s="14" t="s">
        <v>99</v>
      </c>
      <c r="D54" s="14" t="s">
        <v>99</v>
      </c>
      <c r="E54" s="14" t="s">
        <v>99</v>
      </c>
      <c r="F54" s="14" t="s">
        <v>7097</v>
      </c>
      <c r="G54" s="14" t="s">
        <v>99</v>
      </c>
      <c r="H54" s="14" t="s">
        <v>99</v>
      </c>
      <c r="I54" s="14" t="s">
        <v>7098</v>
      </c>
      <c r="J54" s="14" t="s">
        <v>7099</v>
      </c>
      <c r="K54" s="14" t="s">
        <v>99</v>
      </c>
      <c r="L54" s="14" t="s">
        <v>99</v>
      </c>
      <c r="M54" s="14" t="s">
        <v>103</v>
      </c>
      <c r="N54" s="14" t="s">
        <v>104</v>
      </c>
      <c r="O54" s="14" t="s">
        <v>99</v>
      </c>
      <c r="P54" s="14" t="s">
        <v>99</v>
      </c>
      <c r="Q54" s="14" t="s">
        <v>99</v>
      </c>
      <c r="R54" s="14" t="s">
        <v>99</v>
      </c>
      <c r="S54" s="14" t="s">
        <v>99</v>
      </c>
      <c r="T54" s="14" t="s">
        <v>99</v>
      </c>
      <c r="U54" s="14" t="s">
        <v>7100</v>
      </c>
      <c r="V54" s="14" t="s">
        <v>7101</v>
      </c>
      <c r="W54" s="14" t="s">
        <v>7102</v>
      </c>
      <c r="X54" s="14" t="s">
        <v>7103</v>
      </c>
      <c r="Y54" s="14" t="s">
        <v>7104</v>
      </c>
      <c r="Z54" s="14" t="s">
        <v>7105</v>
      </c>
      <c r="AA54" s="14" t="s">
        <v>7106</v>
      </c>
      <c r="AB54" s="14" t="s">
        <v>99</v>
      </c>
      <c r="AC54" s="14" t="s">
        <v>99</v>
      </c>
      <c r="AD54" s="14" t="s">
        <v>99</v>
      </c>
      <c r="AE54" s="14" t="s">
        <v>99</v>
      </c>
      <c r="AF54" s="14" t="s">
        <v>99</v>
      </c>
      <c r="AG54" s="14">
        <v>61.0</v>
      </c>
      <c r="AH54" s="14">
        <v>7.0</v>
      </c>
      <c r="AI54" s="14">
        <v>9.0</v>
      </c>
      <c r="AJ54" s="14">
        <v>0.0</v>
      </c>
      <c r="AK54" s="14">
        <v>31.0</v>
      </c>
      <c r="AL54" s="14" t="s">
        <v>7107</v>
      </c>
      <c r="AM54" s="14" t="s">
        <v>7108</v>
      </c>
      <c r="AN54" s="14" t="s">
        <v>7109</v>
      </c>
      <c r="AO54" s="14" t="s">
        <v>7110</v>
      </c>
      <c r="AP54" s="14" t="s">
        <v>7111</v>
      </c>
      <c r="AQ54" s="14" t="s">
        <v>99</v>
      </c>
      <c r="AR54" s="14" t="s">
        <v>7112</v>
      </c>
      <c r="AS54" s="14" t="s">
        <v>7113</v>
      </c>
      <c r="AT54" s="14" t="s">
        <v>1058</v>
      </c>
      <c r="AU54" s="14">
        <v>2008.0</v>
      </c>
      <c r="AV54" s="14">
        <v>53.0</v>
      </c>
      <c r="AW54" s="14">
        <v>4.0</v>
      </c>
      <c r="AX54" s="14" t="s">
        <v>99</v>
      </c>
      <c r="AY54" s="14" t="s">
        <v>99</v>
      </c>
      <c r="AZ54" s="14" t="s">
        <v>99</v>
      </c>
      <c r="BA54" s="14" t="s">
        <v>99</v>
      </c>
      <c r="BB54" s="14">
        <v>431.0</v>
      </c>
      <c r="BC54" s="14">
        <v>443.0</v>
      </c>
      <c r="BD54" s="14" t="s">
        <v>99</v>
      </c>
      <c r="BE54" s="14" t="s">
        <v>7114</v>
      </c>
      <c r="BF54" s="15" t="str">
        <f>HYPERLINK("http://dx.doi.org/10.1894/CLG-10.1","http://dx.doi.org/10.1894/CLG-10.1")</f>
        <v>http://dx.doi.org/10.1894/CLG-10.1</v>
      </c>
      <c r="BG54" s="14" t="s">
        <v>99</v>
      </c>
      <c r="BH54" s="14" t="s">
        <v>99</v>
      </c>
      <c r="BI54" s="14">
        <v>13.0</v>
      </c>
      <c r="BJ54" s="14" t="s">
        <v>550</v>
      </c>
      <c r="BK54" s="14" t="s">
        <v>122</v>
      </c>
      <c r="BL54" s="14" t="s">
        <v>352</v>
      </c>
      <c r="BM54" s="14" t="s">
        <v>7115</v>
      </c>
      <c r="BN54" s="14" t="s">
        <v>99</v>
      </c>
      <c r="BO54" s="14" t="s">
        <v>99</v>
      </c>
      <c r="BP54" s="14" t="s">
        <v>99</v>
      </c>
      <c r="BQ54" s="14" t="s">
        <v>99</v>
      </c>
      <c r="BR54" s="14" t="s">
        <v>124</v>
      </c>
      <c r="BS54" s="14" t="s">
        <v>7116</v>
      </c>
      <c r="BT54" s="14" t="str">
        <f>HYPERLINK("https%3A%2F%2Fwww.webofscience.com%2Fwos%2Fwoscc%2Ffull-record%2FWOS:000261752100002","View Full Record in Web of Science")</f>
        <v>View Full Record in Web of Science</v>
      </c>
    </row>
    <row r="55" ht="12.75" customHeight="1">
      <c r="A55" s="14" t="s">
        <v>97</v>
      </c>
      <c r="B55" s="14" t="s">
        <v>7133</v>
      </c>
      <c r="C55" s="14" t="s">
        <v>99</v>
      </c>
      <c r="D55" s="14" t="s">
        <v>99</v>
      </c>
      <c r="E55" s="14" t="s">
        <v>99</v>
      </c>
      <c r="F55" s="14" t="s">
        <v>7134</v>
      </c>
      <c r="G55" s="14" t="s">
        <v>99</v>
      </c>
      <c r="H55" s="14" t="s">
        <v>99</v>
      </c>
      <c r="I55" s="14" t="s">
        <v>7135</v>
      </c>
      <c r="J55" s="14" t="s">
        <v>7136</v>
      </c>
      <c r="K55" s="14" t="s">
        <v>99</v>
      </c>
      <c r="L55" s="14" t="s">
        <v>99</v>
      </c>
      <c r="M55" s="14" t="s">
        <v>103</v>
      </c>
      <c r="N55" s="14" t="s">
        <v>104</v>
      </c>
      <c r="O55" s="14" t="s">
        <v>99</v>
      </c>
      <c r="P55" s="14" t="s">
        <v>99</v>
      </c>
      <c r="Q55" s="14" t="s">
        <v>99</v>
      </c>
      <c r="R55" s="14" t="s">
        <v>99</v>
      </c>
      <c r="S55" s="14" t="s">
        <v>99</v>
      </c>
      <c r="T55" s="14" t="s">
        <v>7137</v>
      </c>
      <c r="U55" s="14" t="s">
        <v>7138</v>
      </c>
      <c r="V55" s="14" t="s">
        <v>7139</v>
      </c>
      <c r="W55" s="14" t="s">
        <v>7140</v>
      </c>
      <c r="X55" s="14" t="s">
        <v>7141</v>
      </c>
      <c r="Y55" s="14" t="s">
        <v>7142</v>
      </c>
      <c r="Z55" s="14" t="s">
        <v>7143</v>
      </c>
      <c r="AA55" s="14" t="s">
        <v>99</v>
      </c>
      <c r="AB55" s="14" t="s">
        <v>7144</v>
      </c>
      <c r="AC55" s="14" t="s">
        <v>7145</v>
      </c>
      <c r="AD55" s="14" t="s">
        <v>7146</v>
      </c>
      <c r="AE55" s="14" t="s">
        <v>7147</v>
      </c>
      <c r="AF55" s="14" t="s">
        <v>99</v>
      </c>
      <c r="AG55" s="14">
        <v>74.0</v>
      </c>
      <c r="AH55" s="14">
        <v>10.0</v>
      </c>
      <c r="AI55" s="14">
        <v>13.0</v>
      </c>
      <c r="AJ55" s="14">
        <v>0.0</v>
      </c>
      <c r="AK55" s="14">
        <v>15.0</v>
      </c>
      <c r="AL55" s="14" t="s">
        <v>7148</v>
      </c>
      <c r="AM55" s="14" t="s">
        <v>7149</v>
      </c>
      <c r="AN55" s="14" t="s">
        <v>7150</v>
      </c>
      <c r="AO55" s="14" t="s">
        <v>7151</v>
      </c>
      <c r="AP55" s="14" t="s">
        <v>99</v>
      </c>
      <c r="AQ55" s="14" t="s">
        <v>99</v>
      </c>
      <c r="AR55" s="14" t="s">
        <v>7152</v>
      </c>
      <c r="AS55" s="14" t="s">
        <v>7153</v>
      </c>
      <c r="AT55" s="14" t="s">
        <v>3648</v>
      </c>
      <c r="AU55" s="14">
        <v>2008.0</v>
      </c>
      <c r="AV55" s="14">
        <v>1.0</v>
      </c>
      <c r="AW55" s="14" t="s">
        <v>99</v>
      </c>
      <c r="AX55" s="14" t="s">
        <v>99</v>
      </c>
      <c r="AY55" s="14" t="s">
        <v>99</v>
      </c>
      <c r="AZ55" s="14" t="s">
        <v>99</v>
      </c>
      <c r="BA55" s="14" t="s">
        <v>99</v>
      </c>
      <c r="BB55" s="14">
        <v>145.0</v>
      </c>
      <c r="BC55" s="14">
        <v>156.0</v>
      </c>
      <c r="BD55" s="14" t="s">
        <v>99</v>
      </c>
      <c r="BE55" s="14" t="s">
        <v>7154</v>
      </c>
      <c r="BF55" s="15" t="str">
        <f>HYPERLINK("http://dx.doi.org/10.3832/ifor0470-0010145","http://dx.doi.org/10.3832/ifor0470-0010145")</f>
        <v>http://dx.doi.org/10.3832/ifor0470-0010145</v>
      </c>
      <c r="BG55" s="14" t="s">
        <v>99</v>
      </c>
      <c r="BH55" s="14" t="s">
        <v>99</v>
      </c>
      <c r="BI55" s="14">
        <v>12.0</v>
      </c>
      <c r="BJ55" s="14" t="s">
        <v>281</v>
      </c>
      <c r="BK55" s="14" t="s">
        <v>122</v>
      </c>
      <c r="BL55" s="14" t="s">
        <v>281</v>
      </c>
      <c r="BM55" s="14" t="s">
        <v>7155</v>
      </c>
      <c r="BN55" s="14" t="s">
        <v>99</v>
      </c>
      <c r="BO55" s="14" t="s">
        <v>1251</v>
      </c>
      <c r="BP55" s="14" t="s">
        <v>99</v>
      </c>
      <c r="BQ55" s="14" t="s">
        <v>99</v>
      </c>
      <c r="BR55" s="14" t="s">
        <v>124</v>
      </c>
      <c r="BS55" s="14" t="s">
        <v>7156</v>
      </c>
      <c r="BT55" s="14" t="str">
        <f>HYPERLINK("https%3A%2F%2Fwww.webofscience.com%2Fwos%2Fwoscc%2Ffull-record%2FWOS:000207917400003","View Full Record in Web of Science")</f>
        <v>View Full Record in Web of Science</v>
      </c>
    </row>
    <row r="56" ht="12.75" customHeight="1">
      <c r="A56" s="14" t="s">
        <v>97</v>
      </c>
      <c r="B56" s="14" t="s">
        <v>7389</v>
      </c>
      <c r="C56" s="14" t="s">
        <v>99</v>
      </c>
      <c r="D56" s="14" t="s">
        <v>99</v>
      </c>
      <c r="E56" s="14" t="s">
        <v>99</v>
      </c>
      <c r="F56" s="14" t="s">
        <v>7390</v>
      </c>
      <c r="G56" s="14" t="s">
        <v>99</v>
      </c>
      <c r="H56" s="14" t="s">
        <v>99</v>
      </c>
      <c r="I56" s="14" t="s">
        <v>7391</v>
      </c>
      <c r="J56" s="14" t="s">
        <v>7392</v>
      </c>
      <c r="K56" s="14" t="s">
        <v>99</v>
      </c>
      <c r="L56" s="14" t="s">
        <v>99</v>
      </c>
      <c r="M56" s="14" t="s">
        <v>103</v>
      </c>
      <c r="N56" s="14" t="s">
        <v>104</v>
      </c>
      <c r="O56" s="14" t="s">
        <v>99</v>
      </c>
      <c r="P56" s="14" t="s">
        <v>99</v>
      </c>
      <c r="Q56" s="14" t="s">
        <v>99</v>
      </c>
      <c r="R56" s="14" t="s">
        <v>99</v>
      </c>
      <c r="S56" s="14" t="s">
        <v>99</v>
      </c>
      <c r="T56" s="14" t="s">
        <v>7393</v>
      </c>
      <c r="U56" s="14" t="s">
        <v>7394</v>
      </c>
      <c r="V56" s="14" t="s">
        <v>7395</v>
      </c>
      <c r="W56" s="14" t="s">
        <v>7396</v>
      </c>
      <c r="X56" s="14" t="s">
        <v>7397</v>
      </c>
      <c r="Y56" s="14" t="s">
        <v>7398</v>
      </c>
      <c r="Z56" s="14" t="s">
        <v>7399</v>
      </c>
      <c r="AA56" s="14" t="s">
        <v>7400</v>
      </c>
      <c r="AB56" s="14" t="s">
        <v>7401</v>
      </c>
      <c r="AC56" s="14" t="s">
        <v>99</v>
      </c>
      <c r="AD56" s="14" t="s">
        <v>99</v>
      </c>
      <c r="AE56" s="14" t="s">
        <v>99</v>
      </c>
      <c r="AF56" s="14" t="s">
        <v>99</v>
      </c>
      <c r="AG56" s="14">
        <v>44.0</v>
      </c>
      <c r="AH56" s="14">
        <v>49.0</v>
      </c>
      <c r="AI56" s="14">
        <v>57.0</v>
      </c>
      <c r="AJ56" s="14">
        <v>3.0</v>
      </c>
      <c r="AK56" s="14">
        <v>51.0</v>
      </c>
      <c r="AL56" s="14" t="s">
        <v>7402</v>
      </c>
      <c r="AM56" s="14" t="s">
        <v>7403</v>
      </c>
      <c r="AN56" s="14" t="s">
        <v>7404</v>
      </c>
      <c r="AO56" s="14" t="s">
        <v>7405</v>
      </c>
      <c r="AP56" s="14" t="s">
        <v>99</v>
      </c>
      <c r="AQ56" s="14" t="s">
        <v>99</v>
      </c>
      <c r="AR56" s="14" t="s">
        <v>7406</v>
      </c>
      <c r="AS56" s="14" t="s">
        <v>7407</v>
      </c>
      <c r="AT56" s="14" t="s">
        <v>525</v>
      </c>
      <c r="AU56" s="14">
        <v>2008.0</v>
      </c>
      <c r="AV56" s="14">
        <v>23.0</v>
      </c>
      <c r="AW56" s="14">
        <v>4.0</v>
      </c>
      <c r="AX56" s="14" t="s">
        <v>99</v>
      </c>
      <c r="AY56" s="14" t="s">
        <v>99</v>
      </c>
      <c r="AZ56" s="14" t="s">
        <v>99</v>
      </c>
      <c r="BA56" s="14" t="s">
        <v>99</v>
      </c>
      <c r="BB56" s="14">
        <v>657.0</v>
      </c>
      <c r="BC56" s="14">
        <v>663.0</v>
      </c>
      <c r="BD56" s="14" t="s">
        <v>99</v>
      </c>
      <c r="BE56" s="14" t="s">
        <v>7408</v>
      </c>
      <c r="BF56" s="15" t="str">
        <f>HYPERLINK("http://dx.doi.org/10.1007/s11284-007-0423-7","http://dx.doi.org/10.1007/s11284-007-0423-7")</f>
        <v>http://dx.doi.org/10.1007/s11284-007-0423-7</v>
      </c>
      <c r="BG56" s="14" t="s">
        <v>99</v>
      </c>
      <c r="BH56" s="14" t="s">
        <v>99</v>
      </c>
      <c r="BI56" s="14">
        <v>7.0</v>
      </c>
      <c r="BJ56" s="14" t="s">
        <v>259</v>
      </c>
      <c r="BK56" s="14" t="s">
        <v>122</v>
      </c>
      <c r="BL56" s="14" t="s">
        <v>260</v>
      </c>
      <c r="BM56" s="14" t="s">
        <v>7409</v>
      </c>
      <c r="BN56" s="14" t="s">
        <v>99</v>
      </c>
      <c r="BO56" s="14" t="s">
        <v>99</v>
      </c>
      <c r="BP56" s="14" t="s">
        <v>99</v>
      </c>
      <c r="BQ56" s="14" t="s">
        <v>99</v>
      </c>
      <c r="BR56" s="14" t="s">
        <v>124</v>
      </c>
      <c r="BS56" s="14" t="s">
        <v>7410</v>
      </c>
      <c r="BT56" s="14" t="str">
        <f>HYPERLINK("https%3A%2F%2Fwww.webofscience.com%2Fwos%2Fwoscc%2Ffull-record%2FWOS:000257395300003","View Full Record in Web of Science")</f>
        <v>View Full Record in Web of Science</v>
      </c>
    </row>
    <row r="57" ht="12.75" customHeight="1">
      <c r="A57" s="14" t="s">
        <v>97</v>
      </c>
      <c r="B57" s="14" t="s">
        <v>7411</v>
      </c>
      <c r="C57" s="14" t="s">
        <v>99</v>
      </c>
      <c r="D57" s="14" t="s">
        <v>99</v>
      </c>
      <c r="E57" s="14" t="s">
        <v>99</v>
      </c>
      <c r="F57" s="14" t="s">
        <v>7412</v>
      </c>
      <c r="G57" s="14" t="s">
        <v>99</v>
      </c>
      <c r="H57" s="14" t="s">
        <v>99</v>
      </c>
      <c r="I57" s="14" t="s">
        <v>7413</v>
      </c>
      <c r="J57" s="14" t="s">
        <v>1721</v>
      </c>
      <c r="K57" s="14" t="s">
        <v>99</v>
      </c>
      <c r="L57" s="14" t="s">
        <v>99</v>
      </c>
      <c r="M57" s="14" t="s">
        <v>103</v>
      </c>
      <c r="N57" s="14" t="s">
        <v>104</v>
      </c>
      <c r="O57" s="14" t="s">
        <v>99</v>
      </c>
      <c r="P57" s="14" t="s">
        <v>99</v>
      </c>
      <c r="Q57" s="14" t="s">
        <v>99</v>
      </c>
      <c r="R57" s="14" t="s">
        <v>99</v>
      </c>
      <c r="S57" s="14" t="s">
        <v>99</v>
      </c>
      <c r="T57" s="14" t="s">
        <v>7414</v>
      </c>
      <c r="U57" s="14" t="s">
        <v>7415</v>
      </c>
      <c r="V57" s="14" t="s">
        <v>7416</v>
      </c>
      <c r="W57" s="14" t="s">
        <v>7417</v>
      </c>
      <c r="X57" s="14" t="s">
        <v>7418</v>
      </c>
      <c r="Y57" s="14" t="s">
        <v>7419</v>
      </c>
      <c r="Z57" s="14" t="s">
        <v>7420</v>
      </c>
      <c r="AA57" s="14" t="s">
        <v>7421</v>
      </c>
      <c r="AB57" s="14" t="s">
        <v>99</v>
      </c>
      <c r="AC57" s="14" t="s">
        <v>99</v>
      </c>
      <c r="AD57" s="14" t="s">
        <v>99</v>
      </c>
      <c r="AE57" s="14" t="s">
        <v>99</v>
      </c>
      <c r="AF57" s="14" t="s">
        <v>99</v>
      </c>
      <c r="AG57" s="14">
        <v>38.0</v>
      </c>
      <c r="AH57" s="14">
        <v>66.0</v>
      </c>
      <c r="AI57" s="14">
        <v>81.0</v>
      </c>
      <c r="AJ57" s="14">
        <v>0.0</v>
      </c>
      <c r="AK57" s="14">
        <v>80.0</v>
      </c>
      <c r="AL57" s="14" t="s">
        <v>1731</v>
      </c>
      <c r="AM57" s="14" t="s">
        <v>1732</v>
      </c>
      <c r="AN57" s="14" t="s">
        <v>1733</v>
      </c>
      <c r="AO57" s="14" t="s">
        <v>1734</v>
      </c>
      <c r="AP57" s="14" t="s">
        <v>1735</v>
      </c>
      <c r="AQ57" s="14" t="s">
        <v>99</v>
      </c>
      <c r="AR57" s="14" t="s">
        <v>1736</v>
      </c>
      <c r="AS57" s="14" t="s">
        <v>1737</v>
      </c>
      <c r="AT57" s="14" t="s">
        <v>525</v>
      </c>
      <c r="AU57" s="14">
        <v>2008.0</v>
      </c>
      <c r="AV57" s="14">
        <v>17.0</v>
      </c>
      <c r="AW57" s="14">
        <v>8.0</v>
      </c>
      <c r="AX57" s="14" t="s">
        <v>99</v>
      </c>
      <c r="AY57" s="14" t="s">
        <v>99</v>
      </c>
      <c r="AZ57" s="14" t="s">
        <v>99</v>
      </c>
      <c r="BA57" s="14" t="s">
        <v>99</v>
      </c>
      <c r="BB57" s="14">
        <v>1821.0</v>
      </c>
      <c r="BC57" s="14">
        <v>1835.0</v>
      </c>
      <c r="BD57" s="14" t="s">
        <v>99</v>
      </c>
      <c r="BE57" s="14" t="s">
        <v>7422</v>
      </c>
      <c r="BF57" s="15" t="str">
        <f>HYPERLINK("http://dx.doi.org/10.1007/s10531-007-9276-1","http://dx.doi.org/10.1007/s10531-007-9276-1")</f>
        <v>http://dx.doi.org/10.1007/s10531-007-9276-1</v>
      </c>
      <c r="BG57" s="14" t="s">
        <v>99</v>
      </c>
      <c r="BH57" s="14" t="s">
        <v>99</v>
      </c>
      <c r="BI57" s="14">
        <v>15.0</v>
      </c>
      <c r="BJ57" s="14" t="s">
        <v>351</v>
      </c>
      <c r="BK57" s="14" t="s">
        <v>122</v>
      </c>
      <c r="BL57" s="14" t="s">
        <v>352</v>
      </c>
      <c r="BM57" s="14" t="s">
        <v>7423</v>
      </c>
      <c r="BN57" s="14" t="s">
        <v>99</v>
      </c>
      <c r="BO57" s="14" t="s">
        <v>1118</v>
      </c>
      <c r="BP57" s="14" t="s">
        <v>99</v>
      </c>
      <c r="BQ57" s="14" t="s">
        <v>99</v>
      </c>
      <c r="BR57" s="14" t="s">
        <v>124</v>
      </c>
      <c r="BS57" s="14" t="s">
        <v>7424</v>
      </c>
      <c r="BT57" s="14" t="str">
        <f>HYPERLINK("https%3A%2F%2Fwww.webofscience.com%2Fwos%2Fwoscc%2Ffull-record%2FWOS:000257367300003","View Full Record in Web of Science")</f>
        <v>View Full Record in Web of Science</v>
      </c>
    </row>
    <row r="58" ht="12.75" customHeight="1">
      <c r="A58" s="14" t="s">
        <v>97</v>
      </c>
      <c r="B58" s="14" t="s">
        <v>7444</v>
      </c>
      <c r="C58" s="14" t="s">
        <v>99</v>
      </c>
      <c r="D58" s="14" t="s">
        <v>99</v>
      </c>
      <c r="E58" s="14" t="s">
        <v>99</v>
      </c>
      <c r="F58" s="14" t="s">
        <v>7445</v>
      </c>
      <c r="G58" s="14" t="s">
        <v>99</v>
      </c>
      <c r="H58" s="14" t="s">
        <v>99</v>
      </c>
      <c r="I58" s="14" t="s">
        <v>7446</v>
      </c>
      <c r="J58" s="14" t="s">
        <v>1721</v>
      </c>
      <c r="K58" s="14" t="s">
        <v>99</v>
      </c>
      <c r="L58" s="14" t="s">
        <v>99</v>
      </c>
      <c r="M58" s="14" t="s">
        <v>103</v>
      </c>
      <c r="N58" s="14" t="s">
        <v>104</v>
      </c>
      <c r="O58" s="14" t="s">
        <v>99</v>
      </c>
      <c r="P58" s="14" t="s">
        <v>99</v>
      </c>
      <c r="Q58" s="14" t="s">
        <v>99</v>
      </c>
      <c r="R58" s="14" t="s">
        <v>99</v>
      </c>
      <c r="S58" s="14" t="s">
        <v>99</v>
      </c>
      <c r="T58" s="14" t="s">
        <v>7447</v>
      </c>
      <c r="U58" s="14" t="s">
        <v>7448</v>
      </c>
      <c r="V58" s="14" t="s">
        <v>7449</v>
      </c>
      <c r="W58" s="14" t="s">
        <v>7450</v>
      </c>
      <c r="X58" s="14" t="s">
        <v>7451</v>
      </c>
      <c r="Y58" s="14" t="s">
        <v>7452</v>
      </c>
      <c r="Z58" s="14" t="s">
        <v>7453</v>
      </c>
      <c r="AA58" s="14" t="s">
        <v>7454</v>
      </c>
      <c r="AB58" s="14" t="s">
        <v>7455</v>
      </c>
      <c r="AC58" s="14" t="s">
        <v>99</v>
      </c>
      <c r="AD58" s="14" t="s">
        <v>99</v>
      </c>
      <c r="AE58" s="14" t="s">
        <v>99</v>
      </c>
      <c r="AF58" s="14" t="s">
        <v>99</v>
      </c>
      <c r="AG58" s="14">
        <v>44.0</v>
      </c>
      <c r="AH58" s="14">
        <v>47.0</v>
      </c>
      <c r="AI58" s="14">
        <v>54.0</v>
      </c>
      <c r="AJ58" s="14">
        <v>1.0</v>
      </c>
      <c r="AK58" s="14">
        <v>86.0</v>
      </c>
      <c r="AL58" s="14" t="s">
        <v>1731</v>
      </c>
      <c r="AM58" s="14" t="s">
        <v>1732</v>
      </c>
      <c r="AN58" s="14" t="s">
        <v>1733</v>
      </c>
      <c r="AO58" s="14" t="s">
        <v>1734</v>
      </c>
      <c r="AP58" s="14" t="s">
        <v>1735</v>
      </c>
      <c r="AQ58" s="14" t="s">
        <v>99</v>
      </c>
      <c r="AR58" s="14" t="s">
        <v>1736</v>
      </c>
      <c r="AS58" s="14" t="s">
        <v>1737</v>
      </c>
      <c r="AT58" s="14" t="s">
        <v>525</v>
      </c>
      <c r="AU58" s="14">
        <v>2008.0</v>
      </c>
      <c r="AV58" s="14">
        <v>17.0</v>
      </c>
      <c r="AW58" s="14">
        <v>8.0</v>
      </c>
      <c r="AX58" s="14" t="s">
        <v>99</v>
      </c>
      <c r="AY58" s="14" t="s">
        <v>99</v>
      </c>
      <c r="AZ58" s="14" t="s">
        <v>99</v>
      </c>
      <c r="BA58" s="14" t="s">
        <v>99</v>
      </c>
      <c r="BB58" s="14">
        <v>1805.0</v>
      </c>
      <c r="BC58" s="14">
        <v>1820.0</v>
      </c>
      <c r="BD58" s="14" t="s">
        <v>99</v>
      </c>
      <c r="BE58" s="14" t="s">
        <v>7456</v>
      </c>
      <c r="BF58" s="15" t="str">
        <f>HYPERLINK("http://dx.doi.org/10.1007/s10531-007-9267-2","http://dx.doi.org/10.1007/s10531-007-9267-2")</f>
        <v>http://dx.doi.org/10.1007/s10531-007-9267-2</v>
      </c>
      <c r="BG58" s="14" t="s">
        <v>99</v>
      </c>
      <c r="BH58" s="14" t="s">
        <v>99</v>
      </c>
      <c r="BI58" s="14">
        <v>16.0</v>
      </c>
      <c r="BJ58" s="14" t="s">
        <v>351</v>
      </c>
      <c r="BK58" s="14" t="s">
        <v>122</v>
      </c>
      <c r="BL58" s="14" t="s">
        <v>352</v>
      </c>
      <c r="BM58" s="14" t="s">
        <v>7423</v>
      </c>
      <c r="BN58" s="14" t="s">
        <v>99</v>
      </c>
      <c r="BO58" s="14" t="s">
        <v>99</v>
      </c>
      <c r="BP58" s="14" t="s">
        <v>99</v>
      </c>
      <c r="BQ58" s="14" t="s">
        <v>99</v>
      </c>
      <c r="BR58" s="14" t="s">
        <v>124</v>
      </c>
      <c r="BS58" s="14" t="s">
        <v>7457</v>
      </c>
      <c r="BT58" s="14" t="str">
        <f>HYPERLINK("https%3A%2F%2Fwww.webofscience.com%2Fwos%2Fwoscc%2Ffull-record%2FWOS:000257367300002","View Full Record in Web of Science")</f>
        <v>View Full Record in Web of Science</v>
      </c>
    </row>
    <row r="59" ht="12.75" customHeight="1">
      <c r="A59" s="14" t="s">
        <v>97</v>
      </c>
      <c r="B59" s="14" t="s">
        <v>7553</v>
      </c>
      <c r="C59" s="14" t="s">
        <v>99</v>
      </c>
      <c r="D59" s="14" t="s">
        <v>99</v>
      </c>
      <c r="E59" s="14" t="s">
        <v>99</v>
      </c>
      <c r="F59" s="14" t="s">
        <v>7554</v>
      </c>
      <c r="G59" s="14" t="s">
        <v>99</v>
      </c>
      <c r="H59" s="14" t="s">
        <v>99</v>
      </c>
      <c r="I59" s="14" t="s">
        <v>7555</v>
      </c>
      <c r="J59" s="14" t="s">
        <v>430</v>
      </c>
      <c r="K59" s="14" t="s">
        <v>99</v>
      </c>
      <c r="L59" s="14" t="s">
        <v>99</v>
      </c>
      <c r="M59" s="14" t="s">
        <v>103</v>
      </c>
      <c r="N59" s="14" t="s">
        <v>104</v>
      </c>
      <c r="O59" s="14" t="s">
        <v>99</v>
      </c>
      <c r="P59" s="14" t="s">
        <v>99</v>
      </c>
      <c r="Q59" s="14" t="s">
        <v>99</v>
      </c>
      <c r="R59" s="14" t="s">
        <v>99</v>
      </c>
      <c r="S59" s="14" t="s">
        <v>99</v>
      </c>
      <c r="T59" s="14" t="s">
        <v>7556</v>
      </c>
      <c r="U59" s="14" t="s">
        <v>7557</v>
      </c>
      <c r="V59" s="14" t="s">
        <v>7558</v>
      </c>
      <c r="W59" s="14" t="s">
        <v>7559</v>
      </c>
      <c r="X59" s="14" t="s">
        <v>7560</v>
      </c>
      <c r="Y59" s="14" t="s">
        <v>7561</v>
      </c>
      <c r="Z59" s="14" t="s">
        <v>7562</v>
      </c>
      <c r="AA59" s="14" t="s">
        <v>7563</v>
      </c>
      <c r="AB59" s="14" t="s">
        <v>7564</v>
      </c>
      <c r="AC59" s="14" t="s">
        <v>99</v>
      </c>
      <c r="AD59" s="14" t="s">
        <v>99</v>
      </c>
      <c r="AE59" s="14" t="s">
        <v>99</v>
      </c>
      <c r="AF59" s="14" t="s">
        <v>99</v>
      </c>
      <c r="AG59" s="14">
        <v>56.0</v>
      </c>
      <c r="AH59" s="14">
        <v>50.0</v>
      </c>
      <c r="AI59" s="14">
        <v>56.0</v>
      </c>
      <c r="AJ59" s="14">
        <v>0.0</v>
      </c>
      <c r="AK59" s="14">
        <v>44.0</v>
      </c>
      <c r="AL59" s="14" t="s">
        <v>441</v>
      </c>
      <c r="AM59" s="14" t="s">
        <v>442</v>
      </c>
      <c r="AN59" s="14" t="s">
        <v>443</v>
      </c>
      <c r="AO59" s="14" t="s">
        <v>444</v>
      </c>
      <c r="AP59" s="14" t="s">
        <v>445</v>
      </c>
      <c r="AQ59" s="14" t="s">
        <v>99</v>
      </c>
      <c r="AR59" s="14" t="s">
        <v>446</v>
      </c>
      <c r="AS59" s="14" t="s">
        <v>447</v>
      </c>
      <c r="AT59" s="14" t="s">
        <v>7549</v>
      </c>
      <c r="AU59" s="14">
        <v>2008.0</v>
      </c>
      <c r="AV59" s="14">
        <v>255.0</v>
      </c>
      <c r="AW59" s="14" t="s">
        <v>7565</v>
      </c>
      <c r="AX59" s="14" t="s">
        <v>99</v>
      </c>
      <c r="AY59" s="14" t="s">
        <v>99</v>
      </c>
      <c r="AZ59" s="14" t="s">
        <v>99</v>
      </c>
      <c r="BA59" s="14" t="s">
        <v>99</v>
      </c>
      <c r="BB59" s="14">
        <v>3242.0</v>
      </c>
      <c r="BC59" s="14">
        <v>3253.0</v>
      </c>
      <c r="BD59" s="14" t="s">
        <v>99</v>
      </c>
      <c r="BE59" s="14" t="s">
        <v>7566</v>
      </c>
      <c r="BF59" s="15" t="str">
        <f>HYPERLINK("http://dx.doi.org/10.1016/j.foreco.2008.01.069","http://dx.doi.org/10.1016/j.foreco.2008.01.069")</f>
        <v>http://dx.doi.org/10.1016/j.foreco.2008.01.069</v>
      </c>
      <c r="BG59" s="14" t="s">
        <v>99</v>
      </c>
      <c r="BH59" s="14" t="s">
        <v>99</v>
      </c>
      <c r="BI59" s="14">
        <v>12.0</v>
      </c>
      <c r="BJ59" s="14" t="s">
        <v>281</v>
      </c>
      <c r="BK59" s="14" t="s">
        <v>122</v>
      </c>
      <c r="BL59" s="14" t="s">
        <v>281</v>
      </c>
      <c r="BM59" s="14" t="s">
        <v>7567</v>
      </c>
      <c r="BN59" s="14" t="s">
        <v>99</v>
      </c>
      <c r="BO59" s="14" t="s">
        <v>99</v>
      </c>
      <c r="BP59" s="14" t="s">
        <v>99</v>
      </c>
      <c r="BQ59" s="14" t="s">
        <v>99</v>
      </c>
      <c r="BR59" s="14" t="s">
        <v>124</v>
      </c>
      <c r="BS59" s="14" t="s">
        <v>7568</v>
      </c>
      <c r="BT59" s="14" t="str">
        <f>HYPERLINK("https%3A%2F%2Fwww.webofscience.com%2Fwos%2Fwoscc%2Ffull-record%2FWOS:000256288800015","View Full Record in Web of Science")</f>
        <v>View Full Record in Web of Science</v>
      </c>
    </row>
    <row r="60" ht="12.75" customHeight="1">
      <c r="A60" s="14" t="s">
        <v>97</v>
      </c>
      <c r="B60" s="14" t="s">
        <v>7569</v>
      </c>
      <c r="C60" s="14" t="s">
        <v>99</v>
      </c>
      <c r="D60" s="14" t="s">
        <v>99</v>
      </c>
      <c r="E60" s="14" t="s">
        <v>99</v>
      </c>
      <c r="F60" s="14" t="s">
        <v>7570</v>
      </c>
      <c r="G60" s="14" t="s">
        <v>99</v>
      </c>
      <c r="H60" s="14" t="s">
        <v>99</v>
      </c>
      <c r="I60" s="14" t="s">
        <v>7571</v>
      </c>
      <c r="J60" s="14" t="s">
        <v>5603</v>
      </c>
      <c r="K60" s="14" t="s">
        <v>99</v>
      </c>
      <c r="L60" s="14" t="s">
        <v>99</v>
      </c>
      <c r="M60" s="14" t="s">
        <v>103</v>
      </c>
      <c r="N60" s="14" t="s">
        <v>104</v>
      </c>
      <c r="O60" s="14" t="s">
        <v>99</v>
      </c>
      <c r="P60" s="14" t="s">
        <v>99</v>
      </c>
      <c r="Q60" s="14" t="s">
        <v>99</v>
      </c>
      <c r="R60" s="14" t="s">
        <v>99</v>
      </c>
      <c r="S60" s="14" t="s">
        <v>99</v>
      </c>
      <c r="T60" s="14" t="s">
        <v>7572</v>
      </c>
      <c r="U60" s="14" t="s">
        <v>7573</v>
      </c>
      <c r="V60" s="14" t="s">
        <v>7574</v>
      </c>
      <c r="W60" s="14" t="s">
        <v>7575</v>
      </c>
      <c r="X60" s="14" t="s">
        <v>7576</v>
      </c>
      <c r="Y60" s="14" t="s">
        <v>7577</v>
      </c>
      <c r="Z60" s="14" t="s">
        <v>7578</v>
      </c>
      <c r="AA60" s="14" t="s">
        <v>7579</v>
      </c>
      <c r="AB60" s="14" t="s">
        <v>7580</v>
      </c>
      <c r="AC60" s="14" t="s">
        <v>99</v>
      </c>
      <c r="AD60" s="14" t="s">
        <v>99</v>
      </c>
      <c r="AE60" s="14" t="s">
        <v>99</v>
      </c>
      <c r="AF60" s="14" t="s">
        <v>99</v>
      </c>
      <c r="AG60" s="14">
        <v>25.0</v>
      </c>
      <c r="AH60" s="14">
        <v>34.0</v>
      </c>
      <c r="AI60" s="14">
        <v>44.0</v>
      </c>
      <c r="AJ60" s="14">
        <v>0.0</v>
      </c>
      <c r="AK60" s="14">
        <v>63.0</v>
      </c>
      <c r="AL60" s="14" t="s">
        <v>1033</v>
      </c>
      <c r="AM60" s="14" t="s">
        <v>442</v>
      </c>
      <c r="AN60" s="14" t="s">
        <v>1034</v>
      </c>
      <c r="AO60" s="14" t="s">
        <v>5616</v>
      </c>
      <c r="AP60" s="14" t="s">
        <v>99</v>
      </c>
      <c r="AQ60" s="14" t="s">
        <v>99</v>
      </c>
      <c r="AR60" s="14" t="s">
        <v>5618</v>
      </c>
      <c r="AS60" s="14" t="s">
        <v>5619</v>
      </c>
      <c r="AT60" s="14" t="s">
        <v>640</v>
      </c>
      <c r="AU60" s="14">
        <v>2008.0</v>
      </c>
      <c r="AV60" s="14">
        <v>125.0</v>
      </c>
      <c r="AW60" s="14" t="s">
        <v>7581</v>
      </c>
      <c r="AX60" s="14" t="s">
        <v>99</v>
      </c>
      <c r="AY60" s="14" t="s">
        <v>99</v>
      </c>
      <c r="AZ60" s="14" t="s">
        <v>99</v>
      </c>
      <c r="BA60" s="14" t="s">
        <v>99</v>
      </c>
      <c r="BB60" s="14">
        <v>239.0</v>
      </c>
      <c r="BC60" s="14">
        <v>245.0</v>
      </c>
      <c r="BD60" s="14" t="s">
        <v>99</v>
      </c>
      <c r="BE60" s="14" t="s">
        <v>7582</v>
      </c>
      <c r="BF60" s="15" t="str">
        <f>HYPERLINK("http://dx.doi.org/10.1016/j.agee.2008.01.005","http://dx.doi.org/10.1016/j.agee.2008.01.005")</f>
        <v>http://dx.doi.org/10.1016/j.agee.2008.01.005</v>
      </c>
      <c r="BG60" s="14" t="s">
        <v>99</v>
      </c>
      <c r="BH60" s="14" t="s">
        <v>99</v>
      </c>
      <c r="BI60" s="14">
        <v>7.0</v>
      </c>
      <c r="BJ60" s="14" t="s">
        <v>5622</v>
      </c>
      <c r="BK60" s="14" t="s">
        <v>122</v>
      </c>
      <c r="BL60" s="14" t="s">
        <v>5623</v>
      </c>
      <c r="BM60" s="14" t="s">
        <v>7583</v>
      </c>
      <c r="BN60" s="14" t="s">
        <v>99</v>
      </c>
      <c r="BO60" s="14" t="s">
        <v>99</v>
      </c>
      <c r="BP60" s="14" t="s">
        <v>99</v>
      </c>
      <c r="BQ60" s="14" t="s">
        <v>99</v>
      </c>
      <c r="BR60" s="14" t="s">
        <v>124</v>
      </c>
      <c r="BS60" s="14" t="s">
        <v>7584</v>
      </c>
      <c r="BT60" s="14" t="str">
        <f>HYPERLINK("https%3A%2F%2Fwww.webofscience.com%2Fwos%2Fwoscc%2Ffull-record%2FWOS:000255134500025","View Full Record in Web of Science")</f>
        <v>View Full Record in Web of Science</v>
      </c>
    </row>
    <row r="61" ht="12.75" customHeight="1">
      <c r="A61" s="14" t="s">
        <v>97</v>
      </c>
      <c r="B61" s="14" t="s">
        <v>7656</v>
      </c>
      <c r="C61" s="14" t="s">
        <v>99</v>
      </c>
      <c r="D61" s="14" t="s">
        <v>99</v>
      </c>
      <c r="E61" s="14" t="s">
        <v>99</v>
      </c>
      <c r="F61" s="14" t="s">
        <v>7657</v>
      </c>
      <c r="G61" s="14" t="s">
        <v>99</v>
      </c>
      <c r="H61" s="14" t="s">
        <v>99</v>
      </c>
      <c r="I61" s="14" t="s">
        <v>7658</v>
      </c>
      <c r="J61" s="14" t="s">
        <v>7659</v>
      </c>
      <c r="K61" s="14" t="s">
        <v>99</v>
      </c>
      <c r="L61" s="14" t="s">
        <v>99</v>
      </c>
      <c r="M61" s="14" t="s">
        <v>103</v>
      </c>
      <c r="N61" s="14" t="s">
        <v>104</v>
      </c>
      <c r="O61" s="14" t="s">
        <v>99</v>
      </c>
      <c r="P61" s="14" t="s">
        <v>99</v>
      </c>
      <c r="Q61" s="14" t="s">
        <v>99</v>
      </c>
      <c r="R61" s="14" t="s">
        <v>99</v>
      </c>
      <c r="S61" s="14" t="s">
        <v>99</v>
      </c>
      <c r="T61" s="14" t="s">
        <v>7660</v>
      </c>
      <c r="U61" s="14" t="s">
        <v>7661</v>
      </c>
      <c r="V61" s="14" t="s">
        <v>7662</v>
      </c>
      <c r="W61" s="14" t="s">
        <v>7663</v>
      </c>
      <c r="X61" s="14" t="s">
        <v>7664</v>
      </c>
      <c r="Y61" s="14" t="s">
        <v>7665</v>
      </c>
      <c r="Z61" s="14" t="s">
        <v>7666</v>
      </c>
      <c r="AA61" s="14" t="s">
        <v>99</v>
      </c>
      <c r="AB61" s="14" t="s">
        <v>7667</v>
      </c>
      <c r="AC61" s="14" t="s">
        <v>99</v>
      </c>
      <c r="AD61" s="14" t="s">
        <v>99</v>
      </c>
      <c r="AE61" s="14" t="s">
        <v>99</v>
      </c>
      <c r="AF61" s="14" t="s">
        <v>99</v>
      </c>
      <c r="AG61" s="14">
        <v>61.0</v>
      </c>
      <c r="AH61" s="14">
        <v>111.0</v>
      </c>
      <c r="AI61" s="14">
        <v>128.0</v>
      </c>
      <c r="AJ61" s="14">
        <v>0.0</v>
      </c>
      <c r="AK61" s="14">
        <v>75.0</v>
      </c>
      <c r="AL61" s="14" t="s">
        <v>1731</v>
      </c>
      <c r="AM61" s="14" t="s">
        <v>1732</v>
      </c>
      <c r="AN61" s="14" t="s">
        <v>1733</v>
      </c>
      <c r="AO61" s="14" t="s">
        <v>7668</v>
      </c>
      <c r="AP61" s="14" t="s">
        <v>7669</v>
      </c>
      <c r="AQ61" s="14" t="s">
        <v>99</v>
      </c>
      <c r="AR61" s="14" t="s">
        <v>7670</v>
      </c>
      <c r="AS61" s="14" t="s">
        <v>7671</v>
      </c>
      <c r="AT61" s="14" t="s">
        <v>718</v>
      </c>
      <c r="AU61" s="14">
        <v>2008.0</v>
      </c>
      <c r="AV61" s="14">
        <v>12.0</v>
      </c>
      <c r="AW61" s="14">
        <v>2.0</v>
      </c>
      <c r="AX61" s="14" t="s">
        <v>99</v>
      </c>
      <c r="AY61" s="14" t="s">
        <v>99</v>
      </c>
      <c r="AZ61" s="14" t="s">
        <v>99</v>
      </c>
      <c r="BA61" s="14" t="s">
        <v>99</v>
      </c>
      <c r="BB61" s="14">
        <v>107.0</v>
      </c>
      <c r="BC61" s="14">
        <v>124.0</v>
      </c>
      <c r="BD61" s="14" t="s">
        <v>99</v>
      </c>
      <c r="BE61" s="14" t="s">
        <v>7672</v>
      </c>
      <c r="BF61" s="15" t="str">
        <f>HYPERLINK("http://dx.doi.org/10.1007/s10841-006-9065-2","http://dx.doi.org/10.1007/s10841-006-9065-2")</f>
        <v>http://dx.doi.org/10.1007/s10841-006-9065-2</v>
      </c>
      <c r="BG61" s="14" t="s">
        <v>99</v>
      </c>
      <c r="BH61" s="14" t="s">
        <v>99</v>
      </c>
      <c r="BI61" s="14">
        <v>18.0</v>
      </c>
      <c r="BJ61" s="14" t="s">
        <v>7673</v>
      </c>
      <c r="BK61" s="14" t="s">
        <v>122</v>
      </c>
      <c r="BL61" s="14" t="s">
        <v>7674</v>
      </c>
      <c r="BM61" s="14" t="s">
        <v>7675</v>
      </c>
      <c r="BN61" s="14" t="s">
        <v>99</v>
      </c>
      <c r="BO61" s="14" t="s">
        <v>99</v>
      </c>
      <c r="BP61" s="14" t="s">
        <v>99</v>
      </c>
      <c r="BQ61" s="14" t="s">
        <v>99</v>
      </c>
      <c r="BR61" s="14" t="s">
        <v>124</v>
      </c>
      <c r="BS61" s="14" t="s">
        <v>7676</v>
      </c>
      <c r="BT61" s="14" t="str">
        <f>HYPERLINK("https%3A%2F%2Fwww.webofscience.com%2Fwos%2Fwoscc%2Ffull-record%2FWOS:000253572400003","View Full Record in Web of Science")</f>
        <v>View Full Record in Web of Science</v>
      </c>
    </row>
    <row r="62" ht="12.75" customHeight="1">
      <c r="A62" s="14" t="s">
        <v>97</v>
      </c>
      <c r="B62" s="14" t="s">
        <v>7758</v>
      </c>
      <c r="C62" s="14" t="s">
        <v>99</v>
      </c>
      <c r="D62" s="14" t="s">
        <v>99</v>
      </c>
      <c r="E62" s="14" t="s">
        <v>99</v>
      </c>
      <c r="F62" s="14" t="s">
        <v>7759</v>
      </c>
      <c r="G62" s="14" t="s">
        <v>99</v>
      </c>
      <c r="H62" s="14" t="s">
        <v>99</v>
      </c>
      <c r="I62" s="14" t="s">
        <v>7760</v>
      </c>
      <c r="J62" s="14" t="s">
        <v>430</v>
      </c>
      <c r="K62" s="14" t="s">
        <v>99</v>
      </c>
      <c r="L62" s="14" t="s">
        <v>99</v>
      </c>
      <c r="M62" s="14" t="s">
        <v>103</v>
      </c>
      <c r="N62" s="14" t="s">
        <v>104</v>
      </c>
      <c r="O62" s="14" t="s">
        <v>99</v>
      </c>
      <c r="P62" s="14" t="s">
        <v>99</v>
      </c>
      <c r="Q62" s="14" t="s">
        <v>99</v>
      </c>
      <c r="R62" s="14" t="s">
        <v>99</v>
      </c>
      <c r="S62" s="14" t="s">
        <v>99</v>
      </c>
      <c r="T62" s="14" t="s">
        <v>7761</v>
      </c>
      <c r="U62" s="14" t="s">
        <v>7762</v>
      </c>
      <c r="V62" s="14" t="s">
        <v>7763</v>
      </c>
      <c r="W62" s="14" t="s">
        <v>7764</v>
      </c>
      <c r="X62" s="14" t="s">
        <v>7765</v>
      </c>
      <c r="Y62" s="14" t="s">
        <v>7766</v>
      </c>
      <c r="Z62" s="14" t="s">
        <v>7767</v>
      </c>
      <c r="AA62" s="14" t="s">
        <v>99</v>
      </c>
      <c r="AB62" s="14" t="s">
        <v>99</v>
      </c>
      <c r="AC62" s="14" t="s">
        <v>99</v>
      </c>
      <c r="AD62" s="14" t="s">
        <v>99</v>
      </c>
      <c r="AE62" s="14" t="s">
        <v>99</v>
      </c>
      <c r="AF62" s="14" t="s">
        <v>99</v>
      </c>
      <c r="AG62" s="14">
        <v>84.0</v>
      </c>
      <c r="AH62" s="14">
        <v>43.0</v>
      </c>
      <c r="AI62" s="14">
        <v>59.0</v>
      </c>
      <c r="AJ62" s="14">
        <v>0.0</v>
      </c>
      <c r="AK62" s="14">
        <v>68.0</v>
      </c>
      <c r="AL62" s="14" t="s">
        <v>441</v>
      </c>
      <c r="AM62" s="14" t="s">
        <v>442</v>
      </c>
      <c r="AN62" s="14" t="s">
        <v>443</v>
      </c>
      <c r="AO62" s="14" t="s">
        <v>444</v>
      </c>
      <c r="AP62" s="14" t="s">
        <v>445</v>
      </c>
      <c r="AQ62" s="14" t="s">
        <v>99</v>
      </c>
      <c r="AR62" s="14" t="s">
        <v>446</v>
      </c>
      <c r="AS62" s="14" t="s">
        <v>447</v>
      </c>
      <c r="AT62" s="14" t="s">
        <v>7768</v>
      </c>
      <c r="AU62" s="14">
        <v>2008.0</v>
      </c>
      <c r="AV62" s="14">
        <v>254.0</v>
      </c>
      <c r="AW62" s="14">
        <v>2.0</v>
      </c>
      <c r="AX62" s="14" t="s">
        <v>99</v>
      </c>
      <c r="AY62" s="14" t="s">
        <v>99</v>
      </c>
      <c r="AZ62" s="14" t="s">
        <v>99</v>
      </c>
      <c r="BA62" s="14" t="s">
        <v>99</v>
      </c>
      <c r="BB62" s="14">
        <v>239.0</v>
      </c>
      <c r="BC62" s="14">
        <v>254.0</v>
      </c>
      <c r="BD62" s="14" t="s">
        <v>99</v>
      </c>
      <c r="BE62" s="14" t="s">
        <v>7769</v>
      </c>
      <c r="BF62" s="15" t="str">
        <f>HYPERLINK("http://dx.doi.org/10.1016/j.foreco.2007.08.005","http://dx.doi.org/10.1016/j.foreco.2007.08.005")</f>
        <v>http://dx.doi.org/10.1016/j.foreco.2007.08.005</v>
      </c>
      <c r="BG62" s="14" t="s">
        <v>99</v>
      </c>
      <c r="BH62" s="14" t="s">
        <v>99</v>
      </c>
      <c r="BI62" s="14">
        <v>16.0</v>
      </c>
      <c r="BJ62" s="14" t="s">
        <v>281</v>
      </c>
      <c r="BK62" s="14" t="s">
        <v>122</v>
      </c>
      <c r="BL62" s="14" t="s">
        <v>281</v>
      </c>
      <c r="BM62" s="14" t="s">
        <v>7770</v>
      </c>
      <c r="BN62" s="14" t="s">
        <v>99</v>
      </c>
      <c r="BO62" s="14" t="s">
        <v>99</v>
      </c>
      <c r="BP62" s="14" t="s">
        <v>99</v>
      </c>
      <c r="BQ62" s="14" t="s">
        <v>99</v>
      </c>
      <c r="BR62" s="14" t="s">
        <v>124</v>
      </c>
      <c r="BS62" s="14" t="s">
        <v>7771</v>
      </c>
      <c r="BT62" s="14" t="str">
        <f>HYPERLINK("https%3A%2F%2Fwww.webofscience.com%2Fwos%2Fwoscc%2Ffull-record%2FWOS:000252763100014","View Full Record in Web of Science")</f>
        <v>View Full Record in Web of Science</v>
      </c>
    </row>
    <row r="63" ht="12.75" customHeight="1">
      <c r="A63" s="14" t="s">
        <v>97</v>
      </c>
      <c r="B63" s="14" t="s">
        <v>7909</v>
      </c>
      <c r="C63" s="14" t="s">
        <v>99</v>
      </c>
      <c r="D63" s="14" t="s">
        <v>99</v>
      </c>
      <c r="E63" s="14" t="s">
        <v>99</v>
      </c>
      <c r="F63" s="14" t="s">
        <v>7910</v>
      </c>
      <c r="G63" s="14" t="s">
        <v>99</v>
      </c>
      <c r="H63" s="14" t="s">
        <v>99</v>
      </c>
      <c r="I63" s="14" t="s">
        <v>7911</v>
      </c>
      <c r="J63" s="14" t="s">
        <v>1123</v>
      </c>
      <c r="K63" s="14" t="s">
        <v>99</v>
      </c>
      <c r="L63" s="14" t="s">
        <v>99</v>
      </c>
      <c r="M63" s="14" t="s">
        <v>103</v>
      </c>
      <c r="N63" s="14" t="s">
        <v>104</v>
      </c>
      <c r="O63" s="14" t="s">
        <v>99</v>
      </c>
      <c r="P63" s="14" t="s">
        <v>99</v>
      </c>
      <c r="Q63" s="14" t="s">
        <v>99</v>
      </c>
      <c r="R63" s="14" t="s">
        <v>99</v>
      </c>
      <c r="S63" s="14" t="s">
        <v>99</v>
      </c>
      <c r="T63" s="14" t="s">
        <v>7912</v>
      </c>
      <c r="U63" s="14" t="s">
        <v>7913</v>
      </c>
      <c r="V63" s="14" t="s">
        <v>7914</v>
      </c>
      <c r="W63" s="14" t="s">
        <v>7915</v>
      </c>
      <c r="X63" s="14" t="s">
        <v>7916</v>
      </c>
      <c r="Y63" s="14" t="s">
        <v>7917</v>
      </c>
      <c r="Z63" s="14" t="s">
        <v>7918</v>
      </c>
      <c r="AA63" s="14" t="s">
        <v>99</v>
      </c>
      <c r="AB63" s="14" t="s">
        <v>99</v>
      </c>
      <c r="AC63" s="14" t="s">
        <v>99</v>
      </c>
      <c r="AD63" s="14" t="s">
        <v>99</v>
      </c>
      <c r="AE63" s="14" t="s">
        <v>99</v>
      </c>
      <c r="AF63" s="14" t="s">
        <v>99</v>
      </c>
      <c r="AG63" s="14">
        <v>48.0</v>
      </c>
      <c r="AH63" s="14">
        <v>44.0</v>
      </c>
      <c r="AI63" s="14">
        <v>47.0</v>
      </c>
      <c r="AJ63" s="14">
        <v>3.0</v>
      </c>
      <c r="AK63" s="14">
        <v>43.0</v>
      </c>
      <c r="AL63" s="14" t="s">
        <v>341</v>
      </c>
      <c r="AM63" s="14" t="s">
        <v>342</v>
      </c>
      <c r="AN63" s="14" t="s">
        <v>343</v>
      </c>
      <c r="AO63" s="14" t="s">
        <v>1136</v>
      </c>
      <c r="AP63" s="14" t="s">
        <v>1137</v>
      </c>
      <c r="AQ63" s="14" t="s">
        <v>99</v>
      </c>
      <c r="AR63" s="14" t="s">
        <v>1138</v>
      </c>
      <c r="AS63" s="14" t="s">
        <v>1139</v>
      </c>
      <c r="AT63" s="14" t="s">
        <v>2372</v>
      </c>
      <c r="AU63" s="14">
        <v>2007.0</v>
      </c>
      <c r="AV63" s="14">
        <v>18.0</v>
      </c>
      <c r="AW63" s="14">
        <v>5.0</v>
      </c>
      <c r="AX63" s="14" t="s">
        <v>99</v>
      </c>
      <c r="AY63" s="14" t="s">
        <v>99</v>
      </c>
      <c r="AZ63" s="14" t="s">
        <v>99</v>
      </c>
      <c r="BA63" s="14" t="s">
        <v>99</v>
      </c>
      <c r="BB63" s="14">
        <v>625.0</v>
      </c>
      <c r="BC63" s="14">
        <v>634.0</v>
      </c>
      <c r="BD63" s="14" t="s">
        <v>99</v>
      </c>
      <c r="BE63" s="14" t="s">
        <v>7919</v>
      </c>
      <c r="BF63" s="15" t="str">
        <f>HYPERLINK("http://dx.doi.org/10.1658/1100-9233(2007)18[625:FEOFEO]2.0.CO;2","http://dx.doi.org/10.1658/1100-9233(2007)18[625:FEOFEO]2.0.CO;2")</f>
        <v>http://dx.doi.org/10.1658/1100-9233(2007)18[625:FEOFEO]2.0.CO;2</v>
      </c>
      <c r="BG63" s="14" t="s">
        <v>99</v>
      </c>
      <c r="BH63" s="14" t="s">
        <v>99</v>
      </c>
      <c r="BI63" s="14">
        <v>10.0</v>
      </c>
      <c r="BJ63" s="14" t="s">
        <v>1141</v>
      </c>
      <c r="BK63" s="14" t="s">
        <v>122</v>
      </c>
      <c r="BL63" s="14" t="s">
        <v>1142</v>
      </c>
      <c r="BM63" s="14" t="s">
        <v>7920</v>
      </c>
      <c r="BN63" s="14" t="s">
        <v>99</v>
      </c>
      <c r="BO63" s="14" t="s">
        <v>99</v>
      </c>
      <c r="BP63" s="14" t="s">
        <v>99</v>
      </c>
      <c r="BQ63" s="14" t="s">
        <v>99</v>
      </c>
      <c r="BR63" s="14" t="s">
        <v>124</v>
      </c>
      <c r="BS63" s="14" t="s">
        <v>7921</v>
      </c>
      <c r="BT63" s="14" t="str">
        <f>HYPERLINK("https%3A%2F%2Fwww.webofscience.com%2Fwos%2Fwoscc%2Ffull-record%2FWOS:000248293400002","View Full Record in Web of Science")</f>
        <v>View Full Record in Web of Science</v>
      </c>
    </row>
    <row r="64" ht="12.75" customHeight="1">
      <c r="A64" s="14" t="s">
        <v>97</v>
      </c>
      <c r="B64" s="14" t="s">
        <v>7922</v>
      </c>
      <c r="C64" s="14" t="s">
        <v>99</v>
      </c>
      <c r="D64" s="14" t="s">
        <v>99</v>
      </c>
      <c r="E64" s="14" t="s">
        <v>99</v>
      </c>
      <c r="F64" s="14" t="s">
        <v>7923</v>
      </c>
      <c r="G64" s="14" t="s">
        <v>99</v>
      </c>
      <c r="H64" s="14" t="s">
        <v>99</v>
      </c>
      <c r="I64" s="14" t="s">
        <v>7924</v>
      </c>
      <c r="J64" s="14" t="s">
        <v>7925</v>
      </c>
      <c r="K64" s="14" t="s">
        <v>99</v>
      </c>
      <c r="L64" s="14" t="s">
        <v>99</v>
      </c>
      <c r="M64" s="14" t="s">
        <v>103</v>
      </c>
      <c r="N64" s="14" t="s">
        <v>104</v>
      </c>
      <c r="O64" s="14" t="s">
        <v>99</v>
      </c>
      <c r="P64" s="14" t="s">
        <v>99</v>
      </c>
      <c r="Q64" s="14" t="s">
        <v>99</v>
      </c>
      <c r="R64" s="14" t="s">
        <v>99</v>
      </c>
      <c r="S64" s="14" t="s">
        <v>99</v>
      </c>
      <c r="T64" s="14" t="s">
        <v>7926</v>
      </c>
      <c r="U64" s="14" t="s">
        <v>7927</v>
      </c>
      <c r="V64" s="14" t="s">
        <v>7928</v>
      </c>
      <c r="W64" s="14" t="s">
        <v>7929</v>
      </c>
      <c r="X64" s="14" t="s">
        <v>99</v>
      </c>
      <c r="Y64" s="14" t="s">
        <v>7665</v>
      </c>
      <c r="Z64" s="14" t="s">
        <v>7930</v>
      </c>
      <c r="AA64" s="14" t="s">
        <v>99</v>
      </c>
      <c r="AB64" s="14" t="s">
        <v>7931</v>
      </c>
      <c r="AC64" s="14" t="s">
        <v>99</v>
      </c>
      <c r="AD64" s="14" t="s">
        <v>99</v>
      </c>
      <c r="AE64" s="14" t="s">
        <v>99</v>
      </c>
      <c r="AF64" s="14" t="s">
        <v>99</v>
      </c>
      <c r="AG64" s="14">
        <v>49.0</v>
      </c>
      <c r="AH64" s="14">
        <v>85.0</v>
      </c>
      <c r="AI64" s="14">
        <v>95.0</v>
      </c>
      <c r="AJ64" s="14">
        <v>0.0</v>
      </c>
      <c r="AK64" s="14">
        <v>27.0</v>
      </c>
      <c r="AL64" s="14" t="s">
        <v>1731</v>
      </c>
      <c r="AM64" s="14" t="s">
        <v>1594</v>
      </c>
      <c r="AN64" s="14" t="s">
        <v>3448</v>
      </c>
      <c r="AO64" s="14" t="s">
        <v>7932</v>
      </c>
      <c r="AP64" s="14" t="s">
        <v>7933</v>
      </c>
      <c r="AQ64" s="14" t="s">
        <v>99</v>
      </c>
      <c r="AR64" s="14" t="s">
        <v>7934</v>
      </c>
      <c r="AS64" s="14" t="s">
        <v>7935</v>
      </c>
      <c r="AT64" s="14" t="s">
        <v>2372</v>
      </c>
      <c r="AU64" s="14">
        <v>2007.0</v>
      </c>
      <c r="AV64" s="14">
        <v>126.0</v>
      </c>
      <c r="AW64" s="14">
        <v>4.0</v>
      </c>
      <c r="AX64" s="14" t="s">
        <v>99</v>
      </c>
      <c r="AY64" s="14" t="s">
        <v>99</v>
      </c>
      <c r="AZ64" s="14" t="s">
        <v>99</v>
      </c>
      <c r="BA64" s="14" t="s">
        <v>99</v>
      </c>
      <c r="BB64" s="14">
        <v>513.0</v>
      </c>
      <c r="BC64" s="14">
        <v>527.0</v>
      </c>
      <c r="BD64" s="14" t="s">
        <v>99</v>
      </c>
      <c r="BE64" s="14" t="s">
        <v>7936</v>
      </c>
      <c r="BF64" s="15" t="str">
        <f>HYPERLINK("http://dx.doi.org/10.1007/s10342-007-0173-7","http://dx.doi.org/10.1007/s10342-007-0173-7")</f>
        <v>http://dx.doi.org/10.1007/s10342-007-0173-7</v>
      </c>
      <c r="BG64" s="14" t="s">
        <v>99</v>
      </c>
      <c r="BH64" s="14" t="s">
        <v>99</v>
      </c>
      <c r="BI64" s="14">
        <v>15.0</v>
      </c>
      <c r="BJ64" s="14" t="s">
        <v>281</v>
      </c>
      <c r="BK64" s="14" t="s">
        <v>122</v>
      </c>
      <c r="BL64" s="14" t="s">
        <v>281</v>
      </c>
      <c r="BM64" s="14" t="s">
        <v>7937</v>
      </c>
      <c r="BN64" s="14" t="s">
        <v>99</v>
      </c>
      <c r="BO64" s="14" t="s">
        <v>99</v>
      </c>
      <c r="BP64" s="14" t="s">
        <v>99</v>
      </c>
      <c r="BQ64" s="14" t="s">
        <v>99</v>
      </c>
      <c r="BR64" s="14" t="s">
        <v>124</v>
      </c>
      <c r="BS64" s="14" t="s">
        <v>7938</v>
      </c>
      <c r="BT64" s="14" t="str">
        <f>HYPERLINK("https%3A%2F%2Fwww.webofscience.com%2Fwos%2Fwoscc%2Ffull-record%2FWOS:000249576100005","View Full Record in Web of Science")</f>
        <v>View Full Record in Web of Science</v>
      </c>
    </row>
    <row r="65" ht="12.75" customHeight="1">
      <c r="A65" s="14" t="s">
        <v>97</v>
      </c>
      <c r="B65" s="14" t="s">
        <v>7966</v>
      </c>
      <c r="C65" s="14" t="s">
        <v>99</v>
      </c>
      <c r="D65" s="14" t="s">
        <v>99</v>
      </c>
      <c r="E65" s="14" t="s">
        <v>99</v>
      </c>
      <c r="F65" s="14" t="s">
        <v>7967</v>
      </c>
      <c r="G65" s="14" t="s">
        <v>99</v>
      </c>
      <c r="H65" s="14" t="s">
        <v>99</v>
      </c>
      <c r="I65" s="14" t="s">
        <v>7968</v>
      </c>
      <c r="J65" s="14" t="s">
        <v>1721</v>
      </c>
      <c r="K65" s="14" t="s">
        <v>99</v>
      </c>
      <c r="L65" s="14" t="s">
        <v>99</v>
      </c>
      <c r="M65" s="14" t="s">
        <v>103</v>
      </c>
      <c r="N65" s="14" t="s">
        <v>104</v>
      </c>
      <c r="O65" s="14" t="s">
        <v>99</v>
      </c>
      <c r="P65" s="14" t="s">
        <v>99</v>
      </c>
      <c r="Q65" s="14" t="s">
        <v>99</v>
      </c>
      <c r="R65" s="14" t="s">
        <v>99</v>
      </c>
      <c r="S65" s="14" t="s">
        <v>99</v>
      </c>
      <c r="T65" s="14" t="s">
        <v>7969</v>
      </c>
      <c r="U65" s="14" t="s">
        <v>7970</v>
      </c>
      <c r="V65" s="14" t="s">
        <v>7971</v>
      </c>
      <c r="W65" s="14" t="s">
        <v>7972</v>
      </c>
      <c r="X65" s="14" t="s">
        <v>7973</v>
      </c>
      <c r="Y65" s="14" t="s">
        <v>7974</v>
      </c>
      <c r="Z65" s="14" t="s">
        <v>7975</v>
      </c>
      <c r="AA65" s="14" t="s">
        <v>7976</v>
      </c>
      <c r="AB65" s="14" t="s">
        <v>7977</v>
      </c>
      <c r="AC65" s="14" t="s">
        <v>99</v>
      </c>
      <c r="AD65" s="14" t="s">
        <v>99</v>
      </c>
      <c r="AE65" s="14" t="s">
        <v>99</v>
      </c>
      <c r="AF65" s="14" t="s">
        <v>99</v>
      </c>
      <c r="AG65" s="14">
        <v>66.0</v>
      </c>
      <c r="AH65" s="14">
        <v>22.0</v>
      </c>
      <c r="AI65" s="14">
        <v>29.0</v>
      </c>
      <c r="AJ65" s="14">
        <v>3.0</v>
      </c>
      <c r="AK65" s="14">
        <v>46.0</v>
      </c>
      <c r="AL65" s="14" t="s">
        <v>1731</v>
      </c>
      <c r="AM65" s="14" t="s">
        <v>1732</v>
      </c>
      <c r="AN65" s="14" t="s">
        <v>1733</v>
      </c>
      <c r="AO65" s="14" t="s">
        <v>1734</v>
      </c>
      <c r="AP65" s="14" t="s">
        <v>1735</v>
      </c>
      <c r="AQ65" s="14" t="s">
        <v>99</v>
      </c>
      <c r="AR65" s="14" t="s">
        <v>1736</v>
      </c>
      <c r="AS65" s="14" t="s">
        <v>1737</v>
      </c>
      <c r="AT65" s="14" t="s">
        <v>616</v>
      </c>
      <c r="AU65" s="14">
        <v>2007.0</v>
      </c>
      <c r="AV65" s="14">
        <v>16.0</v>
      </c>
      <c r="AW65" s="14">
        <v>7.0</v>
      </c>
      <c r="AX65" s="14" t="s">
        <v>99</v>
      </c>
      <c r="AY65" s="14" t="s">
        <v>99</v>
      </c>
      <c r="AZ65" s="14" t="s">
        <v>99</v>
      </c>
      <c r="BA65" s="14" t="s">
        <v>99</v>
      </c>
      <c r="BB65" s="14">
        <v>2167.0</v>
      </c>
      <c r="BC65" s="14">
        <v>2184.0</v>
      </c>
      <c r="BD65" s="14" t="s">
        <v>99</v>
      </c>
      <c r="BE65" s="14" t="s">
        <v>7978</v>
      </c>
      <c r="BF65" s="15" t="str">
        <f>HYPERLINK("http://dx.doi.org/10.1007/s10531-006-9146-2","http://dx.doi.org/10.1007/s10531-006-9146-2")</f>
        <v>http://dx.doi.org/10.1007/s10531-006-9146-2</v>
      </c>
      <c r="BG65" s="14" t="s">
        <v>99</v>
      </c>
      <c r="BH65" s="14" t="s">
        <v>99</v>
      </c>
      <c r="BI65" s="14">
        <v>18.0</v>
      </c>
      <c r="BJ65" s="14" t="s">
        <v>351</v>
      </c>
      <c r="BK65" s="14" t="s">
        <v>122</v>
      </c>
      <c r="BL65" s="14" t="s">
        <v>352</v>
      </c>
      <c r="BM65" s="14" t="s">
        <v>7979</v>
      </c>
      <c r="BN65" s="14" t="s">
        <v>99</v>
      </c>
      <c r="BO65" s="14" t="s">
        <v>425</v>
      </c>
      <c r="BP65" s="14" t="s">
        <v>99</v>
      </c>
      <c r="BQ65" s="14" t="s">
        <v>99</v>
      </c>
      <c r="BR65" s="14" t="s">
        <v>124</v>
      </c>
      <c r="BS65" s="14" t="s">
        <v>7980</v>
      </c>
      <c r="BT65" s="14" t="str">
        <f>HYPERLINK("https%3A%2F%2Fwww.webofscience.com%2Fwos%2Fwoscc%2Ffull-record%2FWOS:000247153100012","View Full Record in Web of Science")</f>
        <v>View Full Record in Web of Science</v>
      </c>
    </row>
    <row r="66" ht="12.75" customHeight="1">
      <c r="A66" s="14" t="s">
        <v>97</v>
      </c>
      <c r="B66" s="14" t="s">
        <v>8111</v>
      </c>
      <c r="C66" s="14" t="s">
        <v>99</v>
      </c>
      <c r="D66" s="14" t="s">
        <v>99</v>
      </c>
      <c r="E66" s="14" t="s">
        <v>99</v>
      </c>
      <c r="F66" s="14" t="s">
        <v>8112</v>
      </c>
      <c r="G66" s="14" t="s">
        <v>99</v>
      </c>
      <c r="H66" s="14" t="s">
        <v>99</v>
      </c>
      <c r="I66" s="14" t="s">
        <v>8113</v>
      </c>
      <c r="J66" s="14" t="s">
        <v>430</v>
      </c>
      <c r="K66" s="14" t="s">
        <v>99</v>
      </c>
      <c r="L66" s="14" t="s">
        <v>99</v>
      </c>
      <c r="M66" s="14" t="s">
        <v>103</v>
      </c>
      <c r="N66" s="14" t="s">
        <v>104</v>
      </c>
      <c r="O66" s="14" t="s">
        <v>99</v>
      </c>
      <c r="P66" s="14" t="s">
        <v>99</v>
      </c>
      <c r="Q66" s="14" t="s">
        <v>99</v>
      </c>
      <c r="R66" s="14" t="s">
        <v>99</v>
      </c>
      <c r="S66" s="14" t="s">
        <v>99</v>
      </c>
      <c r="T66" s="14" t="s">
        <v>8114</v>
      </c>
      <c r="U66" s="14" t="s">
        <v>8115</v>
      </c>
      <c r="V66" s="14" t="s">
        <v>8116</v>
      </c>
      <c r="W66" s="14" t="s">
        <v>8117</v>
      </c>
      <c r="X66" s="14" t="s">
        <v>8118</v>
      </c>
      <c r="Y66" s="14" t="s">
        <v>8119</v>
      </c>
      <c r="Z66" s="14" t="s">
        <v>8120</v>
      </c>
      <c r="AA66" s="14" t="s">
        <v>8121</v>
      </c>
      <c r="AB66" s="14" t="s">
        <v>99</v>
      </c>
      <c r="AC66" s="14" t="s">
        <v>99</v>
      </c>
      <c r="AD66" s="14" t="s">
        <v>99</v>
      </c>
      <c r="AE66" s="14" t="s">
        <v>99</v>
      </c>
      <c r="AF66" s="14" t="s">
        <v>99</v>
      </c>
      <c r="AG66" s="14">
        <v>78.0</v>
      </c>
      <c r="AH66" s="14">
        <v>40.0</v>
      </c>
      <c r="AI66" s="14">
        <v>62.0</v>
      </c>
      <c r="AJ66" s="14">
        <v>2.0</v>
      </c>
      <c r="AK66" s="14">
        <v>77.0</v>
      </c>
      <c r="AL66" s="14" t="s">
        <v>441</v>
      </c>
      <c r="AM66" s="14" t="s">
        <v>442</v>
      </c>
      <c r="AN66" s="14" t="s">
        <v>443</v>
      </c>
      <c r="AO66" s="14" t="s">
        <v>444</v>
      </c>
      <c r="AP66" s="14" t="s">
        <v>445</v>
      </c>
      <c r="AQ66" s="14" t="s">
        <v>99</v>
      </c>
      <c r="AR66" s="14" t="s">
        <v>446</v>
      </c>
      <c r="AS66" s="14" t="s">
        <v>447</v>
      </c>
      <c r="AT66" s="14" t="s">
        <v>8122</v>
      </c>
      <c r="AU66" s="14">
        <v>2007.0</v>
      </c>
      <c r="AV66" s="14">
        <v>240.0</v>
      </c>
      <c r="AW66" s="14" t="s">
        <v>8123</v>
      </c>
      <c r="AX66" s="14" t="s">
        <v>99</v>
      </c>
      <c r="AY66" s="14" t="s">
        <v>99</v>
      </c>
      <c r="AZ66" s="14" t="s">
        <v>99</v>
      </c>
      <c r="BA66" s="14" t="s">
        <v>99</v>
      </c>
      <c r="BB66" s="14">
        <v>165.0</v>
      </c>
      <c r="BC66" s="14">
        <v>177.0</v>
      </c>
      <c r="BD66" s="14" t="s">
        <v>99</v>
      </c>
      <c r="BE66" s="14" t="s">
        <v>8124</v>
      </c>
      <c r="BF66" s="15" t="str">
        <f>HYPERLINK("http://dx.doi.org/10.1016/j.foreco.2006.12.019","http://dx.doi.org/10.1016/j.foreco.2006.12.019")</f>
        <v>http://dx.doi.org/10.1016/j.foreco.2006.12.019</v>
      </c>
      <c r="BG66" s="14" t="s">
        <v>99</v>
      </c>
      <c r="BH66" s="14" t="s">
        <v>99</v>
      </c>
      <c r="BI66" s="14">
        <v>13.0</v>
      </c>
      <c r="BJ66" s="14" t="s">
        <v>281</v>
      </c>
      <c r="BK66" s="14" t="s">
        <v>122</v>
      </c>
      <c r="BL66" s="14" t="s">
        <v>281</v>
      </c>
      <c r="BM66" s="14" t="s">
        <v>8125</v>
      </c>
      <c r="BN66" s="14" t="s">
        <v>99</v>
      </c>
      <c r="BO66" s="14" t="s">
        <v>99</v>
      </c>
      <c r="BP66" s="14" t="s">
        <v>99</v>
      </c>
      <c r="BQ66" s="14" t="s">
        <v>99</v>
      </c>
      <c r="BR66" s="14" t="s">
        <v>124</v>
      </c>
      <c r="BS66" s="14" t="s">
        <v>8126</v>
      </c>
      <c r="BT66" s="14" t="str">
        <f>HYPERLINK("https%3A%2F%2Fwww.webofscience.com%2Fwos%2Fwoscc%2Ffull-record%2FWOS:000244795600017","View Full Record in Web of Science")</f>
        <v>View Full Record in Web of Science</v>
      </c>
    </row>
    <row r="67" ht="12.75" customHeight="1">
      <c r="A67" s="14" t="s">
        <v>97</v>
      </c>
      <c r="B67" s="14" t="s">
        <v>8186</v>
      </c>
      <c r="C67" s="14" t="s">
        <v>99</v>
      </c>
      <c r="D67" s="14" t="s">
        <v>99</v>
      </c>
      <c r="E67" s="14" t="s">
        <v>99</v>
      </c>
      <c r="F67" s="14" t="s">
        <v>8187</v>
      </c>
      <c r="G67" s="14" t="s">
        <v>99</v>
      </c>
      <c r="H67" s="14" t="s">
        <v>99</v>
      </c>
      <c r="I67" s="14" t="s">
        <v>8188</v>
      </c>
      <c r="J67" s="14" t="s">
        <v>3595</v>
      </c>
      <c r="K67" s="14" t="s">
        <v>99</v>
      </c>
      <c r="L67" s="14" t="s">
        <v>99</v>
      </c>
      <c r="M67" s="14" t="s">
        <v>103</v>
      </c>
      <c r="N67" s="14" t="s">
        <v>104</v>
      </c>
      <c r="O67" s="14" t="s">
        <v>99</v>
      </c>
      <c r="P67" s="14" t="s">
        <v>99</v>
      </c>
      <c r="Q67" s="14" t="s">
        <v>99</v>
      </c>
      <c r="R67" s="14" t="s">
        <v>99</v>
      </c>
      <c r="S67" s="14" t="s">
        <v>99</v>
      </c>
      <c r="T67" s="14" t="s">
        <v>8189</v>
      </c>
      <c r="U67" s="14" t="s">
        <v>8190</v>
      </c>
      <c r="V67" s="14" t="s">
        <v>8191</v>
      </c>
      <c r="W67" s="14" t="s">
        <v>8192</v>
      </c>
      <c r="X67" s="14" t="s">
        <v>6652</v>
      </c>
      <c r="Y67" s="14" t="s">
        <v>8193</v>
      </c>
      <c r="Z67" s="14" t="s">
        <v>8194</v>
      </c>
      <c r="AA67" s="14" t="s">
        <v>99</v>
      </c>
      <c r="AB67" s="14" t="s">
        <v>99</v>
      </c>
      <c r="AC67" s="14" t="s">
        <v>99</v>
      </c>
      <c r="AD67" s="14" t="s">
        <v>99</v>
      </c>
      <c r="AE67" s="14" t="s">
        <v>99</v>
      </c>
      <c r="AF67" s="14" t="s">
        <v>99</v>
      </c>
      <c r="AG67" s="14">
        <v>52.0</v>
      </c>
      <c r="AH67" s="14">
        <v>57.0</v>
      </c>
      <c r="AI67" s="14">
        <v>71.0</v>
      </c>
      <c r="AJ67" s="14">
        <v>0.0</v>
      </c>
      <c r="AK67" s="14">
        <v>19.0</v>
      </c>
      <c r="AL67" s="14" t="s">
        <v>3607</v>
      </c>
      <c r="AM67" s="14" t="s">
        <v>3608</v>
      </c>
      <c r="AN67" s="14" t="s">
        <v>3609</v>
      </c>
      <c r="AO67" s="14" t="s">
        <v>3610</v>
      </c>
      <c r="AP67" s="14" t="s">
        <v>3611</v>
      </c>
      <c r="AQ67" s="14" t="s">
        <v>99</v>
      </c>
      <c r="AR67" s="14" t="s">
        <v>3612</v>
      </c>
      <c r="AS67" s="14" t="s">
        <v>3613</v>
      </c>
      <c r="AT67" s="14" t="s">
        <v>8195</v>
      </c>
      <c r="AU67" s="14">
        <v>2007.0</v>
      </c>
      <c r="AV67" s="14">
        <v>64.0</v>
      </c>
      <c r="AW67" s="14">
        <v>1.0</v>
      </c>
      <c r="AX67" s="14" t="s">
        <v>99</v>
      </c>
      <c r="AY67" s="14" t="s">
        <v>99</v>
      </c>
      <c r="AZ67" s="14" t="s">
        <v>99</v>
      </c>
      <c r="BA67" s="14" t="s">
        <v>99</v>
      </c>
      <c r="BB67" s="14">
        <v>47.0</v>
      </c>
      <c r="BC67" s="14">
        <v>57.0</v>
      </c>
      <c r="BD67" s="14" t="s">
        <v>99</v>
      </c>
      <c r="BE67" s="14" t="s">
        <v>8196</v>
      </c>
      <c r="BF67" s="15" t="str">
        <f>HYPERLINK("http://dx.doi.org/10.1051/forest:2006087","http://dx.doi.org/10.1051/forest:2006087")</f>
        <v>http://dx.doi.org/10.1051/forest:2006087</v>
      </c>
      <c r="BG67" s="14" t="s">
        <v>99</v>
      </c>
      <c r="BH67" s="14" t="s">
        <v>99</v>
      </c>
      <c r="BI67" s="14">
        <v>11.0</v>
      </c>
      <c r="BJ67" s="14" t="s">
        <v>281</v>
      </c>
      <c r="BK67" s="14" t="s">
        <v>122</v>
      </c>
      <c r="BL67" s="14" t="s">
        <v>281</v>
      </c>
      <c r="BM67" s="14" t="s">
        <v>8197</v>
      </c>
      <c r="BN67" s="14" t="s">
        <v>99</v>
      </c>
      <c r="BO67" s="14" t="s">
        <v>238</v>
      </c>
      <c r="BP67" s="14" t="s">
        <v>99</v>
      </c>
      <c r="BQ67" s="14" t="s">
        <v>99</v>
      </c>
      <c r="BR67" s="14" t="s">
        <v>124</v>
      </c>
      <c r="BS67" s="14" t="s">
        <v>8198</v>
      </c>
      <c r="BT67" s="14" t="str">
        <f>HYPERLINK("https%3A%2F%2Fwww.webofscience.com%2Fwos%2Fwoscc%2Ffull-record%2FWOS:000243521300006","View Full Record in Web of Science")</f>
        <v>View Full Record in Web of Science</v>
      </c>
    </row>
    <row r="68" ht="12.75" customHeight="1">
      <c r="A68" s="14" t="s">
        <v>97</v>
      </c>
      <c r="B68" s="14" t="s">
        <v>8199</v>
      </c>
      <c r="C68" s="14" t="s">
        <v>99</v>
      </c>
      <c r="D68" s="14" t="s">
        <v>99</v>
      </c>
      <c r="E68" s="14" t="s">
        <v>99</v>
      </c>
      <c r="F68" s="14" t="s">
        <v>8200</v>
      </c>
      <c r="G68" s="14" t="s">
        <v>99</v>
      </c>
      <c r="H68" s="14" t="s">
        <v>99</v>
      </c>
      <c r="I68" s="14" t="s">
        <v>8201</v>
      </c>
      <c r="J68" s="14" t="s">
        <v>5603</v>
      </c>
      <c r="K68" s="14" t="s">
        <v>99</v>
      </c>
      <c r="L68" s="14" t="s">
        <v>99</v>
      </c>
      <c r="M68" s="14" t="s">
        <v>103</v>
      </c>
      <c r="N68" s="14" t="s">
        <v>104</v>
      </c>
      <c r="O68" s="14" t="s">
        <v>99</v>
      </c>
      <c r="P68" s="14" t="s">
        <v>99</v>
      </c>
      <c r="Q68" s="14" t="s">
        <v>99</v>
      </c>
      <c r="R68" s="14" t="s">
        <v>99</v>
      </c>
      <c r="S68" s="14" t="s">
        <v>99</v>
      </c>
      <c r="T68" s="14" t="s">
        <v>8202</v>
      </c>
      <c r="U68" s="14" t="s">
        <v>8203</v>
      </c>
      <c r="V68" s="14" t="s">
        <v>8204</v>
      </c>
      <c r="W68" s="14" t="s">
        <v>8205</v>
      </c>
      <c r="X68" s="14" t="s">
        <v>7418</v>
      </c>
      <c r="Y68" s="14" t="s">
        <v>8206</v>
      </c>
      <c r="Z68" s="14" t="s">
        <v>8207</v>
      </c>
      <c r="AA68" s="14" t="s">
        <v>8208</v>
      </c>
      <c r="AB68" s="14" t="s">
        <v>8209</v>
      </c>
      <c r="AC68" s="14" t="s">
        <v>99</v>
      </c>
      <c r="AD68" s="14" t="s">
        <v>99</v>
      </c>
      <c r="AE68" s="14" t="s">
        <v>99</v>
      </c>
      <c r="AF68" s="14" t="s">
        <v>99</v>
      </c>
      <c r="AG68" s="14">
        <v>39.0</v>
      </c>
      <c r="AH68" s="14">
        <v>71.0</v>
      </c>
      <c r="AI68" s="14">
        <v>90.0</v>
      </c>
      <c r="AJ68" s="14">
        <v>0.0</v>
      </c>
      <c r="AK68" s="14">
        <v>46.0</v>
      </c>
      <c r="AL68" s="14" t="s">
        <v>441</v>
      </c>
      <c r="AM68" s="14" t="s">
        <v>442</v>
      </c>
      <c r="AN68" s="14" t="s">
        <v>443</v>
      </c>
      <c r="AO68" s="14" t="s">
        <v>5616</v>
      </c>
      <c r="AP68" s="14" t="s">
        <v>5617</v>
      </c>
      <c r="AQ68" s="14" t="s">
        <v>99</v>
      </c>
      <c r="AR68" s="14" t="s">
        <v>5618</v>
      </c>
      <c r="AS68" s="14" t="s">
        <v>5619</v>
      </c>
      <c r="AT68" s="14" t="s">
        <v>935</v>
      </c>
      <c r="AU68" s="14">
        <v>2007.0</v>
      </c>
      <c r="AV68" s="14">
        <v>118.0</v>
      </c>
      <c r="AW68" s="14" t="s">
        <v>7581</v>
      </c>
      <c r="AX68" s="14" t="s">
        <v>99</v>
      </c>
      <c r="AY68" s="14" t="s">
        <v>99</v>
      </c>
      <c r="AZ68" s="14" t="s">
        <v>99</v>
      </c>
      <c r="BA68" s="14" t="s">
        <v>99</v>
      </c>
      <c r="BB68" s="14">
        <v>285.0</v>
      </c>
      <c r="BC68" s="14">
        <v>290.0</v>
      </c>
      <c r="BD68" s="14" t="s">
        <v>99</v>
      </c>
      <c r="BE68" s="14" t="s">
        <v>8210</v>
      </c>
      <c r="BF68" s="15" t="str">
        <f>HYPERLINK("http://dx.doi.org/10.1016/j.agee.2006.05.028","http://dx.doi.org/10.1016/j.agee.2006.05.028")</f>
        <v>http://dx.doi.org/10.1016/j.agee.2006.05.028</v>
      </c>
      <c r="BG68" s="14" t="s">
        <v>99</v>
      </c>
      <c r="BH68" s="14" t="s">
        <v>99</v>
      </c>
      <c r="BI68" s="14">
        <v>6.0</v>
      </c>
      <c r="BJ68" s="14" t="s">
        <v>5622</v>
      </c>
      <c r="BK68" s="14" t="s">
        <v>122</v>
      </c>
      <c r="BL68" s="14" t="s">
        <v>5623</v>
      </c>
      <c r="BM68" s="14" t="s">
        <v>8211</v>
      </c>
      <c r="BN68" s="14" t="s">
        <v>99</v>
      </c>
      <c r="BO68" s="14" t="s">
        <v>576</v>
      </c>
      <c r="BP68" s="14" t="s">
        <v>99</v>
      </c>
      <c r="BQ68" s="14" t="s">
        <v>99</v>
      </c>
      <c r="BR68" s="14" t="s">
        <v>124</v>
      </c>
      <c r="BS68" s="14" t="s">
        <v>8212</v>
      </c>
      <c r="BT68" s="14" t="str">
        <f>HYPERLINK("https%3A%2F%2Fwww.webofscience.com%2Fwos%2Fwoscc%2Ffull-record%2FWOS:000243609800029","View Full Record in Web of Science")</f>
        <v>View Full Record in Web of Science</v>
      </c>
    </row>
    <row r="69" ht="12.75" customHeight="1">
      <c r="A69" s="14" t="s">
        <v>97</v>
      </c>
      <c r="B69" s="14" t="s">
        <v>8436</v>
      </c>
      <c r="C69" s="14" t="s">
        <v>99</v>
      </c>
      <c r="D69" s="14" t="s">
        <v>99</v>
      </c>
      <c r="E69" s="14" t="s">
        <v>99</v>
      </c>
      <c r="F69" s="14" t="s">
        <v>8437</v>
      </c>
      <c r="G69" s="14" t="s">
        <v>99</v>
      </c>
      <c r="H69" s="14" t="s">
        <v>99</v>
      </c>
      <c r="I69" s="14" t="s">
        <v>8438</v>
      </c>
      <c r="J69" s="14" t="s">
        <v>430</v>
      </c>
      <c r="K69" s="14" t="s">
        <v>99</v>
      </c>
      <c r="L69" s="14" t="s">
        <v>99</v>
      </c>
      <c r="M69" s="14" t="s">
        <v>103</v>
      </c>
      <c r="N69" s="14" t="s">
        <v>104</v>
      </c>
      <c r="O69" s="14" t="s">
        <v>99</v>
      </c>
      <c r="P69" s="14" t="s">
        <v>99</v>
      </c>
      <c r="Q69" s="14" t="s">
        <v>99</v>
      </c>
      <c r="R69" s="14" t="s">
        <v>99</v>
      </c>
      <c r="S69" s="14" t="s">
        <v>99</v>
      </c>
      <c r="T69" s="14" t="s">
        <v>8439</v>
      </c>
      <c r="U69" s="14" t="s">
        <v>8440</v>
      </c>
      <c r="V69" s="14" t="s">
        <v>8441</v>
      </c>
      <c r="W69" s="14" t="s">
        <v>8442</v>
      </c>
      <c r="X69" s="14" t="s">
        <v>6702</v>
      </c>
      <c r="Y69" s="14" t="s">
        <v>8443</v>
      </c>
      <c r="Z69" s="14" t="s">
        <v>8444</v>
      </c>
      <c r="AA69" s="14" t="s">
        <v>8445</v>
      </c>
      <c r="AB69" s="14" t="s">
        <v>8446</v>
      </c>
      <c r="AC69" s="14" t="s">
        <v>99</v>
      </c>
      <c r="AD69" s="14" t="s">
        <v>99</v>
      </c>
      <c r="AE69" s="14" t="s">
        <v>99</v>
      </c>
      <c r="AF69" s="14" t="s">
        <v>99</v>
      </c>
      <c r="AG69" s="14">
        <v>38.0</v>
      </c>
      <c r="AH69" s="14">
        <v>40.0</v>
      </c>
      <c r="AI69" s="14">
        <v>63.0</v>
      </c>
      <c r="AJ69" s="14">
        <v>0.0</v>
      </c>
      <c r="AK69" s="14">
        <v>32.0</v>
      </c>
      <c r="AL69" s="14" t="s">
        <v>1033</v>
      </c>
      <c r="AM69" s="14" t="s">
        <v>442</v>
      </c>
      <c r="AN69" s="14" t="s">
        <v>1034</v>
      </c>
      <c r="AO69" s="14" t="s">
        <v>444</v>
      </c>
      <c r="AP69" s="14" t="s">
        <v>99</v>
      </c>
      <c r="AQ69" s="14" t="s">
        <v>99</v>
      </c>
      <c r="AR69" s="14" t="s">
        <v>446</v>
      </c>
      <c r="AS69" s="14" t="s">
        <v>447</v>
      </c>
      <c r="AT69" s="14" t="s">
        <v>8447</v>
      </c>
      <c r="AU69" s="14">
        <v>2006.0</v>
      </c>
      <c r="AV69" s="14">
        <v>230.0</v>
      </c>
      <c r="AW69" s="14" t="s">
        <v>8123</v>
      </c>
      <c r="AX69" s="14" t="s">
        <v>99</v>
      </c>
      <c r="AY69" s="14" t="s">
        <v>99</v>
      </c>
      <c r="AZ69" s="14" t="s">
        <v>99</v>
      </c>
      <c r="BA69" s="14" t="s">
        <v>99</v>
      </c>
      <c r="BB69" s="14">
        <v>162.0</v>
      </c>
      <c r="BC69" s="14">
        <v>170.0</v>
      </c>
      <c r="BD69" s="14" t="s">
        <v>99</v>
      </c>
      <c r="BE69" s="14" t="s">
        <v>8448</v>
      </c>
      <c r="BF69" s="15" t="str">
        <f>HYPERLINK("http://dx.doi.org/10.1016/j.foreco.2006.03.034","http://dx.doi.org/10.1016/j.foreco.2006.03.034")</f>
        <v>http://dx.doi.org/10.1016/j.foreco.2006.03.034</v>
      </c>
      <c r="BG69" s="14" t="s">
        <v>99</v>
      </c>
      <c r="BH69" s="14" t="s">
        <v>99</v>
      </c>
      <c r="BI69" s="14">
        <v>9.0</v>
      </c>
      <c r="BJ69" s="14" t="s">
        <v>281</v>
      </c>
      <c r="BK69" s="14" t="s">
        <v>122</v>
      </c>
      <c r="BL69" s="14" t="s">
        <v>281</v>
      </c>
      <c r="BM69" s="14" t="s">
        <v>8449</v>
      </c>
      <c r="BN69" s="14" t="s">
        <v>99</v>
      </c>
      <c r="BO69" s="14" t="s">
        <v>99</v>
      </c>
      <c r="BP69" s="14" t="s">
        <v>99</v>
      </c>
      <c r="BQ69" s="14" t="s">
        <v>99</v>
      </c>
      <c r="BR69" s="14" t="s">
        <v>124</v>
      </c>
      <c r="BS69" s="14" t="s">
        <v>8450</v>
      </c>
      <c r="BT69" s="14" t="str">
        <f>HYPERLINK("https%3A%2F%2Fwww.webofscience.com%2Fwos%2Fwoscc%2Ffull-record%2FWOS:000238863300014","View Full Record in Web of Science")</f>
        <v>View Full Record in Web of Science</v>
      </c>
    </row>
    <row r="70" ht="12.75" customHeight="1">
      <c r="A70" s="14" t="s">
        <v>97</v>
      </c>
      <c r="B70" s="14" t="s">
        <v>8465</v>
      </c>
      <c r="C70" s="14" t="s">
        <v>99</v>
      </c>
      <c r="D70" s="14" t="s">
        <v>99</v>
      </c>
      <c r="E70" s="14" t="s">
        <v>99</v>
      </c>
      <c r="F70" s="14" t="s">
        <v>8466</v>
      </c>
      <c r="G70" s="14" t="s">
        <v>99</v>
      </c>
      <c r="H70" s="14" t="s">
        <v>99</v>
      </c>
      <c r="I70" s="14" t="s">
        <v>8467</v>
      </c>
      <c r="J70" s="14" t="s">
        <v>8468</v>
      </c>
      <c r="K70" s="14" t="s">
        <v>99</v>
      </c>
      <c r="L70" s="14" t="s">
        <v>99</v>
      </c>
      <c r="M70" s="14" t="s">
        <v>103</v>
      </c>
      <c r="N70" s="14" t="s">
        <v>104</v>
      </c>
      <c r="O70" s="14" t="s">
        <v>99</v>
      </c>
      <c r="P70" s="14" t="s">
        <v>99</v>
      </c>
      <c r="Q70" s="14" t="s">
        <v>99</v>
      </c>
      <c r="R70" s="14" t="s">
        <v>99</v>
      </c>
      <c r="S70" s="14" t="s">
        <v>99</v>
      </c>
      <c r="T70" s="14" t="s">
        <v>8469</v>
      </c>
      <c r="U70" s="14" t="s">
        <v>8470</v>
      </c>
      <c r="V70" s="14" t="s">
        <v>8471</v>
      </c>
      <c r="W70" s="14" t="s">
        <v>8472</v>
      </c>
      <c r="X70" s="14" t="s">
        <v>8149</v>
      </c>
      <c r="Y70" s="14" t="s">
        <v>8473</v>
      </c>
      <c r="Z70" s="14" t="s">
        <v>8474</v>
      </c>
      <c r="AA70" s="14" t="s">
        <v>8475</v>
      </c>
      <c r="AB70" s="14" t="s">
        <v>8476</v>
      </c>
      <c r="AC70" s="14" t="s">
        <v>99</v>
      </c>
      <c r="AD70" s="14" t="s">
        <v>99</v>
      </c>
      <c r="AE70" s="14" t="s">
        <v>99</v>
      </c>
      <c r="AF70" s="14" t="s">
        <v>99</v>
      </c>
      <c r="AG70" s="14">
        <v>54.0</v>
      </c>
      <c r="AH70" s="14">
        <v>75.0</v>
      </c>
      <c r="AI70" s="14">
        <v>114.0</v>
      </c>
      <c r="AJ70" s="14">
        <v>5.0</v>
      </c>
      <c r="AK70" s="14">
        <v>113.0</v>
      </c>
      <c r="AL70" s="14" t="s">
        <v>467</v>
      </c>
      <c r="AM70" s="14" t="s">
        <v>468</v>
      </c>
      <c r="AN70" s="14" t="s">
        <v>469</v>
      </c>
      <c r="AO70" s="14" t="s">
        <v>8477</v>
      </c>
      <c r="AP70" s="14" t="s">
        <v>99</v>
      </c>
      <c r="AQ70" s="14" t="s">
        <v>99</v>
      </c>
      <c r="AR70" s="14" t="s">
        <v>8478</v>
      </c>
      <c r="AS70" s="14" t="s">
        <v>8479</v>
      </c>
      <c r="AT70" s="14" t="s">
        <v>525</v>
      </c>
      <c r="AU70" s="14">
        <v>2006.0</v>
      </c>
      <c r="AV70" s="14">
        <v>38.0</v>
      </c>
      <c r="AW70" s="14">
        <v>7.0</v>
      </c>
      <c r="AX70" s="14" t="s">
        <v>99</v>
      </c>
      <c r="AY70" s="14" t="s">
        <v>99</v>
      </c>
      <c r="AZ70" s="14" t="s">
        <v>99</v>
      </c>
      <c r="BA70" s="14" t="s">
        <v>99</v>
      </c>
      <c r="BB70" s="14">
        <v>1956.0</v>
      </c>
      <c r="BC70" s="14">
        <v>1965.0</v>
      </c>
      <c r="BD70" s="14" t="s">
        <v>99</v>
      </c>
      <c r="BE70" s="14" t="s">
        <v>8480</v>
      </c>
      <c r="BF70" s="15" t="str">
        <f>HYPERLINK("http://dx.doi.org/10.1016/j.soilbio.2005.12.019","http://dx.doi.org/10.1016/j.soilbio.2005.12.019")</f>
        <v>http://dx.doi.org/10.1016/j.soilbio.2005.12.019</v>
      </c>
      <c r="BG70" s="14" t="s">
        <v>99</v>
      </c>
      <c r="BH70" s="14" t="s">
        <v>99</v>
      </c>
      <c r="BI70" s="14">
        <v>10.0</v>
      </c>
      <c r="BJ70" s="14" t="s">
        <v>6815</v>
      </c>
      <c r="BK70" s="14" t="s">
        <v>122</v>
      </c>
      <c r="BL70" s="14" t="s">
        <v>2969</v>
      </c>
      <c r="BM70" s="14" t="s">
        <v>8481</v>
      </c>
      <c r="BN70" s="14" t="s">
        <v>99</v>
      </c>
      <c r="BO70" s="14" t="s">
        <v>99</v>
      </c>
      <c r="BP70" s="14" t="s">
        <v>99</v>
      </c>
      <c r="BQ70" s="14" t="s">
        <v>99</v>
      </c>
      <c r="BR70" s="14" t="s">
        <v>124</v>
      </c>
      <c r="BS70" s="14" t="s">
        <v>8482</v>
      </c>
      <c r="BT70" s="14" t="str">
        <f>HYPERLINK("https%3A%2F%2Fwww.webofscience.com%2Fwos%2Fwoscc%2Ffull-record%2FWOS:000239946100045","View Full Record in Web of Science")</f>
        <v>View Full Record in Web of Science</v>
      </c>
    </row>
    <row r="71" ht="12.75" customHeight="1">
      <c r="A71" s="14" t="s">
        <v>97</v>
      </c>
      <c r="B71" s="14" t="s">
        <v>8699</v>
      </c>
      <c r="C71" s="14" t="s">
        <v>99</v>
      </c>
      <c r="D71" s="14" t="s">
        <v>99</v>
      </c>
      <c r="E71" s="14" t="s">
        <v>99</v>
      </c>
      <c r="F71" s="14" t="s">
        <v>8699</v>
      </c>
      <c r="G71" s="14" t="s">
        <v>99</v>
      </c>
      <c r="H71" s="14" t="s">
        <v>99</v>
      </c>
      <c r="I71" s="14" t="s">
        <v>8700</v>
      </c>
      <c r="J71" s="14" t="s">
        <v>8701</v>
      </c>
      <c r="K71" s="14" t="s">
        <v>99</v>
      </c>
      <c r="L71" s="14" t="s">
        <v>99</v>
      </c>
      <c r="M71" s="14" t="s">
        <v>103</v>
      </c>
      <c r="N71" s="14" t="s">
        <v>104</v>
      </c>
      <c r="O71" s="14" t="s">
        <v>99</v>
      </c>
      <c r="P71" s="14" t="s">
        <v>99</v>
      </c>
      <c r="Q71" s="14" t="s">
        <v>99</v>
      </c>
      <c r="R71" s="14" t="s">
        <v>99</v>
      </c>
      <c r="S71" s="14" t="s">
        <v>99</v>
      </c>
      <c r="T71" s="14" t="s">
        <v>99</v>
      </c>
      <c r="U71" s="14" t="s">
        <v>8702</v>
      </c>
      <c r="V71" s="14" t="s">
        <v>8703</v>
      </c>
      <c r="W71" s="14" t="s">
        <v>8704</v>
      </c>
      <c r="X71" s="14" t="s">
        <v>8705</v>
      </c>
      <c r="Y71" s="14" t="s">
        <v>8706</v>
      </c>
      <c r="Z71" s="14" t="s">
        <v>8707</v>
      </c>
      <c r="AA71" s="14" t="s">
        <v>99</v>
      </c>
      <c r="AB71" s="14" t="s">
        <v>99</v>
      </c>
      <c r="AC71" s="14" t="s">
        <v>99</v>
      </c>
      <c r="AD71" s="14" t="s">
        <v>99</v>
      </c>
      <c r="AE71" s="14" t="s">
        <v>99</v>
      </c>
      <c r="AF71" s="14" t="s">
        <v>99</v>
      </c>
      <c r="AG71" s="14">
        <v>55.0</v>
      </c>
      <c r="AH71" s="14">
        <v>34.0</v>
      </c>
      <c r="AI71" s="14">
        <v>43.0</v>
      </c>
      <c r="AJ71" s="14">
        <v>0.0</v>
      </c>
      <c r="AK71" s="14">
        <v>33.0</v>
      </c>
      <c r="AL71" s="14" t="s">
        <v>8708</v>
      </c>
      <c r="AM71" s="14" t="s">
        <v>8709</v>
      </c>
      <c r="AN71" s="14" t="s">
        <v>8710</v>
      </c>
      <c r="AO71" s="14" t="s">
        <v>8711</v>
      </c>
      <c r="AP71" s="14" t="s">
        <v>99</v>
      </c>
      <c r="AQ71" s="14" t="s">
        <v>99</v>
      </c>
      <c r="AR71" s="14" t="s">
        <v>8712</v>
      </c>
      <c r="AS71" s="14" t="s">
        <v>8713</v>
      </c>
      <c r="AT71" s="14" t="s">
        <v>1058</v>
      </c>
      <c r="AU71" s="14">
        <v>2005.0</v>
      </c>
      <c r="AV71" s="14">
        <v>35.0</v>
      </c>
      <c r="AW71" s="14">
        <v>12.0</v>
      </c>
      <c r="AX71" s="14" t="s">
        <v>99</v>
      </c>
      <c r="AY71" s="14" t="s">
        <v>99</v>
      </c>
      <c r="AZ71" s="14" t="s">
        <v>99</v>
      </c>
      <c r="BA71" s="14" t="s">
        <v>99</v>
      </c>
      <c r="BB71" s="14">
        <v>2813.0</v>
      </c>
      <c r="BC71" s="14">
        <v>2822.0</v>
      </c>
      <c r="BD71" s="14" t="s">
        <v>99</v>
      </c>
      <c r="BE71" s="14" t="s">
        <v>8714</v>
      </c>
      <c r="BF71" s="15" t="str">
        <f>HYPERLINK("http://dx.doi.org/10.1139/X05-208","http://dx.doi.org/10.1139/X05-208")</f>
        <v>http://dx.doi.org/10.1139/X05-208</v>
      </c>
      <c r="BG71" s="14" t="s">
        <v>99</v>
      </c>
      <c r="BH71" s="14" t="s">
        <v>99</v>
      </c>
      <c r="BI71" s="14">
        <v>10.0</v>
      </c>
      <c r="BJ71" s="14" t="s">
        <v>281</v>
      </c>
      <c r="BK71" s="14" t="s">
        <v>122</v>
      </c>
      <c r="BL71" s="14" t="s">
        <v>281</v>
      </c>
      <c r="BM71" s="14" t="s">
        <v>8715</v>
      </c>
      <c r="BN71" s="14" t="s">
        <v>99</v>
      </c>
      <c r="BO71" s="14" t="s">
        <v>99</v>
      </c>
      <c r="BP71" s="14" t="s">
        <v>99</v>
      </c>
      <c r="BQ71" s="14" t="s">
        <v>99</v>
      </c>
      <c r="BR71" s="14" t="s">
        <v>124</v>
      </c>
      <c r="BS71" s="14" t="s">
        <v>8716</v>
      </c>
      <c r="BT71" s="14" t="str">
        <f>HYPERLINK("https%3A%2F%2Fwww.webofscience.com%2Fwos%2Fwoscc%2Ffull-record%2FWOS:000235231000006","View Full Record in Web of Science")</f>
        <v>View Full Record in Web of Science</v>
      </c>
    </row>
    <row r="72" ht="12.75" customHeight="1">
      <c r="A72" s="14" t="s">
        <v>97</v>
      </c>
      <c r="B72" s="14" t="s">
        <v>8736</v>
      </c>
      <c r="C72" s="14" t="s">
        <v>99</v>
      </c>
      <c r="D72" s="14" t="s">
        <v>99</v>
      </c>
      <c r="E72" s="14" t="s">
        <v>99</v>
      </c>
      <c r="F72" s="14" t="s">
        <v>8736</v>
      </c>
      <c r="G72" s="14" t="s">
        <v>99</v>
      </c>
      <c r="H72" s="14" t="s">
        <v>99</v>
      </c>
      <c r="I72" s="14" t="s">
        <v>8737</v>
      </c>
      <c r="J72" s="14" t="s">
        <v>8738</v>
      </c>
      <c r="K72" s="14" t="s">
        <v>99</v>
      </c>
      <c r="L72" s="14" t="s">
        <v>99</v>
      </c>
      <c r="M72" s="14" t="s">
        <v>103</v>
      </c>
      <c r="N72" s="14" t="s">
        <v>104</v>
      </c>
      <c r="O72" s="14" t="s">
        <v>99</v>
      </c>
      <c r="P72" s="14" t="s">
        <v>99</v>
      </c>
      <c r="Q72" s="14" t="s">
        <v>99</v>
      </c>
      <c r="R72" s="14" t="s">
        <v>99</v>
      </c>
      <c r="S72" s="14" t="s">
        <v>99</v>
      </c>
      <c r="T72" s="14" t="s">
        <v>99</v>
      </c>
      <c r="U72" s="14" t="s">
        <v>8739</v>
      </c>
      <c r="V72" s="14" t="s">
        <v>8740</v>
      </c>
      <c r="W72" s="14" t="s">
        <v>8741</v>
      </c>
      <c r="X72" s="14" t="s">
        <v>8742</v>
      </c>
      <c r="Y72" s="14" t="s">
        <v>8743</v>
      </c>
      <c r="Z72" s="14" t="s">
        <v>8744</v>
      </c>
      <c r="AA72" s="14" t="s">
        <v>8745</v>
      </c>
      <c r="AB72" s="14" t="s">
        <v>8746</v>
      </c>
      <c r="AC72" s="14" t="s">
        <v>99</v>
      </c>
      <c r="AD72" s="14" t="s">
        <v>99</v>
      </c>
      <c r="AE72" s="14" t="s">
        <v>99</v>
      </c>
      <c r="AF72" s="14" t="s">
        <v>99</v>
      </c>
      <c r="AG72" s="14">
        <v>72.0</v>
      </c>
      <c r="AH72" s="14">
        <v>30.0</v>
      </c>
      <c r="AI72" s="14">
        <v>39.0</v>
      </c>
      <c r="AJ72" s="14">
        <v>0.0</v>
      </c>
      <c r="AK72" s="14">
        <v>29.0</v>
      </c>
      <c r="AL72" s="14" t="s">
        <v>8747</v>
      </c>
      <c r="AM72" s="14" t="s">
        <v>8709</v>
      </c>
      <c r="AN72" s="14" t="s">
        <v>8748</v>
      </c>
      <c r="AO72" s="14" t="s">
        <v>8711</v>
      </c>
      <c r="AP72" s="14" t="s">
        <v>8749</v>
      </c>
      <c r="AQ72" s="14" t="s">
        <v>99</v>
      </c>
      <c r="AR72" s="14" t="s">
        <v>8712</v>
      </c>
      <c r="AS72" s="14" t="s">
        <v>8750</v>
      </c>
      <c r="AT72" s="14" t="s">
        <v>1058</v>
      </c>
      <c r="AU72" s="14">
        <v>2005.0</v>
      </c>
      <c r="AV72" s="14">
        <v>35.0</v>
      </c>
      <c r="AW72" s="14">
        <v>12.0</v>
      </c>
      <c r="AX72" s="14" t="s">
        <v>99</v>
      </c>
      <c r="AY72" s="14" t="s">
        <v>99</v>
      </c>
      <c r="AZ72" s="14" t="s">
        <v>99</v>
      </c>
      <c r="BA72" s="14" t="s">
        <v>99</v>
      </c>
      <c r="BB72" s="14">
        <v>2832.0</v>
      </c>
      <c r="BC72" s="14">
        <v>2840.0</v>
      </c>
      <c r="BD72" s="14" t="s">
        <v>99</v>
      </c>
      <c r="BE72" s="14" t="s">
        <v>8751</v>
      </c>
      <c r="BF72" s="15" t="str">
        <f>HYPERLINK("http://dx.doi.org/10.1139/X05-200","http://dx.doi.org/10.1139/X05-200")</f>
        <v>http://dx.doi.org/10.1139/X05-200</v>
      </c>
      <c r="BG72" s="14" t="s">
        <v>99</v>
      </c>
      <c r="BH72" s="14" t="s">
        <v>99</v>
      </c>
      <c r="BI72" s="14">
        <v>9.0</v>
      </c>
      <c r="BJ72" s="14" t="s">
        <v>281</v>
      </c>
      <c r="BK72" s="14" t="s">
        <v>122</v>
      </c>
      <c r="BL72" s="14" t="s">
        <v>281</v>
      </c>
      <c r="BM72" s="14" t="s">
        <v>8715</v>
      </c>
      <c r="BN72" s="14" t="s">
        <v>99</v>
      </c>
      <c r="BO72" s="14" t="s">
        <v>99</v>
      </c>
      <c r="BP72" s="14" t="s">
        <v>99</v>
      </c>
      <c r="BQ72" s="14" t="s">
        <v>99</v>
      </c>
      <c r="BR72" s="14" t="s">
        <v>124</v>
      </c>
      <c r="BS72" s="14" t="s">
        <v>8752</v>
      </c>
      <c r="BT72" s="14" t="str">
        <f>HYPERLINK("https%3A%2F%2Fwww.webofscience.com%2Fwos%2Fwoscc%2Ffull-record%2FWOS:000235231000008","View Full Record in Web of Science")</f>
        <v>View Full Record in Web of Science</v>
      </c>
    </row>
    <row r="73" ht="12.75" customHeight="1">
      <c r="A73" s="14" t="s">
        <v>97</v>
      </c>
      <c r="B73" s="14" t="s">
        <v>8823</v>
      </c>
      <c r="C73" s="14" t="s">
        <v>99</v>
      </c>
      <c r="D73" s="14" t="s">
        <v>99</v>
      </c>
      <c r="E73" s="14" t="s">
        <v>99</v>
      </c>
      <c r="F73" s="14" t="s">
        <v>8823</v>
      </c>
      <c r="G73" s="14" t="s">
        <v>99</v>
      </c>
      <c r="H73" s="14" t="s">
        <v>99</v>
      </c>
      <c r="I73" s="14" t="s">
        <v>8824</v>
      </c>
      <c r="J73" s="14" t="s">
        <v>2142</v>
      </c>
      <c r="K73" s="14" t="s">
        <v>99</v>
      </c>
      <c r="L73" s="14" t="s">
        <v>99</v>
      </c>
      <c r="M73" s="14" t="s">
        <v>103</v>
      </c>
      <c r="N73" s="14" t="s">
        <v>104</v>
      </c>
      <c r="O73" s="14" t="s">
        <v>99</v>
      </c>
      <c r="P73" s="14" t="s">
        <v>99</v>
      </c>
      <c r="Q73" s="14" t="s">
        <v>99</v>
      </c>
      <c r="R73" s="14" t="s">
        <v>99</v>
      </c>
      <c r="S73" s="14" t="s">
        <v>99</v>
      </c>
      <c r="T73" s="14" t="s">
        <v>8825</v>
      </c>
      <c r="U73" s="14" t="s">
        <v>8826</v>
      </c>
      <c r="V73" s="14" t="s">
        <v>8827</v>
      </c>
      <c r="W73" s="14" t="s">
        <v>8828</v>
      </c>
      <c r="X73" s="14" t="s">
        <v>8829</v>
      </c>
      <c r="Y73" s="14" t="s">
        <v>8830</v>
      </c>
      <c r="Z73" s="14" t="s">
        <v>8831</v>
      </c>
      <c r="AA73" s="14" t="s">
        <v>8832</v>
      </c>
      <c r="AB73" s="14" t="s">
        <v>99</v>
      </c>
      <c r="AC73" s="14" t="s">
        <v>99</v>
      </c>
      <c r="AD73" s="14" t="s">
        <v>99</v>
      </c>
      <c r="AE73" s="14" t="s">
        <v>99</v>
      </c>
      <c r="AF73" s="14" t="s">
        <v>99</v>
      </c>
      <c r="AG73" s="14">
        <v>53.0</v>
      </c>
      <c r="AH73" s="14">
        <v>67.0</v>
      </c>
      <c r="AI73" s="14">
        <v>89.0</v>
      </c>
      <c r="AJ73" s="14">
        <v>0.0</v>
      </c>
      <c r="AK73" s="14">
        <v>36.0</v>
      </c>
      <c r="AL73" s="14" t="s">
        <v>341</v>
      </c>
      <c r="AM73" s="14" t="s">
        <v>342</v>
      </c>
      <c r="AN73" s="14" t="s">
        <v>343</v>
      </c>
      <c r="AO73" s="14" t="s">
        <v>2155</v>
      </c>
      <c r="AP73" s="14" t="s">
        <v>2156</v>
      </c>
      <c r="AQ73" s="14" t="s">
        <v>99</v>
      </c>
      <c r="AR73" s="14" t="s">
        <v>2157</v>
      </c>
      <c r="AS73" s="14" t="s">
        <v>2158</v>
      </c>
      <c r="AT73" s="14" t="s">
        <v>474</v>
      </c>
      <c r="AU73" s="14">
        <v>2005.0</v>
      </c>
      <c r="AV73" s="14">
        <v>19.0</v>
      </c>
      <c r="AW73" s="14">
        <v>4.0</v>
      </c>
      <c r="AX73" s="14" t="s">
        <v>99</v>
      </c>
      <c r="AY73" s="14" t="s">
        <v>99</v>
      </c>
      <c r="AZ73" s="14" t="s">
        <v>99</v>
      </c>
      <c r="BA73" s="14" t="s">
        <v>99</v>
      </c>
      <c r="BB73" s="14">
        <v>1194.0</v>
      </c>
      <c r="BC73" s="14">
        <v>1204.0</v>
      </c>
      <c r="BD73" s="14" t="s">
        <v>99</v>
      </c>
      <c r="BE73" s="14" t="s">
        <v>8833</v>
      </c>
      <c r="BF73" s="15" t="str">
        <f>HYPERLINK("http://dx.doi.org/10.1111/j.1523-1739.2005.00170.x","http://dx.doi.org/10.1111/j.1523-1739.2005.00170.x")</f>
        <v>http://dx.doi.org/10.1111/j.1523-1739.2005.00170.x</v>
      </c>
      <c r="BG73" s="14" t="s">
        <v>99</v>
      </c>
      <c r="BH73" s="14" t="s">
        <v>99</v>
      </c>
      <c r="BI73" s="14">
        <v>11.0</v>
      </c>
      <c r="BJ73" s="14" t="s">
        <v>351</v>
      </c>
      <c r="BK73" s="14" t="s">
        <v>122</v>
      </c>
      <c r="BL73" s="14" t="s">
        <v>352</v>
      </c>
      <c r="BM73" s="14" t="s">
        <v>8834</v>
      </c>
      <c r="BN73" s="14" t="s">
        <v>99</v>
      </c>
      <c r="BO73" s="14" t="s">
        <v>99</v>
      </c>
      <c r="BP73" s="14" t="s">
        <v>99</v>
      </c>
      <c r="BQ73" s="14" t="s">
        <v>99</v>
      </c>
      <c r="BR73" s="14" t="s">
        <v>124</v>
      </c>
      <c r="BS73" s="14" t="s">
        <v>8835</v>
      </c>
      <c r="BT73" s="14" t="str">
        <f>HYPERLINK("https%3A%2F%2Fwww.webofscience.com%2Fwos%2Fwoscc%2Ffull-record%2FWOS:000231118600025","View Full Record in Web of Science")</f>
        <v>View Full Record in Web of Science</v>
      </c>
    </row>
    <row r="74" ht="12.75" customHeight="1">
      <c r="A74" s="14" t="s">
        <v>97</v>
      </c>
      <c r="B74" s="14" t="s">
        <v>8836</v>
      </c>
      <c r="C74" s="14" t="s">
        <v>99</v>
      </c>
      <c r="D74" s="14" t="s">
        <v>99</v>
      </c>
      <c r="E74" s="14" t="s">
        <v>99</v>
      </c>
      <c r="F74" s="14" t="s">
        <v>8836</v>
      </c>
      <c r="G74" s="14" t="s">
        <v>99</v>
      </c>
      <c r="H74" s="14" t="s">
        <v>99</v>
      </c>
      <c r="I74" s="14" t="s">
        <v>8837</v>
      </c>
      <c r="J74" s="14" t="s">
        <v>8738</v>
      </c>
      <c r="K74" s="14" t="s">
        <v>99</v>
      </c>
      <c r="L74" s="14" t="s">
        <v>99</v>
      </c>
      <c r="M74" s="14" t="s">
        <v>103</v>
      </c>
      <c r="N74" s="14" t="s">
        <v>104</v>
      </c>
      <c r="O74" s="14" t="s">
        <v>99</v>
      </c>
      <c r="P74" s="14" t="s">
        <v>99</v>
      </c>
      <c r="Q74" s="14" t="s">
        <v>99</v>
      </c>
      <c r="R74" s="14" t="s">
        <v>99</v>
      </c>
      <c r="S74" s="14" t="s">
        <v>99</v>
      </c>
      <c r="T74" s="14" t="s">
        <v>99</v>
      </c>
      <c r="U74" s="14" t="s">
        <v>8838</v>
      </c>
      <c r="V74" s="14" t="s">
        <v>8839</v>
      </c>
      <c r="W74" s="14" t="s">
        <v>8840</v>
      </c>
      <c r="X74" s="14" t="s">
        <v>99</v>
      </c>
      <c r="Y74" s="14" t="s">
        <v>8841</v>
      </c>
      <c r="Z74" s="14" t="s">
        <v>8842</v>
      </c>
      <c r="AA74" s="14" t="s">
        <v>99</v>
      </c>
      <c r="AB74" s="14" t="s">
        <v>99</v>
      </c>
      <c r="AC74" s="14" t="s">
        <v>99</v>
      </c>
      <c r="AD74" s="14" t="s">
        <v>99</v>
      </c>
      <c r="AE74" s="14" t="s">
        <v>99</v>
      </c>
      <c r="AF74" s="14" t="s">
        <v>99</v>
      </c>
      <c r="AG74" s="14">
        <v>61.0</v>
      </c>
      <c r="AH74" s="14">
        <v>20.0</v>
      </c>
      <c r="AI74" s="14">
        <v>34.0</v>
      </c>
      <c r="AJ74" s="14">
        <v>0.0</v>
      </c>
      <c r="AK74" s="14">
        <v>15.0</v>
      </c>
      <c r="AL74" s="14" t="s">
        <v>8747</v>
      </c>
      <c r="AM74" s="14" t="s">
        <v>8709</v>
      </c>
      <c r="AN74" s="14" t="s">
        <v>8748</v>
      </c>
      <c r="AO74" s="14" t="s">
        <v>8711</v>
      </c>
      <c r="AP74" s="14" t="s">
        <v>8749</v>
      </c>
      <c r="AQ74" s="14" t="s">
        <v>99</v>
      </c>
      <c r="AR74" s="14" t="s">
        <v>8712</v>
      </c>
      <c r="AS74" s="14" t="s">
        <v>8750</v>
      </c>
      <c r="AT74" s="14" t="s">
        <v>474</v>
      </c>
      <c r="AU74" s="14">
        <v>2005.0</v>
      </c>
      <c r="AV74" s="14">
        <v>35.0</v>
      </c>
      <c r="AW74" s="14">
        <v>8.0</v>
      </c>
      <c r="AX74" s="14" t="s">
        <v>99</v>
      </c>
      <c r="AY74" s="14" t="s">
        <v>99</v>
      </c>
      <c r="AZ74" s="14" t="s">
        <v>99</v>
      </c>
      <c r="BA74" s="14" t="s">
        <v>99</v>
      </c>
      <c r="BB74" s="14">
        <v>2030.0</v>
      </c>
      <c r="BC74" s="14">
        <v>2044.0</v>
      </c>
      <c r="BD74" s="14" t="s">
        <v>99</v>
      </c>
      <c r="BE74" s="14" t="s">
        <v>8843</v>
      </c>
      <c r="BF74" s="15" t="str">
        <f>HYPERLINK("http://dx.doi.org/10.1139/X05-133","http://dx.doi.org/10.1139/X05-133")</f>
        <v>http://dx.doi.org/10.1139/X05-133</v>
      </c>
      <c r="BG74" s="14" t="s">
        <v>99</v>
      </c>
      <c r="BH74" s="14" t="s">
        <v>99</v>
      </c>
      <c r="BI74" s="14">
        <v>15.0</v>
      </c>
      <c r="BJ74" s="14" t="s">
        <v>281</v>
      </c>
      <c r="BK74" s="14" t="s">
        <v>122</v>
      </c>
      <c r="BL74" s="14" t="s">
        <v>281</v>
      </c>
      <c r="BM74" s="14" t="s">
        <v>8844</v>
      </c>
      <c r="BN74" s="14" t="s">
        <v>99</v>
      </c>
      <c r="BO74" s="14" t="s">
        <v>99</v>
      </c>
      <c r="BP74" s="14" t="s">
        <v>99</v>
      </c>
      <c r="BQ74" s="14" t="s">
        <v>99</v>
      </c>
      <c r="BR74" s="14" t="s">
        <v>124</v>
      </c>
      <c r="BS74" s="14" t="s">
        <v>8845</v>
      </c>
      <c r="BT74" s="14" t="str">
        <f>HYPERLINK("https%3A%2F%2Fwww.webofscience.com%2Fwos%2Fwoscc%2Ffull-record%2FWOS:000232856400022","View Full Record in Web of Science")</f>
        <v>View Full Record in Web of Science</v>
      </c>
    </row>
    <row r="75" ht="12.75" customHeight="1">
      <c r="A75" s="14" t="s">
        <v>97</v>
      </c>
      <c r="B75" s="14" t="s">
        <v>8995</v>
      </c>
      <c r="C75" s="14" t="s">
        <v>99</v>
      </c>
      <c r="D75" s="14" t="s">
        <v>99</v>
      </c>
      <c r="E75" s="14" t="s">
        <v>99</v>
      </c>
      <c r="F75" s="14" t="s">
        <v>8995</v>
      </c>
      <c r="G75" s="14" t="s">
        <v>99</v>
      </c>
      <c r="H75" s="14" t="s">
        <v>99</v>
      </c>
      <c r="I75" s="14" t="s">
        <v>8996</v>
      </c>
      <c r="J75" s="14" t="s">
        <v>8997</v>
      </c>
      <c r="K75" s="14" t="s">
        <v>99</v>
      </c>
      <c r="L75" s="14" t="s">
        <v>99</v>
      </c>
      <c r="M75" s="14" t="s">
        <v>103</v>
      </c>
      <c r="N75" s="14" t="s">
        <v>104</v>
      </c>
      <c r="O75" s="14" t="s">
        <v>99</v>
      </c>
      <c r="P75" s="14" t="s">
        <v>99</v>
      </c>
      <c r="Q75" s="14" t="s">
        <v>99</v>
      </c>
      <c r="R75" s="14" t="s">
        <v>99</v>
      </c>
      <c r="S75" s="14" t="s">
        <v>99</v>
      </c>
      <c r="T75" s="14" t="s">
        <v>8998</v>
      </c>
      <c r="U75" s="14" t="s">
        <v>8999</v>
      </c>
      <c r="V75" s="14" t="s">
        <v>9000</v>
      </c>
      <c r="W75" s="14" t="s">
        <v>9001</v>
      </c>
      <c r="X75" s="14" t="s">
        <v>9002</v>
      </c>
      <c r="Y75" s="14" t="s">
        <v>9003</v>
      </c>
      <c r="Z75" s="14" t="s">
        <v>9004</v>
      </c>
      <c r="AA75" s="14" t="s">
        <v>9005</v>
      </c>
      <c r="AB75" s="14" t="s">
        <v>9006</v>
      </c>
      <c r="AC75" s="14" t="s">
        <v>99</v>
      </c>
      <c r="AD75" s="14" t="s">
        <v>99</v>
      </c>
      <c r="AE75" s="14" t="s">
        <v>99</v>
      </c>
      <c r="AF75" s="14" t="s">
        <v>99</v>
      </c>
      <c r="AG75" s="14">
        <v>31.0</v>
      </c>
      <c r="AH75" s="14">
        <v>10.0</v>
      </c>
      <c r="AI75" s="14">
        <v>12.0</v>
      </c>
      <c r="AJ75" s="14">
        <v>0.0</v>
      </c>
      <c r="AK75" s="14">
        <v>11.0</v>
      </c>
      <c r="AL75" s="14" t="s">
        <v>5890</v>
      </c>
      <c r="AM75" s="14" t="s">
        <v>9007</v>
      </c>
      <c r="AN75" s="14" t="s">
        <v>9008</v>
      </c>
      <c r="AO75" s="14" t="s">
        <v>9009</v>
      </c>
      <c r="AP75" s="14" t="s">
        <v>9010</v>
      </c>
      <c r="AQ75" s="14" t="s">
        <v>99</v>
      </c>
      <c r="AR75" s="14" t="s">
        <v>9011</v>
      </c>
      <c r="AS75" s="14" t="s">
        <v>9012</v>
      </c>
      <c r="AT75" s="14" t="s">
        <v>99</v>
      </c>
      <c r="AU75" s="14">
        <v>2005.0</v>
      </c>
      <c r="AV75" s="14">
        <v>27.0</v>
      </c>
      <c r="AW75" s="14">
        <v>2.0</v>
      </c>
      <c r="AX75" s="14" t="s">
        <v>99</v>
      </c>
      <c r="AY75" s="14" t="s">
        <v>99</v>
      </c>
      <c r="AZ75" s="14" t="s">
        <v>99</v>
      </c>
      <c r="BA75" s="14" t="s">
        <v>99</v>
      </c>
      <c r="BB75" s="14">
        <v>143.0</v>
      </c>
      <c r="BC75" s="14">
        <v>149.0</v>
      </c>
      <c r="BD75" s="14" t="s">
        <v>99</v>
      </c>
      <c r="BE75" s="14" t="s">
        <v>9013</v>
      </c>
      <c r="BF75" s="15" t="str">
        <f>HYPERLINK("http://dx.doi.org/10.1071/RJ05012","http://dx.doi.org/10.1071/RJ05012")</f>
        <v>http://dx.doi.org/10.1071/RJ05012</v>
      </c>
      <c r="BG75" s="14" t="s">
        <v>99</v>
      </c>
      <c r="BH75" s="14" t="s">
        <v>99</v>
      </c>
      <c r="BI75" s="14">
        <v>7.0</v>
      </c>
      <c r="BJ75" s="14" t="s">
        <v>259</v>
      </c>
      <c r="BK75" s="14" t="s">
        <v>122</v>
      </c>
      <c r="BL75" s="14" t="s">
        <v>260</v>
      </c>
      <c r="BM75" s="14" t="s">
        <v>9014</v>
      </c>
      <c r="BN75" s="14" t="s">
        <v>99</v>
      </c>
      <c r="BO75" s="14" t="s">
        <v>238</v>
      </c>
      <c r="BP75" s="14" t="s">
        <v>99</v>
      </c>
      <c r="BQ75" s="14" t="s">
        <v>99</v>
      </c>
      <c r="BR75" s="14" t="s">
        <v>124</v>
      </c>
      <c r="BS75" s="14" t="s">
        <v>9015</v>
      </c>
      <c r="BT75" s="14" t="str">
        <f>HYPERLINK("https%3A%2F%2Fwww.webofscience.com%2Fwos%2Fwoscc%2Ffull-record%2FWOS:000233430700007","View Full Record in Web of Science")</f>
        <v>View Full Record in Web of Science</v>
      </c>
    </row>
    <row r="76" ht="12.75" customHeight="1">
      <c r="A76" s="14" t="s">
        <v>97</v>
      </c>
      <c r="B76" s="14" t="s">
        <v>9052</v>
      </c>
      <c r="C76" s="14" t="s">
        <v>99</v>
      </c>
      <c r="D76" s="14" t="s">
        <v>99</v>
      </c>
      <c r="E76" s="14" t="s">
        <v>99</v>
      </c>
      <c r="F76" s="14" t="s">
        <v>9052</v>
      </c>
      <c r="G76" s="14" t="s">
        <v>99</v>
      </c>
      <c r="H76" s="14" t="s">
        <v>99</v>
      </c>
      <c r="I76" s="14" t="s">
        <v>9053</v>
      </c>
      <c r="J76" s="14" t="s">
        <v>532</v>
      </c>
      <c r="K76" s="14" t="s">
        <v>99</v>
      </c>
      <c r="L76" s="14" t="s">
        <v>99</v>
      </c>
      <c r="M76" s="14" t="s">
        <v>103</v>
      </c>
      <c r="N76" s="14" t="s">
        <v>104</v>
      </c>
      <c r="O76" s="14" t="s">
        <v>99</v>
      </c>
      <c r="P76" s="14" t="s">
        <v>99</v>
      </c>
      <c r="Q76" s="14" t="s">
        <v>99</v>
      </c>
      <c r="R76" s="14" t="s">
        <v>99</v>
      </c>
      <c r="S76" s="14" t="s">
        <v>99</v>
      </c>
      <c r="T76" s="14" t="s">
        <v>9054</v>
      </c>
      <c r="U76" s="14" t="s">
        <v>9055</v>
      </c>
      <c r="V76" s="14" t="s">
        <v>9056</v>
      </c>
      <c r="W76" s="14" t="s">
        <v>9057</v>
      </c>
      <c r="X76" s="14" t="s">
        <v>9058</v>
      </c>
      <c r="Y76" s="14" t="s">
        <v>9059</v>
      </c>
      <c r="Z76" s="14" t="s">
        <v>9060</v>
      </c>
      <c r="AA76" s="14" t="s">
        <v>9061</v>
      </c>
      <c r="AB76" s="14" t="s">
        <v>9062</v>
      </c>
      <c r="AC76" s="14" t="s">
        <v>99</v>
      </c>
      <c r="AD76" s="14" t="s">
        <v>99</v>
      </c>
      <c r="AE76" s="14" t="s">
        <v>99</v>
      </c>
      <c r="AF76" s="14" t="s">
        <v>99</v>
      </c>
      <c r="AG76" s="14">
        <v>85.0</v>
      </c>
      <c r="AH76" s="14">
        <v>251.0</v>
      </c>
      <c r="AI76" s="14">
        <v>277.0</v>
      </c>
      <c r="AJ76" s="14">
        <v>3.0</v>
      </c>
      <c r="AK76" s="14">
        <v>172.0</v>
      </c>
      <c r="AL76" s="14" t="s">
        <v>341</v>
      </c>
      <c r="AM76" s="14" t="s">
        <v>342</v>
      </c>
      <c r="AN76" s="14" t="s">
        <v>343</v>
      </c>
      <c r="AO76" s="14" t="s">
        <v>545</v>
      </c>
      <c r="AP76" s="14" t="s">
        <v>546</v>
      </c>
      <c r="AQ76" s="14" t="s">
        <v>99</v>
      </c>
      <c r="AR76" s="14" t="s">
        <v>547</v>
      </c>
      <c r="AS76" s="14" t="s">
        <v>548</v>
      </c>
      <c r="AT76" s="14" t="s">
        <v>1058</v>
      </c>
      <c r="AU76" s="14">
        <v>2004.0</v>
      </c>
      <c r="AV76" s="14">
        <v>41.0</v>
      </c>
      <c r="AW76" s="14">
        <v>6.0</v>
      </c>
      <c r="AX76" s="14" t="s">
        <v>99</v>
      </c>
      <c r="AY76" s="14" t="s">
        <v>99</v>
      </c>
      <c r="AZ76" s="14" t="s">
        <v>99</v>
      </c>
      <c r="BA76" s="14" t="s">
        <v>99</v>
      </c>
      <c r="BB76" s="14">
        <v>1065.0</v>
      </c>
      <c r="BC76" s="14">
        <v>1079.0</v>
      </c>
      <c r="BD76" s="14" t="s">
        <v>99</v>
      </c>
      <c r="BE76" s="14" t="s">
        <v>9063</v>
      </c>
      <c r="BF76" s="15" t="str">
        <f>HYPERLINK("http://dx.doi.org/10.1111/j.0021-8901.2004.00960.x","http://dx.doi.org/10.1111/j.0021-8901.2004.00960.x")</f>
        <v>http://dx.doi.org/10.1111/j.0021-8901.2004.00960.x</v>
      </c>
      <c r="BG76" s="14" t="s">
        <v>99</v>
      </c>
      <c r="BH76" s="14" t="s">
        <v>99</v>
      </c>
      <c r="BI76" s="14">
        <v>15.0</v>
      </c>
      <c r="BJ76" s="14" t="s">
        <v>550</v>
      </c>
      <c r="BK76" s="14" t="s">
        <v>122</v>
      </c>
      <c r="BL76" s="14" t="s">
        <v>352</v>
      </c>
      <c r="BM76" s="14" t="s">
        <v>9064</v>
      </c>
      <c r="BN76" s="14" t="s">
        <v>99</v>
      </c>
      <c r="BO76" s="14" t="s">
        <v>238</v>
      </c>
      <c r="BP76" s="14" t="s">
        <v>99</v>
      </c>
      <c r="BQ76" s="14" t="s">
        <v>99</v>
      </c>
      <c r="BR76" s="14" t="s">
        <v>124</v>
      </c>
      <c r="BS76" s="14" t="s">
        <v>9065</v>
      </c>
      <c r="BT76" s="14" t="str">
        <f>HYPERLINK("https%3A%2F%2Fwww.webofscience.com%2Fwos%2Fwoscc%2Ffull-record%2FWOS:000225632800006","View Full Record in Web of Science")</f>
        <v>View Full Record in Web of Science</v>
      </c>
    </row>
    <row r="77" ht="12.75" customHeight="1">
      <c r="A77" s="14" t="s">
        <v>97</v>
      </c>
      <c r="B77" s="14" t="s">
        <v>9171</v>
      </c>
      <c r="C77" s="14" t="s">
        <v>99</v>
      </c>
      <c r="D77" s="14" t="s">
        <v>99</v>
      </c>
      <c r="E77" s="14" t="s">
        <v>99</v>
      </c>
      <c r="F77" s="14" t="s">
        <v>9171</v>
      </c>
      <c r="G77" s="14" t="s">
        <v>99</v>
      </c>
      <c r="H77" s="14" t="s">
        <v>99</v>
      </c>
      <c r="I77" s="14" t="s">
        <v>9172</v>
      </c>
      <c r="J77" s="14" t="s">
        <v>2142</v>
      </c>
      <c r="K77" s="14" t="s">
        <v>99</v>
      </c>
      <c r="L77" s="14" t="s">
        <v>99</v>
      </c>
      <c r="M77" s="14" t="s">
        <v>103</v>
      </c>
      <c r="N77" s="14" t="s">
        <v>104</v>
      </c>
      <c r="O77" s="14" t="s">
        <v>99</v>
      </c>
      <c r="P77" s="14" t="s">
        <v>99</v>
      </c>
      <c r="Q77" s="14" t="s">
        <v>99</v>
      </c>
      <c r="R77" s="14" t="s">
        <v>99</v>
      </c>
      <c r="S77" s="14" t="s">
        <v>99</v>
      </c>
      <c r="T77" s="14" t="s">
        <v>9173</v>
      </c>
      <c r="U77" s="14" t="s">
        <v>9174</v>
      </c>
      <c r="V77" s="14" t="s">
        <v>9175</v>
      </c>
      <c r="W77" s="14" t="s">
        <v>9176</v>
      </c>
      <c r="X77" s="14" t="s">
        <v>9177</v>
      </c>
      <c r="Y77" s="14" t="s">
        <v>9178</v>
      </c>
      <c r="Z77" s="14" t="s">
        <v>9179</v>
      </c>
      <c r="AA77" s="14" t="s">
        <v>9180</v>
      </c>
      <c r="AB77" s="14" t="s">
        <v>99</v>
      </c>
      <c r="AC77" s="14" t="s">
        <v>99</v>
      </c>
      <c r="AD77" s="14" t="s">
        <v>99</v>
      </c>
      <c r="AE77" s="14" t="s">
        <v>99</v>
      </c>
      <c r="AF77" s="14" t="s">
        <v>99</v>
      </c>
      <c r="AG77" s="14">
        <v>54.0</v>
      </c>
      <c r="AH77" s="14">
        <v>58.0</v>
      </c>
      <c r="AI77" s="14">
        <v>64.0</v>
      </c>
      <c r="AJ77" s="14">
        <v>2.0</v>
      </c>
      <c r="AK77" s="14">
        <v>43.0</v>
      </c>
      <c r="AL77" s="14" t="s">
        <v>341</v>
      </c>
      <c r="AM77" s="14" t="s">
        <v>342</v>
      </c>
      <c r="AN77" s="14" t="s">
        <v>343</v>
      </c>
      <c r="AO77" s="14" t="s">
        <v>2155</v>
      </c>
      <c r="AP77" s="14" t="s">
        <v>2156</v>
      </c>
      <c r="AQ77" s="14" t="s">
        <v>99</v>
      </c>
      <c r="AR77" s="14" t="s">
        <v>2157</v>
      </c>
      <c r="AS77" s="14" t="s">
        <v>2158</v>
      </c>
      <c r="AT77" s="14" t="s">
        <v>474</v>
      </c>
      <c r="AU77" s="14">
        <v>2004.0</v>
      </c>
      <c r="AV77" s="14">
        <v>18.0</v>
      </c>
      <c r="AW77" s="14">
        <v>4.0</v>
      </c>
      <c r="AX77" s="14" t="s">
        <v>99</v>
      </c>
      <c r="AY77" s="14" t="s">
        <v>99</v>
      </c>
      <c r="AZ77" s="14" t="s">
        <v>99</v>
      </c>
      <c r="BA77" s="14" t="s">
        <v>99</v>
      </c>
      <c r="BB77" s="14">
        <v>1052.0</v>
      </c>
      <c r="BC77" s="14">
        <v>1062.0</v>
      </c>
      <c r="BD77" s="14" t="s">
        <v>99</v>
      </c>
      <c r="BE77" s="14" t="s">
        <v>9181</v>
      </c>
      <c r="BF77" s="15" t="str">
        <f>HYPERLINK("http://dx.doi.org/10.1111/j.1523-1739.2004.00199.x","http://dx.doi.org/10.1111/j.1523-1739.2004.00199.x")</f>
        <v>http://dx.doi.org/10.1111/j.1523-1739.2004.00199.x</v>
      </c>
      <c r="BG77" s="14" t="s">
        <v>99</v>
      </c>
      <c r="BH77" s="14" t="s">
        <v>99</v>
      </c>
      <c r="BI77" s="14">
        <v>11.0</v>
      </c>
      <c r="BJ77" s="14" t="s">
        <v>351</v>
      </c>
      <c r="BK77" s="14" t="s">
        <v>122</v>
      </c>
      <c r="BL77" s="14" t="s">
        <v>352</v>
      </c>
      <c r="BM77" s="14" t="s">
        <v>9182</v>
      </c>
      <c r="BN77" s="14" t="s">
        <v>99</v>
      </c>
      <c r="BO77" s="14" t="s">
        <v>99</v>
      </c>
      <c r="BP77" s="14" t="s">
        <v>99</v>
      </c>
      <c r="BQ77" s="14" t="s">
        <v>99</v>
      </c>
      <c r="BR77" s="14" t="s">
        <v>124</v>
      </c>
      <c r="BS77" s="14" t="s">
        <v>9183</v>
      </c>
      <c r="BT77" s="14" t="str">
        <f>HYPERLINK("https%3A%2F%2Fwww.webofscience.com%2Fwos%2Fwoscc%2Ffull-record%2FWOS:000222979400026","View Full Record in Web of Science")</f>
        <v>View Full Record in Web of Science</v>
      </c>
    </row>
    <row r="78" ht="12.75" customHeight="1">
      <c r="A78" s="14" t="s">
        <v>97</v>
      </c>
      <c r="B78" s="14" t="s">
        <v>9238</v>
      </c>
      <c r="C78" s="14" t="s">
        <v>99</v>
      </c>
      <c r="D78" s="14" t="s">
        <v>99</v>
      </c>
      <c r="E78" s="14" t="s">
        <v>99</v>
      </c>
      <c r="F78" s="14" t="s">
        <v>9238</v>
      </c>
      <c r="G78" s="14" t="s">
        <v>99</v>
      </c>
      <c r="H78" s="14" t="s">
        <v>99</v>
      </c>
      <c r="I78" s="14" t="s">
        <v>9239</v>
      </c>
      <c r="J78" s="14" t="s">
        <v>5603</v>
      </c>
      <c r="K78" s="14" t="s">
        <v>99</v>
      </c>
      <c r="L78" s="14" t="s">
        <v>99</v>
      </c>
      <c r="M78" s="14" t="s">
        <v>103</v>
      </c>
      <c r="N78" s="14" t="s">
        <v>104</v>
      </c>
      <c r="O78" s="14" t="s">
        <v>99</v>
      </c>
      <c r="P78" s="14" t="s">
        <v>99</v>
      </c>
      <c r="Q78" s="14" t="s">
        <v>99</v>
      </c>
      <c r="R78" s="14" t="s">
        <v>99</v>
      </c>
      <c r="S78" s="14" t="s">
        <v>99</v>
      </c>
      <c r="T78" s="14" t="s">
        <v>9240</v>
      </c>
      <c r="U78" s="14" t="s">
        <v>9241</v>
      </c>
      <c r="V78" s="14" t="s">
        <v>9242</v>
      </c>
      <c r="W78" s="14" t="s">
        <v>9243</v>
      </c>
      <c r="X78" s="14" t="s">
        <v>9244</v>
      </c>
      <c r="Y78" s="14" t="s">
        <v>9245</v>
      </c>
      <c r="Z78" s="14" t="s">
        <v>9246</v>
      </c>
      <c r="AA78" s="14" t="s">
        <v>9247</v>
      </c>
      <c r="AB78" s="14" t="s">
        <v>9248</v>
      </c>
      <c r="AC78" s="14" t="s">
        <v>99</v>
      </c>
      <c r="AD78" s="14" t="s">
        <v>99</v>
      </c>
      <c r="AE78" s="14" t="s">
        <v>99</v>
      </c>
      <c r="AF78" s="14" t="s">
        <v>99</v>
      </c>
      <c r="AG78" s="14">
        <v>64.0</v>
      </c>
      <c r="AH78" s="14">
        <v>49.0</v>
      </c>
      <c r="AI78" s="14">
        <v>53.0</v>
      </c>
      <c r="AJ78" s="14">
        <v>0.0</v>
      </c>
      <c r="AK78" s="14">
        <v>38.0</v>
      </c>
      <c r="AL78" s="14" t="s">
        <v>441</v>
      </c>
      <c r="AM78" s="14" t="s">
        <v>442</v>
      </c>
      <c r="AN78" s="14" t="s">
        <v>443</v>
      </c>
      <c r="AO78" s="14" t="s">
        <v>5616</v>
      </c>
      <c r="AP78" s="14" t="s">
        <v>5617</v>
      </c>
      <c r="AQ78" s="14" t="s">
        <v>99</v>
      </c>
      <c r="AR78" s="14" t="s">
        <v>5618</v>
      </c>
      <c r="AS78" s="14" t="s">
        <v>5619</v>
      </c>
      <c r="AT78" s="14" t="s">
        <v>640</v>
      </c>
      <c r="AU78" s="14">
        <v>2004.0</v>
      </c>
      <c r="AV78" s="14">
        <v>102.0</v>
      </c>
      <c r="AW78" s="14">
        <v>3.0</v>
      </c>
      <c r="AX78" s="14" t="s">
        <v>99</v>
      </c>
      <c r="AY78" s="14" t="s">
        <v>99</v>
      </c>
      <c r="AZ78" s="14" t="s">
        <v>99</v>
      </c>
      <c r="BA78" s="14" t="s">
        <v>99</v>
      </c>
      <c r="BB78" s="14">
        <v>263.0</v>
      </c>
      <c r="BC78" s="14">
        <v>277.0</v>
      </c>
      <c r="BD78" s="14" t="s">
        <v>99</v>
      </c>
      <c r="BE78" s="14" t="s">
        <v>9249</v>
      </c>
      <c r="BF78" s="15" t="str">
        <f>HYPERLINK("http://dx.doi.org/10.1016/j.agee.2003.09.014","http://dx.doi.org/10.1016/j.agee.2003.09.014")</f>
        <v>http://dx.doi.org/10.1016/j.agee.2003.09.014</v>
      </c>
      <c r="BG78" s="14" t="s">
        <v>99</v>
      </c>
      <c r="BH78" s="14" t="s">
        <v>99</v>
      </c>
      <c r="BI78" s="14">
        <v>15.0</v>
      </c>
      <c r="BJ78" s="14" t="s">
        <v>5622</v>
      </c>
      <c r="BK78" s="14" t="s">
        <v>122</v>
      </c>
      <c r="BL78" s="14" t="s">
        <v>5623</v>
      </c>
      <c r="BM78" s="14" t="s">
        <v>9250</v>
      </c>
      <c r="BN78" s="14" t="s">
        <v>99</v>
      </c>
      <c r="BO78" s="14" t="s">
        <v>99</v>
      </c>
      <c r="BP78" s="14" t="s">
        <v>99</v>
      </c>
      <c r="BQ78" s="14" t="s">
        <v>99</v>
      </c>
      <c r="BR78" s="14" t="s">
        <v>124</v>
      </c>
      <c r="BS78" s="14" t="s">
        <v>9251</v>
      </c>
      <c r="BT78" s="14" t="str">
        <f>HYPERLINK("https%3A%2F%2Fwww.webofscience.com%2Fwos%2Fwoscc%2Ffull-record%2FWOS:000220873500003","View Full Record in Web of Science")</f>
        <v>View Full Record in Web of Science</v>
      </c>
    </row>
    <row r="79" ht="12.75" customHeight="1">
      <c r="A79" s="14" t="s">
        <v>97</v>
      </c>
      <c r="B79" s="14" t="s">
        <v>9252</v>
      </c>
      <c r="C79" s="14" t="s">
        <v>99</v>
      </c>
      <c r="D79" s="14" t="s">
        <v>99</v>
      </c>
      <c r="E79" s="14" t="s">
        <v>99</v>
      </c>
      <c r="F79" s="14" t="s">
        <v>9252</v>
      </c>
      <c r="G79" s="14" t="s">
        <v>99</v>
      </c>
      <c r="H79" s="14" t="s">
        <v>99</v>
      </c>
      <c r="I79" s="14" t="s">
        <v>9253</v>
      </c>
      <c r="J79" s="14" t="s">
        <v>1102</v>
      </c>
      <c r="K79" s="14" t="s">
        <v>99</v>
      </c>
      <c r="L79" s="14" t="s">
        <v>99</v>
      </c>
      <c r="M79" s="14" t="s">
        <v>103</v>
      </c>
      <c r="N79" s="14" t="s">
        <v>104</v>
      </c>
      <c r="O79" s="14" t="s">
        <v>99</v>
      </c>
      <c r="P79" s="14" t="s">
        <v>99</v>
      </c>
      <c r="Q79" s="14" t="s">
        <v>99</v>
      </c>
      <c r="R79" s="14" t="s">
        <v>99</v>
      </c>
      <c r="S79" s="14" t="s">
        <v>99</v>
      </c>
      <c r="T79" s="14" t="s">
        <v>9254</v>
      </c>
      <c r="U79" s="14" t="s">
        <v>9255</v>
      </c>
      <c r="V79" s="14" t="s">
        <v>9256</v>
      </c>
      <c r="W79" s="14" t="s">
        <v>9257</v>
      </c>
      <c r="X79" s="14" t="s">
        <v>9258</v>
      </c>
      <c r="Y79" s="14" t="s">
        <v>9259</v>
      </c>
      <c r="Z79" s="14" t="s">
        <v>9260</v>
      </c>
      <c r="AA79" s="14" t="s">
        <v>9261</v>
      </c>
      <c r="AB79" s="14" t="s">
        <v>99</v>
      </c>
      <c r="AC79" s="14" t="s">
        <v>99</v>
      </c>
      <c r="AD79" s="14" t="s">
        <v>99</v>
      </c>
      <c r="AE79" s="14" t="s">
        <v>99</v>
      </c>
      <c r="AF79" s="14" t="s">
        <v>99</v>
      </c>
      <c r="AG79" s="14">
        <v>54.0</v>
      </c>
      <c r="AH79" s="14">
        <v>222.0</v>
      </c>
      <c r="AI79" s="14">
        <v>239.0</v>
      </c>
      <c r="AJ79" s="14">
        <v>0.0</v>
      </c>
      <c r="AK79" s="14">
        <v>52.0</v>
      </c>
      <c r="AL79" s="14" t="s">
        <v>493</v>
      </c>
      <c r="AM79" s="14" t="s">
        <v>468</v>
      </c>
      <c r="AN79" s="14" t="s">
        <v>635</v>
      </c>
      <c r="AO79" s="14" t="s">
        <v>1112</v>
      </c>
      <c r="AP79" s="14" t="s">
        <v>99</v>
      </c>
      <c r="AQ79" s="14" t="s">
        <v>99</v>
      </c>
      <c r="AR79" s="14" t="s">
        <v>1114</v>
      </c>
      <c r="AS79" s="14" t="s">
        <v>1115</v>
      </c>
      <c r="AT79" s="14" t="s">
        <v>640</v>
      </c>
      <c r="AU79" s="14">
        <v>2004.0</v>
      </c>
      <c r="AV79" s="14">
        <v>117.0</v>
      </c>
      <c r="AW79" s="14">
        <v>3.0</v>
      </c>
      <c r="AX79" s="14" t="s">
        <v>99</v>
      </c>
      <c r="AY79" s="14" t="s">
        <v>99</v>
      </c>
      <c r="AZ79" s="14" t="s">
        <v>99</v>
      </c>
      <c r="BA79" s="14" t="s">
        <v>99</v>
      </c>
      <c r="BB79" s="14">
        <v>271.0</v>
      </c>
      <c r="BC79" s="14">
        <v>283.0</v>
      </c>
      <c r="BD79" s="14" t="s">
        <v>99</v>
      </c>
      <c r="BE79" s="14" t="s">
        <v>9262</v>
      </c>
      <c r="BF79" s="15" t="str">
        <f>HYPERLINK("http://dx.doi.org/10.1016/j.biocon.2003.12.007","http://dx.doi.org/10.1016/j.biocon.2003.12.007")</f>
        <v>http://dx.doi.org/10.1016/j.biocon.2003.12.007</v>
      </c>
      <c r="BG79" s="14" t="s">
        <v>99</v>
      </c>
      <c r="BH79" s="14" t="s">
        <v>99</v>
      </c>
      <c r="BI79" s="14">
        <v>13.0</v>
      </c>
      <c r="BJ79" s="14" t="s">
        <v>351</v>
      </c>
      <c r="BK79" s="14" t="s">
        <v>122</v>
      </c>
      <c r="BL79" s="14" t="s">
        <v>352</v>
      </c>
      <c r="BM79" s="14" t="s">
        <v>9263</v>
      </c>
      <c r="BN79" s="14" t="s">
        <v>99</v>
      </c>
      <c r="BO79" s="14" t="s">
        <v>99</v>
      </c>
      <c r="BP79" s="14" t="s">
        <v>99</v>
      </c>
      <c r="BQ79" s="14" t="s">
        <v>99</v>
      </c>
      <c r="BR79" s="14" t="s">
        <v>124</v>
      </c>
      <c r="BS79" s="14" t="s">
        <v>9264</v>
      </c>
      <c r="BT79" s="14" t="str">
        <f>HYPERLINK("https%3A%2F%2Fwww.webofscience.com%2Fwos%2Fwoscc%2Ffull-record%2FWOS:000220702900006","View Full Record in Web of Science")</f>
        <v>View Full Record in Web of Science</v>
      </c>
    </row>
    <row r="80" ht="12.75" customHeight="1">
      <c r="A80" s="14" t="s">
        <v>97</v>
      </c>
      <c r="B80" s="14" t="s">
        <v>9280</v>
      </c>
      <c r="C80" s="14" t="s">
        <v>99</v>
      </c>
      <c r="D80" s="14" t="s">
        <v>99</v>
      </c>
      <c r="E80" s="14" t="s">
        <v>99</v>
      </c>
      <c r="F80" s="14" t="s">
        <v>9280</v>
      </c>
      <c r="G80" s="14" t="s">
        <v>99</v>
      </c>
      <c r="H80" s="14" t="s">
        <v>99</v>
      </c>
      <c r="I80" s="14" t="s">
        <v>9281</v>
      </c>
      <c r="J80" s="14" t="s">
        <v>430</v>
      </c>
      <c r="K80" s="14" t="s">
        <v>99</v>
      </c>
      <c r="L80" s="14" t="s">
        <v>99</v>
      </c>
      <c r="M80" s="14" t="s">
        <v>103</v>
      </c>
      <c r="N80" s="14" t="s">
        <v>104</v>
      </c>
      <c r="O80" s="14" t="s">
        <v>99</v>
      </c>
      <c r="P80" s="14" t="s">
        <v>99</v>
      </c>
      <c r="Q80" s="14" t="s">
        <v>99</v>
      </c>
      <c r="R80" s="14" t="s">
        <v>99</v>
      </c>
      <c r="S80" s="14" t="s">
        <v>99</v>
      </c>
      <c r="T80" s="14" t="s">
        <v>9282</v>
      </c>
      <c r="U80" s="14" t="s">
        <v>9283</v>
      </c>
      <c r="V80" s="14" t="s">
        <v>9284</v>
      </c>
      <c r="W80" s="14" t="s">
        <v>9285</v>
      </c>
      <c r="X80" s="14" t="s">
        <v>9286</v>
      </c>
      <c r="Y80" s="14" t="s">
        <v>9287</v>
      </c>
      <c r="Z80" s="14" t="s">
        <v>9288</v>
      </c>
      <c r="AA80" s="14" t="s">
        <v>9289</v>
      </c>
      <c r="AB80" s="14" t="s">
        <v>99</v>
      </c>
      <c r="AC80" s="14" t="s">
        <v>99</v>
      </c>
      <c r="AD80" s="14" t="s">
        <v>99</v>
      </c>
      <c r="AE80" s="14" t="s">
        <v>99</v>
      </c>
      <c r="AF80" s="14" t="s">
        <v>99</v>
      </c>
      <c r="AG80" s="14">
        <v>32.0</v>
      </c>
      <c r="AH80" s="14">
        <v>52.0</v>
      </c>
      <c r="AI80" s="14">
        <v>57.0</v>
      </c>
      <c r="AJ80" s="14">
        <v>0.0</v>
      </c>
      <c r="AK80" s="14">
        <v>24.0</v>
      </c>
      <c r="AL80" s="14" t="s">
        <v>441</v>
      </c>
      <c r="AM80" s="14" t="s">
        <v>442</v>
      </c>
      <c r="AN80" s="14" t="s">
        <v>443</v>
      </c>
      <c r="AO80" s="14" t="s">
        <v>444</v>
      </c>
      <c r="AP80" s="14" t="s">
        <v>445</v>
      </c>
      <c r="AQ80" s="14" t="s">
        <v>99</v>
      </c>
      <c r="AR80" s="14" t="s">
        <v>446</v>
      </c>
      <c r="AS80" s="14" t="s">
        <v>447</v>
      </c>
      <c r="AT80" s="14" t="s">
        <v>9290</v>
      </c>
      <c r="AU80" s="14">
        <v>2004.0</v>
      </c>
      <c r="AV80" s="14">
        <v>187.0</v>
      </c>
      <c r="AW80" s="14" t="s">
        <v>7889</v>
      </c>
      <c r="AX80" s="14" t="s">
        <v>99</v>
      </c>
      <c r="AY80" s="14" t="s">
        <v>99</v>
      </c>
      <c r="AZ80" s="14" t="s">
        <v>99</v>
      </c>
      <c r="BA80" s="14" t="s">
        <v>99</v>
      </c>
      <c r="BB80" s="14">
        <v>213.0</v>
      </c>
      <c r="BC80" s="14">
        <v>223.0</v>
      </c>
      <c r="BD80" s="14" t="s">
        <v>99</v>
      </c>
      <c r="BE80" s="14" t="s">
        <v>9291</v>
      </c>
      <c r="BF80" s="15" t="str">
        <f>HYPERLINK("http://dx.doi.org/10.1016/S0378-1127(03)00333-5","http://dx.doi.org/10.1016/S0378-1127(03)00333-5")</f>
        <v>http://dx.doi.org/10.1016/S0378-1127(03)00333-5</v>
      </c>
      <c r="BG80" s="14" t="s">
        <v>99</v>
      </c>
      <c r="BH80" s="14" t="s">
        <v>99</v>
      </c>
      <c r="BI80" s="14">
        <v>11.0</v>
      </c>
      <c r="BJ80" s="14" t="s">
        <v>281</v>
      </c>
      <c r="BK80" s="14" t="s">
        <v>122</v>
      </c>
      <c r="BL80" s="14" t="s">
        <v>281</v>
      </c>
      <c r="BM80" s="14" t="s">
        <v>9292</v>
      </c>
      <c r="BN80" s="14" t="s">
        <v>99</v>
      </c>
      <c r="BO80" s="14" t="s">
        <v>99</v>
      </c>
      <c r="BP80" s="14" t="s">
        <v>99</v>
      </c>
      <c r="BQ80" s="14" t="s">
        <v>99</v>
      </c>
      <c r="BR80" s="14" t="s">
        <v>124</v>
      </c>
      <c r="BS80" s="14" t="s">
        <v>9293</v>
      </c>
      <c r="BT80" s="14" t="str">
        <f>HYPERLINK("https%3A%2F%2Fwww.webofscience.com%2Fwos%2Fwoscc%2Ffull-record%2FWOS:000187914900007","View Full Record in Web of Science")</f>
        <v>View Full Record in Web of Science</v>
      </c>
    </row>
    <row r="81" ht="12.75" customHeight="1">
      <c r="A81" s="14" t="s">
        <v>97</v>
      </c>
      <c r="B81" s="14" t="s">
        <v>9374</v>
      </c>
      <c r="C81" s="14" t="s">
        <v>99</v>
      </c>
      <c r="D81" s="14" t="s">
        <v>99</v>
      </c>
      <c r="E81" s="14" t="s">
        <v>99</v>
      </c>
      <c r="F81" s="14" t="s">
        <v>9374</v>
      </c>
      <c r="G81" s="14" t="s">
        <v>99</v>
      </c>
      <c r="H81" s="14" t="s">
        <v>99</v>
      </c>
      <c r="I81" s="14" t="s">
        <v>9375</v>
      </c>
      <c r="J81" s="14" t="s">
        <v>430</v>
      </c>
      <c r="K81" s="14" t="s">
        <v>99</v>
      </c>
      <c r="L81" s="14" t="s">
        <v>99</v>
      </c>
      <c r="M81" s="14" t="s">
        <v>103</v>
      </c>
      <c r="N81" s="14" t="s">
        <v>104</v>
      </c>
      <c r="O81" s="14" t="s">
        <v>99</v>
      </c>
      <c r="P81" s="14" t="s">
        <v>99</v>
      </c>
      <c r="Q81" s="14" t="s">
        <v>99</v>
      </c>
      <c r="R81" s="14" t="s">
        <v>99</v>
      </c>
      <c r="S81" s="14" t="s">
        <v>99</v>
      </c>
      <c r="T81" s="14" t="s">
        <v>9376</v>
      </c>
      <c r="U81" s="14" t="s">
        <v>9377</v>
      </c>
      <c r="V81" s="14" t="s">
        <v>9378</v>
      </c>
      <c r="W81" s="14" t="s">
        <v>9379</v>
      </c>
      <c r="X81" s="14" t="s">
        <v>9380</v>
      </c>
      <c r="Y81" s="14" t="s">
        <v>9381</v>
      </c>
      <c r="Z81" s="14" t="s">
        <v>99</v>
      </c>
      <c r="AA81" s="14" t="s">
        <v>99</v>
      </c>
      <c r="AB81" s="14" t="s">
        <v>99</v>
      </c>
      <c r="AC81" s="14" t="s">
        <v>99</v>
      </c>
      <c r="AD81" s="14" t="s">
        <v>99</v>
      </c>
      <c r="AE81" s="14" t="s">
        <v>99</v>
      </c>
      <c r="AF81" s="14" t="s">
        <v>99</v>
      </c>
      <c r="AG81" s="14">
        <v>28.0</v>
      </c>
      <c r="AH81" s="14">
        <v>14.0</v>
      </c>
      <c r="AI81" s="14">
        <v>16.0</v>
      </c>
      <c r="AJ81" s="14">
        <v>3.0</v>
      </c>
      <c r="AK81" s="14">
        <v>16.0</v>
      </c>
      <c r="AL81" s="14" t="s">
        <v>1033</v>
      </c>
      <c r="AM81" s="14" t="s">
        <v>442</v>
      </c>
      <c r="AN81" s="14" t="s">
        <v>1034</v>
      </c>
      <c r="AO81" s="14" t="s">
        <v>444</v>
      </c>
      <c r="AP81" s="14" t="s">
        <v>99</v>
      </c>
      <c r="AQ81" s="14" t="s">
        <v>99</v>
      </c>
      <c r="AR81" s="14" t="s">
        <v>446</v>
      </c>
      <c r="AS81" s="14" t="s">
        <v>447</v>
      </c>
      <c r="AT81" s="14" t="s">
        <v>6116</v>
      </c>
      <c r="AU81" s="14">
        <v>2003.0</v>
      </c>
      <c r="AV81" s="14">
        <v>182.0</v>
      </c>
      <c r="AW81" s="14" t="s">
        <v>8123</v>
      </c>
      <c r="AX81" s="14" t="s">
        <v>99</v>
      </c>
      <c r="AY81" s="14" t="s">
        <v>99</v>
      </c>
      <c r="AZ81" s="14" t="s">
        <v>99</v>
      </c>
      <c r="BA81" s="14" t="s">
        <v>99</v>
      </c>
      <c r="BB81" s="14">
        <v>103.0</v>
      </c>
      <c r="BC81" s="14">
        <v>116.0</v>
      </c>
      <c r="BD81" s="14" t="s">
        <v>99</v>
      </c>
      <c r="BE81" s="14" t="s">
        <v>9382</v>
      </c>
      <c r="BF81" s="15" t="str">
        <f>HYPERLINK("http://dx.doi.org/10.1016/S0378-1127(03)00012-4","http://dx.doi.org/10.1016/S0378-1127(03)00012-4")</f>
        <v>http://dx.doi.org/10.1016/S0378-1127(03)00012-4</v>
      </c>
      <c r="BG81" s="14" t="s">
        <v>99</v>
      </c>
      <c r="BH81" s="14" t="s">
        <v>99</v>
      </c>
      <c r="BI81" s="14">
        <v>14.0</v>
      </c>
      <c r="BJ81" s="14" t="s">
        <v>281</v>
      </c>
      <c r="BK81" s="14" t="s">
        <v>122</v>
      </c>
      <c r="BL81" s="14" t="s">
        <v>281</v>
      </c>
      <c r="BM81" s="14" t="s">
        <v>9383</v>
      </c>
      <c r="BN81" s="14" t="s">
        <v>99</v>
      </c>
      <c r="BO81" s="14" t="s">
        <v>99</v>
      </c>
      <c r="BP81" s="14" t="s">
        <v>99</v>
      </c>
      <c r="BQ81" s="14" t="s">
        <v>99</v>
      </c>
      <c r="BR81" s="14" t="s">
        <v>124</v>
      </c>
      <c r="BS81" s="14" t="s">
        <v>9384</v>
      </c>
      <c r="BT81" s="14" t="str">
        <f>HYPERLINK("https%3A%2F%2Fwww.webofscience.com%2Fwos%2Fwoscc%2Ffull-record%2FWOS:000185054900008","View Full Record in Web of Science")</f>
        <v>View Full Record in Web of Science</v>
      </c>
    </row>
    <row r="82" ht="12.75" customHeight="1">
      <c r="A82" s="14" t="s">
        <v>97</v>
      </c>
      <c r="B82" s="14" t="s">
        <v>9407</v>
      </c>
      <c r="C82" s="14" t="s">
        <v>99</v>
      </c>
      <c r="D82" s="14" t="s">
        <v>99</v>
      </c>
      <c r="E82" s="14" t="s">
        <v>99</v>
      </c>
      <c r="F82" s="14" t="s">
        <v>9407</v>
      </c>
      <c r="G82" s="14" t="s">
        <v>99</v>
      </c>
      <c r="H82" s="14" t="s">
        <v>99</v>
      </c>
      <c r="I82" s="14" t="s">
        <v>9408</v>
      </c>
      <c r="J82" s="14" t="s">
        <v>1721</v>
      </c>
      <c r="K82" s="14" t="s">
        <v>99</v>
      </c>
      <c r="L82" s="14" t="s">
        <v>99</v>
      </c>
      <c r="M82" s="14" t="s">
        <v>103</v>
      </c>
      <c r="N82" s="14" t="s">
        <v>104</v>
      </c>
      <c r="O82" s="14" t="s">
        <v>99</v>
      </c>
      <c r="P82" s="14" t="s">
        <v>99</v>
      </c>
      <c r="Q82" s="14" t="s">
        <v>99</v>
      </c>
      <c r="R82" s="14" t="s">
        <v>99</v>
      </c>
      <c r="S82" s="14" t="s">
        <v>99</v>
      </c>
      <c r="T82" s="14" t="s">
        <v>9409</v>
      </c>
      <c r="U82" s="14" t="s">
        <v>9410</v>
      </c>
      <c r="V82" s="14" t="s">
        <v>9411</v>
      </c>
      <c r="W82" s="14" t="s">
        <v>9412</v>
      </c>
      <c r="X82" s="14" t="s">
        <v>9413</v>
      </c>
      <c r="Y82" s="14" t="s">
        <v>9414</v>
      </c>
      <c r="Z82" s="14" t="s">
        <v>9415</v>
      </c>
      <c r="AA82" s="14" t="s">
        <v>9416</v>
      </c>
      <c r="AB82" s="14" t="s">
        <v>9417</v>
      </c>
      <c r="AC82" s="14" t="s">
        <v>99</v>
      </c>
      <c r="AD82" s="14" t="s">
        <v>99</v>
      </c>
      <c r="AE82" s="14" t="s">
        <v>99</v>
      </c>
      <c r="AF82" s="14" t="s">
        <v>99</v>
      </c>
      <c r="AG82" s="14">
        <v>53.0</v>
      </c>
      <c r="AH82" s="14">
        <v>40.0</v>
      </c>
      <c r="AI82" s="14">
        <v>45.0</v>
      </c>
      <c r="AJ82" s="14">
        <v>0.0</v>
      </c>
      <c r="AK82" s="14">
        <v>28.0</v>
      </c>
      <c r="AL82" s="14" t="s">
        <v>1731</v>
      </c>
      <c r="AM82" s="14" t="s">
        <v>1732</v>
      </c>
      <c r="AN82" s="14" t="s">
        <v>1733</v>
      </c>
      <c r="AO82" s="14" t="s">
        <v>1734</v>
      </c>
      <c r="AP82" s="14" t="s">
        <v>1735</v>
      </c>
      <c r="AQ82" s="14" t="s">
        <v>99</v>
      </c>
      <c r="AR82" s="14" t="s">
        <v>1736</v>
      </c>
      <c r="AS82" s="14" t="s">
        <v>1737</v>
      </c>
      <c r="AT82" s="14" t="s">
        <v>474</v>
      </c>
      <c r="AU82" s="14">
        <v>2003.0</v>
      </c>
      <c r="AV82" s="14">
        <v>12.0</v>
      </c>
      <c r="AW82" s="14">
        <v>8.0</v>
      </c>
      <c r="AX82" s="14" t="s">
        <v>99</v>
      </c>
      <c r="AY82" s="14" t="s">
        <v>99</v>
      </c>
      <c r="AZ82" s="14" t="s">
        <v>99</v>
      </c>
      <c r="BA82" s="14" t="s">
        <v>99</v>
      </c>
      <c r="BB82" s="14">
        <v>1553.0</v>
      </c>
      <c r="BC82" s="14">
        <v>1570.0</v>
      </c>
      <c r="BD82" s="14" t="s">
        <v>99</v>
      </c>
      <c r="BE82" s="14" t="s">
        <v>9418</v>
      </c>
      <c r="BF82" s="15" t="str">
        <f>HYPERLINK("http://dx.doi.org/10.1023/A:1023603813163","http://dx.doi.org/10.1023/A:1023603813163")</f>
        <v>http://dx.doi.org/10.1023/A:1023603813163</v>
      </c>
      <c r="BG82" s="14" t="s">
        <v>99</v>
      </c>
      <c r="BH82" s="14" t="s">
        <v>99</v>
      </c>
      <c r="BI82" s="14">
        <v>18.0</v>
      </c>
      <c r="BJ82" s="14" t="s">
        <v>351</v>
      </c>
      <c r="BK82" s="14" t="s">
        <v>122</v>
      </c>
      <c r="BL82" s="14" t="s">
        <v>352</v>
      </c>
      <c r="BM82" s="14" t="s">
        <v>9419</v>
      </c>
      <c r="BN82" s="14" t="s">
        <v>99</v>
      </c>
      <c r="BO82" s="14" t="s">
        <v>425</v>
      </c>
      <c r="BP82" s="14" t="s">
        <v>99</v>
      </c>
      <c r="BQ82" s="14" t="s">
        <v>99</v>
      </c>
      <c r="BR82" s="14" t="s">
        <v>124</v>
      </c>
      <c r="BS82" s="14" t="s">
        <v>9420</v>
      </c>
      <c r="BT82" s="14" t="str">
        <f>HYPERLINK("https%3A%2F%2Fwww.webofscience.com%2Fwos%2Fwoscc%2Ffull-record%2FWOS:000182583000001","View Full Record in Web of Science")</f>
        <v>View Full Record in Web of Science</v>
      </c>
    </row>
    <row r="83" ht="12.75" customHeight="1">
      <c r="A83" s="14" t="s">
        <v>97</v>
      </c>
      <c r="B83" s="14" t="s">
        <v>9436</v>
      </c>
      <c r="C83" s="14" t="s">
        <v>99</v>
      </c>
      <c r="D83" s="14" t="s">
        <v>99</v>
      </c>
      <c r="E83" s="14" t="s">
        <v>99</v>
      </c>
      <c r="F83" s="14" t="s">
        <v>9436</v>
      </c>
      <c r="G83" s="14" t="s">
        <v>99</v>
      </c>
      <c r="H83" s="14" t="s">
        <v>99</v>
      </c>
      <c r="I83" s="14" t="s">
        <v>9437</v>
      </c>
      <c r="J83" s="14" t="s">
        <v>5603</v>
      </c>
      <c r="K83" s="14" t="s">
        <v>99</v>
      </c>
      <c r="L83" s="14" t="s">
        <v>99</v>
      </c>
      <c r="M83" s="14" t="s">
        <v>103</v>
      </c>
      <c r="N83" s="14" t="s">
        <v>104</v>
      </c>
      <c r="O83" s="14" t="s">
        <v>99</v>
      </c>
      <c r="P83" s="14" t="s">
        <v>99</v>
      </c>
      <c r="Q83" s="14" t="s">
        <v>99</v>
      </c>
      <c r="R83" s="14" t="s">
        <v>99</v>
      </c>
      <c r="S83" s="14" t="s">
        <v>99</v>
      </c>
      <c r="T83" s="14" t="s">
        <v>9438</v>
      </c>
      <c r="U83" s="14" t="s">
        <v>99</v>
      </c>
      <c r="V83" s="14" t="s">
        <v>9439</v>
      </c>
      <c r="W83" s="14" t="s">
        <v>9440</v>
      </c>
      <c r="X83" s="14" t="s">
        <v>99</v>
      </c>
      <c r="Y83" s="14" t="s">
        <v>9441</v>
      </c>
      <c r="Z83" s="14" t="s">
        <v>9442</v>
      </c>
      <c r="AA83" s="14" t="s">
        <v>9443</v>
      </c>
      <c r="AB83" s="14" t="s">
        <v>9444</v>
      </c>
      <c r="AC83" s="14" t="s">
        <v>99</v>
      </c>
      <c r="AD83" s="14" t="s">
        <v>99</v>
      </c>
      <c r="AE83" s="14" t="s">
        <v>99</v>
      </c>
      <c r="AF83" s="14" t="s">
        <v>99</v>
      </c>
      <c r="AG83" s="14">
        <v>31.0</v>
      </c>
      <c r="AH83" s="14">
        <v>64.0</v>
      </c>
      <c r="AI83" s="14">
        <v>84.0</v>
      </c>
      <c r="AJ83" s="14">
        <v>0.0</v>
      </c>
      <c r="AK83" s="14">
        <v>39.0</v>
      </c>
      <c r="AL83" s="14" t="s">
        <v>441</v>
      </c>
      <c r="AM83" s="14" t="s">
        <v>442</v>
      </c>
      <c r="AN83" s="14" t="s">
        <v>443</v>
      </c>
      <c r="AO83" s="14" t="s">
        <v>5616</v>
      </c>
      <c r="AP83" s="14" t="s">
        <v>5617</v>
      </c>
      <c r="AQ83" s="14" t="s">
        <v>99</v>
      </c>
      <c r="AR83" s="14" t="s">
        <v>5618</v>
      </c>
      <c r="AS83" s="14" t="s">
        <v>5619</v>
      </c>
      <c r="AT83" s="14" t="s">
        <v>640</v>
      </c>
      <c r="AU83" s="14">
        <v>2003.0</v>
      </c>
      <c r="AV83" s="14">
        <v>95.0</v>
      </c>
      <c r="AW83" s="14" t="s">
        <v>7889</v>
      </c>
      <c r="AX83" s="14" t="s">
        <v>99</v>
      </c>
      <c r="AY83" s="14" t="s">
        <v>99</v>
      </c>
      <c r="AZ83" s="14" t="s">
        <v>99</v>
      </c>
      <c r="BA83" s="14" t="s">
        <v>99</v>
      </c>
      <c r="BB83" s="14">
        <v>481.0</v>
      </c>
      <c r="BC83" s="14">
        <v>493.0</v>
      </c>
      <c r="BD83" s="14" t="s">
        <v>9445</v>
      </c>
      <c r="BE83" s="14" t="s">
        <v>9446</v>
      </c>
      <c r="BF83" s="15" t="str">
        <f>HYPERLINK("http://dx.doi.org/10.1016/S0167-8809(02)00204-9","http://dx.doi.org/10.1016/S0167-8809(02)00204-9")</f>
        <v>http://dx.doi.org/10.1016/S0167-8809(02)00204-9</v>
      </c>
      <c r="BG83" s="14" t="s">
        <v>99</v>
      </c>
      <c r="BH83" s="14" t="s">
        <v>99</v>
      </c>
      <c r="BI83" s="14">
        <v>13.0</v>
      </c>
      <c r="BJ83" s="14" t="s">
        <v>5622</v>
      </c>
      <c r="BK83" s="14" t="s">
        <v>122</v>
      </c>
      <c r="BL83" s="14" t="s">
        <v>5623</v>
      </c>
      <c r="BM83" s="14" t="s">
        <v>9447</v>
      </c>
      <c r="BN83" s="14" t="s">
        <v>99</v>
      </c>
      <c r="BO83" s="14" t="s">
        <v>99</v>
      </c>
      <c r="BP83" s="14" t="s">
        <v>99</v>
      </c>
      <c r="BQ83" s="14" t="s">
        <v>99</v>
      </c>
      <c r="BR83" s="14" t="s">
        <v>124</v>
      </c>
      <c r="BS83" s="14" t="s">
        <v>9448</v>
      </c>
      <c r="BT83" s="14" t="str">
        <f>HYPERLINK("https%3A%2F%2Fwww.webofscience.com%2Fwos%2Fwoscc%2Ffull-record%2FWOS:000182329600007","View Full Record in Web of Science")</f>
        <v>View Full Record in Web of Science</v>
      </c>
    </row>
    <row r="84" ht="12.75" customHeight="1">
      <c r="A84" s="14" t="s">
        <v>97</v>
      </c>
      <c r="B84" s="14" t="s">
        <v>9479</v>
      </c>
      <c r="C84" s="14" t="s">
        <v>99</v>
      </c>
      <c r="D84" s="14" t="s">
        <v>99</v>
      </c>
      <c r="E84" s="14" t="s">
        <v>99</v>
      </c>
      <c r="F84" s="14" t="s">
        <v>9479</v>
      </c>
      <c r="G84" s="14" t="s">
        <v>99</v>
      </c>
      <c r="H84" s="14" t="s">
        <v>99</v>
      </c>
      <c r="I84" s="14" t="s">
        <v>9480</v>
      </c>
      <c r="J84" s="14" t="s">
        <v>430</v>
      </c>
      <c r="K84" s="14" t="s">
        <v>99</v>
      </c>
      <c r="L84" s="14" t="s">
        <v>99</v>
      </c>
      <c r="M84" s="14" t="s">
        <v>103</v>
      </c>
      <c r="N84" s="14" t="s">
        <v>104</v>
      </c>
      <c r="O84" s="14" t="s">
        <v>99</v>
      </c>
      <c r="P84" s="14" t="s">
        <v>99</v>
      </c>
      <c r="Q84" s="14" t="s">
        <v>99</v>
      </c>
      <c r="R84" s="14" t="s">
        <v>99</v>
      </c>
      <c r="S84" s="14" t="s">
        <v>99</v>
      </c>
      <c r="T84" s="14" t="s">
        <v>9481</v>
      </c>
      <c r="U84" s="14" t="s">
        <v>9482</v>
      </c>
      <c r="V84" s="14" t="s">
        <v>9483</v>
      </c>
      <c r="W84" s="14" t="s">
        <v>9484</v>
      </c>
      <c r="X84" s="14" t="s">
        <v>9485</v>
      </c>
      <c r="Y84" s="14" t="s">
        <v>9486</v>
      </c>
      <c r="Z84" s="14" t="s">
        <v>9487</v>
      </c>
      <c r="AA84" s="14" t="s">
        <v>9488</v>
      </c>
      <c r="AB84" s="14" t="s">
        <v>9489</v>
      </c>
      <c r="AC84" s="14" t="s">
        <v>99</v>
      </c>
      <c r="AD84" s="14" t="s">
        <v>99</v>
      </c>
      <c r="AE84" s="14" t="s">
        <v>99</v>
      </c>
      <c r="AF84" s="14" t="s">
        <v>99</v>
      </c>
      <c r="AG84" s="14">
        <v>87.0</v>
      </c>
      <c r="AH84" s="14">
        <v>84.0</v>
      </c>
      <c r="AI84" s="14">
        <v>101.0</v>
      </c>
      <c r="AJ84" s="14">
        <v>1.0</v>
      </c>
      <c r="AK84" s="14">
        <v>77.0</v>
      </c>
      <c r="AL84" s="14" t="s">
        <v>441</v>
      </c>
      <c r="AM84" s="14" t="s">
        <v>442</v>
      </c>
      <c r="AN84" s="14" t="s">
        <v>443</v>
      </c>
      <c r="AO84" s="14" t="s">
        <v>444</v>
      </c>
      <c r="AP84" s="14" t="s">
        <v>445</v>
      </c>
      <c r="AQ84" s="14" t="s">
        <v>99</v>
      </c>
      <c r="AR84" s="14" t="s">
        <v>446</v>
      </c>
      <c r="AS84" s="14" t="s">
        <v>447</v>
      </c>
      <c r="AT84" s="14" t="s">
        <v>9490</v>
      </c>
      <c r="AU84" s="14">
        <v>2003.0</v>
      </c>
      <c r="AV84" s="14">
        <v>177.0</v>
      </c>
      <c r="AW84" s="14" t="s">
        <v>8123</v>
      </c>
      <c r="AX84" s="14" t="s">
        <v>99</v>
      </c>
      <c r="AY84" s="14" t="s">
        <v>99</v>
      </c>
      <c r="AZ84" s="14" t="s">
        <v>99</v>
      </c>
      <c r="BA84" s="14" t="s">
        <v>99</v>
      </c>
      <c r="BB84" s="14">
        <v>17.0</v>
      </c>
      <c r="BC84" s="14">
        <v>37.0</v>
      </c>
      <c r="BD84" s="14" t="s">
        <v>9491</v>
      </c>
      <c r="BE84" s="14" t="s">
        <v>9492</v>
      </c>
      <c r="BF84" s="15" t="str">
        <f>HYPERLINK("http://dx.doi.org/10.1016/S0378-1127(02)00331-6","http://dx.doi.org/10.1016/S0378-1127(02)00331-6")</f>
        <v>http://dx.doi.org/10.1016/S0378-1127(02)00331-6</v>
      </c>
      <c r="BG84" s="14" t="s">
        <v>99</v>
      </c>
      <c r="BH84" s="14" t="s">
        <v>99</v>
      </c>
      <c r="BI84" s="14">
        <v>21.0</v>
      </c>
      <c r="BJ84" s="14" t="s">
        <v>281</v>
      </c>
      <c r="BK84" s="14" t="s">
        <v>122</v>
      </c>
      <c r="BL84" s="14" t="s">
        <v>281</v>
      </c>
      <c r="BM84" s="14" t="s">
        <v>9493</v>
      </c>
      <c r="BN84" s="14" t="s">
        <v>99</v>
      </c>
      <c r="BO84" s="14" t="s">
        <v>99</v>
      </c>
      <c r="BP84" s="14" t="s">
        <v>99</v>
      </c>
      <c r="BQ84" s="14" t="s">
        <v>99</v>
      </c>
      <c r="BR84" s="14" t="s">
        <v>124</v>
      </c>
      <c r="BS84" s="14" t="s">
        <v>9494</v>
      </c>
      <c r="BT84" s="14" t="str">
        <f>HYPERLINK("https%3A%2F%2Fwww.webofscience.com%2Fwos%2Fwoscc%2Ffull-record%2FWOS:000182041800003","View Full Record in Web of Science")</f>
        <v>View Full Record in Web of Science</v>
      </c>
    </row>
    <row r="85" ht="12.75" customHeight="1">
      <c r="A85" s="14" t="s">
        <v>97</v>
      </c>
      <c r="B85" s="14" t="s">
        <v>9495</v>
      </c>
      <c r="C85" s="14" t="s">
        <v>99</v>
      </c>
      <c r="D85" s="14" t="s">
        <v>99</v>
      </c>
      <c r="E85" s="14" t="s">
        <v>99</v>
      </c>
      <c r="F85" s="14" t="s">
        <v>9495</v>
      </c>
      <c r="G85" s="14" t="s">
        <v>99</v>
      </c>
      <c r="H85" s="14" t="s">
        <v>99</v>
      </c>
      <c r="I85" s="14" t="s">
        <v>9496</v>
      </c>
      <c r="J85" s="14" t="s">
        <v>532</v>
      </c>
      <c r="K85" s="14" t="s">
        <v>99</v>
      </c>
      <c r="L85" s="14" t="s">
        <v>99</v>
      </c>
      <c r="M85" s="14" t="s">
        <v>103</v>
      </c>
      <c r="N85" s="14" t="s">
        <v>104</v>
      </c>
      <c r="O85" s="14" t="s">
        <v>99</v>
      </c>
      <c r="P85" s="14" t="s">
        <v>99</v>
      </c>
      <c r="Q85" s="14" t="s">
        <v>99</v>
      </c>
      <c r="R85" s="14" t="s">
        <v>99</v>
      </c>
      <c r="S85" s="14" t="s">
        <v>99</v>
      </c>
      <c r="T85" s="14" t="s">
        <v>9497</v>
      </c>
      <c r="U85" s="14" t="s">
        <v>9498</v>
      </c>
      <c r="V85" s="14" t="s">
        <v>9499</v>
      </c>
      <c r="W85" s="14" t="s">
        <v>9500</v>
      </c>
      <c r="X85" s="14" t="s">
        <v>9501</v>
      </c>
      <c r="Y85" s="14" t="s">
        <v>9502</v>
      </c>
      <c r="Z85" s="14" t="s">
        <v>9503</v>
      </c>
      <c r="AA85" s="14" t="s">
        <v>9504</v>
      </c>
      <c r="AB85" s="14" t="s">
        <v>9505</v>
      </c>
      <c r="AC85" s="14" t="s">
        <v>99</v>
      </c>
      <c r="AD85" s="14" t="s">
        <v>99</v>
      </c>
      <c r="AE85" s="14" t="s">
        <v>99</v>
      </c>
      <c r="AF85" s="14" t="s">
        <v>99</v>
      </c>
      <c r="AG85" s="14">
        <v>76.0</v>
      </c>
      <c r="AH85" s="14">
        <v>169.0</v>
      </c>
      <c r="AI85" s="14">
        <v>198.0</v>
      </c>
      <c r="AJ85" s="14">
        <v>0.0</v>
      </c>
      <c r="AK85" s="14">
        <v>54.0</v>
      </c>
      <c r="AL85" s="14" t="s">
        <v>341</v>
      </c>
      <c r="AM85" s="14" t="s">
        <v>342</v>
      </c>
      <c r="AN85" s="14" t="s">
        <v>343</v>
      </c>
      <c r="AO85" s="14" t="s">
        <v>545</v>
      </c>
      <c r="AP85" s="14" t="s">
        <v>546</v>
      </c>
      <c r="AQ85" s="14" t="s">
        <v>99</v>
      </c>
      <c r="AR85" s="14" t="s">
        <v>547</v>
      </c>
      <c r="AS85" s="14" t="s">
        <v>548</v>
      </c>
      <c r="AT85" s="14" t="s">
        <v>718</v>
      </c>
      <c r="AU85" s="14">
        <v>2003.0</v>
      </c>
      <c r="AV85" s="14">
        <v>40.0</v>
      </c>
      <c r="AW85" s="14">
        <v>2.0</v>
      </c>
      <c r="AX85" s="14" t="s">
        <v>99</v>
      </c>
      <c r="AY85" s="14" t="s">
        <v>99</v>
      </c>
      <c r="AZ85" s="14" t="s">
        <v>99</v>
      </c>
      <c r="BA85" s="14" t="s">
        <v>99</v>
      </c>
      <c r="BB85" s="14">
        <v>380.0</v>
      </c>
      <c r="BC85" s="14">
        <v>391.0</v>
      </c>
      <c r="BD85" s="14" t="s">
        <v>99</v>
      </c>
      <c r="BE85" s="14" t="s">
        <v>9506</v>
      </c>
      <c r="BF85" s="15" t="str">
        <f>HYPERLINK("http://dx.doi.org/10.1046/j.1365-2664.2003.00794.x","http://dx.doi.org/10.1046/j.1365-2664.2003.00794.x")</f>
        <v>http://dx.doi.org/10.1046/j.1365-2664.2003.00794.x</v>
      </c>
      <c r="BG85" s="14" t="s">
        <v>99</v>
      </c>
      <c r="BH85" s="14" t="s">
        <v>99</v>
      </c>
      <c r="BI85" s="14">
        <v>12.0</v>
      </c>
      <c r="BJ85" s="14" t="s">
        <v>550</v>
      </c>
      <c r="BK85" s="14" t="s">
        <v>122</v>
      </c>
      <c r="BL85" s="14" t="s">
        <v>352</v>
      </c>
      <c r="BM85" s="14" t="s">
        <v>9507</v>
      </c>
      <c r="BN85" s="14" t="s">
        <v>99</v>
      </c>
      <c r="BO85" s="14" t="s">
        <v>99</v>
      </c>
      <c r="BP85" s="14" t="s">
        <v>99</v>
      </c>
      <c r="BQ85" s="14" t="s">
        <v>99</v>
      </c>
      <c r="BR85" s="14" t="s">
        <v>124</v>
      </c>
      <c r="BS85" s="14" t="s">
        <v>9508</v>
      </c>
      <c r="BT85" s="14" t="str">
        <f>HYPERLINK("https%3A%2F%2Fwww.webofscience.com%2Fwos%2Fwoscc%2Ffull-record%2FWOS:000182118700016","View Full Record in Web of Science")</f>
        <v>View Full Record in Web of Science</v>
      </c>
    </row>
    <row r="86" ht="12.75" customHeight="1">
      <c r="A86" s="14" t="s">
        <v>97</v>
      </c>
      <c r="B86" s="14" t="s">
        <v>9585</v>
      </c>
      <c r="C86" s="14" t="s">
        <v>99</v>
      </c>
      <c r="D86" s="14" t="s">
        <v>99</v>
      </c>
      <c r="E86" s="14" t="s">
        <v>99</v>
      </c>
      <c r="F86" s="14" t="s">
        <v>9585</v>
      </c>
      <c r="G86" s="14" t="s">
        <v>99</v>
      </c>
      <c r="H86" s="14" t="s">
        <v>99</v>
      </c>
      <c r="I86" s="14" t="s">
        <v>9586</v>
      </c>
      <c r="J86" s="14" t="s">
        <v>430</v>
      </c>
      <c r="K86" s="14" t="s">
        <v>99</v>
      </c>
      <c r="L86" s="14" t="s">
        <v>99</v>
      </c>
      <c r="M86" s="14" t="s">
        <v>103</v>
      </c>
      <c r="N86" s="14" t="s">
        <v>104</v>
      </c>
      <c r="O86" s="14" t="s">
        <v>99</v>
      </c>
      <c r="P86" s="14" t="s">
        <v>99</v>
      </c>
      <c r="Q86" s="14" t="s">
        <v>99</v>
      </c>
      <c r="R86" s="14" t="s">
        <v>99</v>
      </c>
      <c r="S86" s="14" t="s">
        <v>99</v>
      </c>
      <c r="T86" s="14" t="s">
        <v>9587</v>
      </c>
      <c r="U86" s="14" t="s">
        <v>9588</v>
      </c>
      <c r="V86" s="14" t="s">
        <v>9589</v>
      </c>
      <c r="W86" s="14" t="s">
        <v>9590</v>
      </c>
      <c r="X86" s="14" t="s">
        <v>9591</v>
      </c>
      <c r="Y86" s="14" t="s">
        <v>9592</v>
      </c>
      <c r="Z86" s="14" t="s">
        <v>9593</v>
      </c>
      <c r="AA86" s="14" t="s">
        <v>99</v>
      </c>
      <c r="AB86" s="14" t="s">
        <v>99</v>
      </c>
      <c r="AC86" s="14" t="s">
        <v>99</v>
      </c>
      <c r="AD86" s="14" t="s">
        <v>99</v>
      </c>
      <c r="AE86" s="14" t="s">
        <v>99</v>
      </c>
      <c r="AF86" s="14" t="s">
        <v>99</v>
      </c>
      <c r="AG86" s="14">
        <v>62.0</v>
      </c>
      <c r="AH86" s="14">
        <v>27.0</v>
      </c>
      <c r="AI86" s="14">
        <v>39.0</v>
      </c>
      <c r="AJ86" s="14">
        <v>0.0</v>
      </c>
      <c r="AK86" s="14">
        <v>27.0</v>
      </c>
      <c r="AL86" s="14" t="s">
        <v>441</v>
      </c>
      <c r="AM86" s="14" t="s">
        <v>442</v>
      </c>
      <c r="AN86" s="14" t="s">
        <v>443</v>
      </c>
      <c r="AO86" s="14" t="s">
        <v>444</v>
      </c>
      <c r="AP86" s="14" t="s">
        <v>445</v>
      </c>
      <c r="AQ86" s="14" t="s">
        <v>99</v>
      </c>
      <c r="AR86" s="14" t="s">
        <v>446</v>
      </c>
      <c r="AS86" s="14" t="s">
        <v>447</v>
      </c>
      <c r="AT86" s="14" t="s">
        <v>9594</v>
      </c>
      <c r="AU86" s="14">
        <v>2002.0</v>
      </c>
      <c r="AV86" s="14">
        <v>170.0</v>
      </c>
      <c r="AW86" s="14" t="s">
        <v>8123</v>
      </c>
      <c r="AX86" s="14" t="s">
        <v>99</v>
      </c>
      <c r="AY86" s="14" t="s">
        <v>99</v>
      </c>
      <c r="AZ86" s="14" t="s">
        <v>99</v>
      </c>
      <c r="BA86" s="14" t="s">
        <v>99</v>
      </c>
      <c r="BB86" s="14">
        <v>173.0</v>
      </c>
      <c r="BC86" s="14">
        <v>187.0</v>
      </c>
      <c r="BD86" s="14" t="s">
        <v>9595</v>
      </c>
      <c r="BE86" s="14" t="s">
        <v>9596</v>
      </c>
      <c r="BF86" s="15" t="str">
        <f>HYPERLINK("http://dx.doi.org/10.1016/S0378-1127(01)00775-7","http://dx.doi.org/10.1016/S0378-1127(01)00775-7")</f>
        <v>http://dx.doi.org/10.1016/S0378-1127(01)00775-7</v>
      </c>
      <c r="BG86" s="14" t="s">
        <v>99</v>
      </c>
      <c r="BH86" s="14" t="s">
        <v>99</v>
      </c>
      <c r="BI86" s="14">
        <v>15.0</v>
      </c>
      <c r="BJ86" s="14" t="s">
        <v>281</v>
      </c>
      <c r="BK86" s="14" t="s">
        <v>122</v>
      </c>
      <c r="BL86" s="14" t="s">
        <v>281</v>
      </c>
      <c r="BM86" s="14" t="s">
        <v>9597</v>
      </c>
      <c r="BN86" s="14" t="s">
        <v>99</v>
      </c>
      <c r="BO86" s="14" t="s">
        <v>99</v>
      </c>
      <c r="BP86" s="14" t="s">
        <v>99</v>
      </c>
      <c r="BQ86" s="14" t="s">
        <v>99</v>
      </c>
      <c r="BR86" s="14" t="s">
        <v>124</v>
      </c>
      <c r="BS86" s="14" t="s">
        <v>9598</v>
      </c>
      <c r="BT86" s="14" t="str">
        <f>HYPERLINK("https%3A%2F%2Fwww.webofscience.com%2Fwos%2Fwoscc%2Ffull-record%2FWOS:000178567000013","View Full Record in Web of Science")</f>
        <v>View Full Record in Web of Science</v>
      </c>
    </row>
    <row r="87" ht="12.75" customHeight="1">
      <c r="A87" s="14" t="s">
        <v>97</v>
      </c>
      <c r="B87" s="14" t="s">
        <v>9610</v>
      </c>
      <c r="C87" s="14" t="s">
        <v>99</v>
      </c>
      <c r="D87" s="14" t="s">
        <v>99</v>
      </c>
      <c r="E87" s="14" t="s">
        <v>99</v>
      </c>
      <c r="F87" s="14" t="s">
        <v>9610</v>
      </c>
      <c r="G87" s="14" t="s">
        <v>99</v>
      </c>
      <c r="H87" s="14" t="s">
        <v>99</v>
      </c>
      <c r="I87" s="14" t="s">
        <v>9611</v>
      </c>
      <c r="J87" s="14" t="s">
        <v>430</v>
      </c>
      <c r="K87" s="14" t="s">
        <v>99</v>
      </c>
      <c r="L87" s="14" t="s">
        <v>99</v>
      </c>
      <c r="M87" s="14" t="s">
        <v>103</v>
      </c>
      <c r="N87" s="14" t="s">
        <v>104</v>
      </c>
      <c r="O87" s="14" t="s">
        <v>99</v>
      </c>
      <c r="P87" s="14" t="s">
        <v>99</v>
      </c>
      <c r="Q87" s="14" t="s">
        <v>99</v>
      </c>
      <c r="R87" s="14" t="s">
        <v>99</v>
      </c>
      <c r="S87" s="14" t="s">
        <v>99</v>
      </c>
      <c r="T87" s="14" t="s">
        <v>9612</v>
      </c>
      <c r="U87" s="14" t="s">
        <v>9613</v>
      </c>
      <c r="V87" s="14" t="s">
        <v>9614</v>
      </c>
      <c r="W87" s="14" t="s">
        <v>9615</v>
      </c>
      <c r="X87" s="14" t="s">
        <v>6702</v>
      </c>
      <c r="Y87" s="14" t="s">
        <v>9616</v>
      </c>
      <c r="Z87" s="14" t="s">
        <v>99</v>
      </c>
      <c r="AA87" s="14" t="s">
        <v>99</v>
      </c>
      <c r="AB87" s="14" t="s">
        <v>9617</v>
      </c>
      <c r="AC87" s="14" t="s">
        <v>99</v>
      </c>
      <c r="AD87" s="14" t="s">
        <v>99</v>
      </c>
      <c r="AE87" s="14" t="s">
        <v>99</v>
      </c>
      <c r="AF87" s="14" t="s">
        <v>99</v>
      </c>
      <c r="AG87" s="14">
        <v>32.0</v>
      </c>
      <c r="AH87" s="14">
        <v>52.0</v>
      </c>
      <c r="AI87" s="14">
        <v>64.0</v>
      </c>
      <c r="AJ87" s="14">
        <v>1.0</v>
      </c>
      <c r="AK87" s="14">
        <v>22.0</v>
      </c>
      <c r="AL87" s="14" t="s">
        <v>1033</v>
      </c>
      <c r="AM87" s="14" t="s">
        <v>442</v>
      </c>
      <c r="AN87" s="14" t="s">
        <v>1034</v>
      </c>
      <c r="AO87" s="14" t="s">
        <v>444</v>
      </c>
      <c r="AP87" s="14" t="s">
        <v>99</v>
      </c>
      <c r="AQ87" s="14" t="s">
        <v>99</v>
      </c>
      <c r="AR87" s="14" t="s">
        <v>446</v>
      </c>
      <c r="AS87" s="14" t="s">
        <v>447</v>
      </c>
      <c r="AT87" s="14" t="s">
        <v>9618</v>
      </c>
      <c r="AU87" s="14">
        <v>2002.0</v>
      </c>
      <c r="AV87" s="14">
        <v>169.0</v>
      </c>
      <c r="AW87" s="14">
        <v>3.0</v>
      </c>
      <c r="AX87" s="14" t="s">
        <v>99</v>
      </c>
      <c r="AY87" s="14" t="s">
        <v>99</v>
      </c>
      <c r="AZ87" s="14" t="s">
        <v>99</v>
      </c>
      <c r="BA87" s="14" t="s">
        <v>99</v>
      </c>
      <c r="BB87" s="14">
        <v>243.0</v>
      </c>
      <c r="BC87" s="14">
        <v>255.0</v>
      </c>
      <c r="BD87" s="14" t="s">
        <v>9619</v>
      </c>
      <c r="BE87" s="14" t="s">
        <v>9620</v>
      </c>
      <c r="BF87" s="15" t="str">
        <f>HYPERLINK("http://dx.doi.org/10.1016/S0378-1127(01)00758-7","http://dx.doi.org/10.1016/S0378-1127(01)00758-7")</f>
        <v>http://dx.doi.org/10.1016/S0378-1127(01)00758-7</v>
      </c>
      <c r="BG87" s="14" t="s">
        <v>99</v>
      </c>
      <c r="BH87" s="14" t="s">
        <v>99</v>
      </c>
      <c r="BI87" s="14">
        <v>13.0</v>
      </c>
      <c r="BJ87" s="14" t="s">
        <v>281</v>
      </c>
      <c r="BK87" s="14" t="s">
        <v>122</v>
      </c>
      <c r="BL87" s="14" t="s">
        <v>281</v>
      </c>
      <c r="BM87" s="14" t="s">
        <v>9621</v>
      </c>
      <c r="BN87" s="14" t="s">
        <v>99</v>
      </c>
      <c r="BO87" s="14" t="s">
        <v>99</v>
      </c>
      <c r="BP87" s="14" t="s">
        <v>99</v>
      </c>
      <c r="BQ87" s="14" t="s">
        <v>99</v>
      </c>
      <c r="BR87" s="14" t="s">
        <v>124</v>
      </c>
      <c r="BS87" s="14" t="s">
        <v>9622</v>
      </c>
      <c r="BT87" s="14" t="str">
        <f>HYPERLINK("https%3A%2F%2Fwww.webofscience.com%2Fwos%2Fwoscc%2Ffull-record%2FWOS:000177834400006","View Full Record in Web of Science")</f>
        <v>View Full Record in Web of Science</v>
      </c>
    </row>
    <row r="88" ht="12.75" customHeight="1">
      <c r="A88" s="14" t="s">
        <v>97</v>
      </c>
      <c r="B88" s="14" t="s">
        <v>9623</v>
      </c>
      <c r="C88" s="14" t="s">
        <v>99</v>
      </c>
      <c r="D88" s="14" t="s">
        <v>99</v>
      </c>
      <c r="E88" s="14" t="s">
        <v>99</v>
      </c>
      <c r="F88" s="14" t="s">
        <v>9623</v>
      </c>
      <c r="G88" s="14" t="s">
        <v>99</v>
      </c>
      <c r="H88" s="14" t="s">
        <v>99</v>
      </c>
      <c r="I88" s="14" t="s">
        <v>9624</v>
      </c>
      <c r="J88" s="14" t="s">
        <v>1102</v>
      </c>
      <c r="K88" s="14" t="s">
        <v>99</v>
      </c>
      <c r="L88" s="14" t="s">
        <v>99</v>
      </c>
      <c r="M88" s="14" t="s">
        <v>103</v>
      </c>
      <c r="N88" s="14" t="s">
        <v>104</v>
      </c>
      <c r="O88" s="14" t="s">
        <v>99</v>
      </c>
      <c r="P88" s="14" t="s">
        <v>99</v>
      </c>
      <c r="Q88" s="14" t="s">
        <v>99</v>
      </c>
      <c r="R88" s="14" t="s">
        <v>99</v>
      </c>
      <c r="S88" s="14" t="s">
        <v>99</v>
      </c>
      <c r="T88" s="14" t="s">
        <v>9625</v>
      </c>
      <c r="U88" s="14" t="s">
        <v>9626</v>
      </c>
      <c r="V88" s="14" t="s">
        <v>9627</v>
      </c>
      <c r="W88" s="14" t="s">
        <v>9628</v>
      </c>
      <c r="X88" s="14" t="s">
        <v>9151</v>
      </c>
      <c r="Y88" s="14" t="s">
        <v>9629</v>
      </c>
      <c r="Z88" s="14" t="s">
        <v>7752</v>
      </c>
      <c r="AA88" s="14" t="s">
        <v>9630</v>
      </c>
      <c r="AB88" s="14" t="s">
        <v>9631</v>
      </c>
      <c r="AC88" s="14" t="s">
        <v>99</v>
      </c>
      <c r="AD88" s="14" t="s">
        <v>99</v>
      </c>
      <c r="AE88" s="14" t="s">
        <v>99</v>
      </c>
      <c r="AF88" s="14" t="s">
        <v>99</v>
      </c>
      <c r="AG88" s="14">
        <v>35.0</v>
      </c>
      <c r="AH88" s="14">
        <v>123.0</v>
      </c>
      <c r="AI88" s="14">
        <v>149.0</v>
      </c>
      <c r="AJ88" s="14">
        <v>1.0</v>
      </c>
      <c r="AK88" s="14">
        <v>51.0</v>
      </c>
      <c r="AL88" s="14" t="s">
        <v>493</v>
      </c>
      <c r="AM88" s="14" t="s">
        <v>494</v>
      </c>
      <c r="AN88" s="14" t="s">
        <v>495</v>
      </c>
      <c r="AO88" s="14" t="s">
        <v>1112</v>
      </c>
      <c r="AP88" s="14" t="s">
        <v>1113</v>
      </c>
      <c r="AQ88" s="14" t="s">
        <v>99</v>
      </c>
      <c r="AR88" s="14" t="s">
        <v>1114</v>
      </c>
      <c r="AS88" s="14" t="s">
        <v>1115</v>
      </c>
      <c r="AT88" s="14" t="s">
        <v>2372</v>
      </c>
      <c r="AU88" s="14">
        <v>2002.0</v>
      </c>
      <c r="AV88" s="14">
        <v>107.0</v>
      </c>
      <c r="AW88" s="14">
        <v>2.0</v>
      </c>
      <c r="AX88" s="14" t="s">
        <v>99</v>
      </c>
      <c r="AY88" s="14" t="s">
        <v>99</v>
      </c>
      <c r="AZ88" s="14" t="s">
        <v>99</v>
      </c>
      <c r="BA88" s="14" t="s">
        <v>99</v>
      </c>
      <c r="BB88" s="14">
        <v>229.0</v>
      </c>
      <c r="BC88" s="14">
        <v>240.0</v>
      </c>
      <c r="BD88" s="14" t="s">
        <v>9632</v>
      </c>
      <c r="BE88" s="14" t="s">
        <v>9633</v>
      </c>
      <c r="BF88" s="15" t="str">
        <f>HYPERLINK("http://dx.doi.org/10.1016/S0006-3207(02)00097-6","http://dx.doi.org/10.1016/S0006-3207(02)00097-6")</f>
        <v>http://dx.doi.org/10.1016/S0006-3207(02)00097-6</v>
      </c>
      <c r="BG88" s="14" t="s">
        <v>99</v>
      </c>
      <c r="BH88" s="14" t="s">
        <v>99</v>
      </c>
      <c r="BI88" s="14">
        <v>12.0</v>
      </c>
      <c r="BJ88" s="14" t="s">
        <v>351</v>
      </c>
      <c r="BK88" s="14" t="s">
        <v>122</v>
      </c>
      <c r="BL88" s="14" t="s">
        <v>352</v>
      </c>
      <c r="BM88" s="14" t="s">
        <v>9634</v>
      </c>
      <c r="BN88" s="14" t="s">
        <v>99</v>
      </c>
      <c r="BO88" s="14" t="s">
        <v>99</v>
      </c>
      <c r="BP88" s="14" t="s">
        <v>99</v>
      </c>
      <c r="BQ88" s="14" t="s">
        <v>99</v>
      </c>
      <c r="BR88" s="14" t="s">
        <v>124</v>
      </c>
      <c r="BS88" s="14" t="s">
        <v>9635</v>
      </c>
      <c r="BT88" s="14" t="str">
        <f>HYPERLINK("https%3A%2F%2Fwww.webofscience.com%2Fwos%2Fwoscc%2Ffull-record%2FWOS:000176854200010","View Full Record in Web of Science")</f>
        <v>View Full Record in Web of Science</v>
      </c>
    </row>
    <row r="89" ht="12.75" customHeight="1">
      <c r="A89" s="14" t="s">
        <v>97</v>
      </c>
      <c r="B89" s="14" t="s">
        <v>9681</v>
      </c>
      <c r="C89" s="14" t="s">
        <v>99</v>
      </c>
      <c r="D89" s="14" t="s">
        <v>99</v>
      </c>
      <c r="E89" s="14" t="s">
        <v>99</v>
      </c>
      <c r="F89" s="14" t="s">
        <v>9681</v>
      </c>
      <c r="G89" s="14" t="s">
        <v>99</v>
      </c>
      <c r="H89" s="14" t="s">
        <v>99</v>
      </c>
      <c r="I89" s="14" t="s">
        <v>9682</v>
      </c>
      <c r="J89" s="14" t="s">
        <v>404</v>
      </c>
      <c r="K89" s="14" t="s">
        <v>99</v>
      </c>
      <c r="L89" s="14" t="s">
        <v>99</v>
      </c>
      <c r="M89" s="14" t="s">
        <v>103</v>
      </c>
      <c r="N89" s="14" t="s">
        <v>104</v>
      </c>
      <c r="O89" s="14" t="s">
        <v>99</v>
      </c>
      <c r="P89" s="14" t="s">
        <v>99</v>
      </c>
      <c r="Q89" s="14" t="s">
        <v>99</v>
      </c>
      <c r="R89" s="14" t="s">
        <v>99</v>
      </c>
      <c r="S89" s="14" t="s">
        <v>99</v>
      </c>
      <c r="T89" s="14" t="s">
        <v>9683</v>
      </c>
      <c r="U89" s="14" t="s">
        <v>9684</v>
      </c>
      <c r="V89" s="14" t="s">
        <v>9685</v>
      </c>
      <c r="W89" s="14" t="s">
        <v>9686</v>
      </c>
      <c r="X89" s="14" t="s">
        <v>9380</v>
      </c>
      <c r="Y89" s="14" t="s">
        <v>9687</v>
      </c>
      <c r="Z89" s="14" t="s">
        <v>9688</v>
      </c>
      <c r="AA89" s="14" t="s">
        <v>99</v>
      </c>
      <c r="AB89" s="14" t="s">
        <v>99</v>
      </c>
      <c r="AC89" s="14" t="s">
        <v>99</v>
      </c>
      <c r="AD89" s="14" t="s">
        <v>99</v>
      </c>
      <c r="AE89" s="14" t="s">
        <v>99</v>
      </c>
      <c r="AF89" s="14" t="s">
        <v>99</v>
      </c>
      <c r="AG89" s="14">
        <v>97.0</v>
      </c>
      <c r="AH89" s="14">
        <v>111.0</v>
      </c>
      <c r="AI89" s="14">
        <v>145.0</v>
      </c>
      <c r="AJ89" s="14">
        <v>1.0</v>
      </c>
      <c r="AK89" s="14">
        <v>71.0</v>
      </c>
      <c r="AL89" s="14" t="s">
        <v>341</v>
      </c>
      <c r="AM89" s="14" t="s">
        <v>342</v>
      </c>
      <c r="AN89" s="14" t="s">
        <v>343</v>
      </c>
      <c r="AO89" s="14" t="s">
        <v>417</v>
      </c>
      <c r="AP89" s="14" t="s">
        <v>418</v>
      </c>
      <c r="AQ89" s="14" t="s">
        <v>99</v>
      </c>
      <c r="AR89" s="14" t="s">
        <v>419</v>
      </c>
      <c r="AS89" s="14" t="s">
        <v>420</v>
      </c>
      <c r="AT89" s="14" t="s">
        <v>616</v>
      </c>
      <c r="AU89" s="14">
        <v>2002.0</v>
      </c>
      <c r="AV89" s="14">
        <v>12.0</v>
      </c>
      <c r="AW89" s="14">
        <v>3.0</v>
      </c>
      <c r="AX89" s="14" t="s">
        <v>99</v>
      </c>
      <c r="AY89" s="14" t="s">
        <v>99</v>
      </c>
      <c r="AZ89" s="14" t="s">
        <v>99</v>
      </c>
      <c r="BA89" s="14" t="s">
        <v>99</v>
      </c>
      <c r="BB89" s="14">
        <v>820.0</v>
      </c>
      <c r="BC89" s="14">
        <v>835.0</v>
      </c>
      <c r="BD89" s="14" t="s">
        <v>99</v>
      </c>
      <c r="BE89" s="14" t="s">
        <v>9689</v>
      </c>
      <c r="BF89" s="15" t="str">
        <f>HYPERLINK("http://dx.doi.org/10.1890/1051-0761(2002)012[0820:EOTHOF]2.0.CO;2","http://dx.doi.org/10.1890/1051-0761(2002)012[0820:EOTHOF]2.0.CO;2")</f>
        <v>http://dx.doi.org/10.1890/1051-0761(2002)012[0820:EOTHOF]2.0.CO;2</v>
      </c>
      <c r="BG89" s="14" t="s">
        <v>99</v>
      </c>
      <c r="BH89" s="14" t="s">
        <v>99</v>
      </c>
      <c r="BI89" s="14">
        <v>16.0</v>
      </c>
      <c r="BJ89" s="14" t="s">
        <v>423</v>
      </c>
      <c r="BK89" s="14" t="s">
        <v>122</v>
      </c>
      <c r="BL89" s="14" t="s">
        <v>260</v>
      </c>
      <c r="BM89" s="14" t="s">
        <v>9690</v>
      </c>
      <c r="BN89" s="14" t="s">
        <v>99</v>
      </c>
      <c r="BO89" s="14" t="s">
        <v>99</v>
      </c>
      <c r="BP89" s="14" t="s">
        <v>99</v>
      </c>
      <c r="BQ89" s="14" t="s">
        <v>99</v>
      </c>
      <c r="BR89" s="14" t="s">
        <v>124</v>
      </c>
      <c r="BS89" s="14" t="s">
        <v>9691</v>
      </c>
      <c r="BT89" s="14" t="str">
        <f>HYPERLINK("https%3A%2F%2Fwww.webofscience.com%2Fwos%2Fwoscc%2Ffull-record%2FWOS:000175693800023","View Full Record in Web of Science")</f>
        <v>View Full Record in Web of Science</v>
      </c>
    </row>
    <row r="90" ht="12.75" customHeight="1">
      <c r="A90" s="14" t="s">
        <v>97</v>
      </c>
      <c r="B90" s="14" t="s">
        <v>9728</v>
      </c>
      <c r="C90" s="14" t="s">
        <v>99</v>
      </c>
      <c r="D90" s="14" t="s">
        <v>99</v>
      </c>
      <c r="E90" s="14" t="s">
        <v>99</v>
      </c>
      <c r="F90" s="14" t="s">
        <v>9728</v>
      </c>
      <c r="G90" s="14" t="s">
        <v>99</v>
      </c>
      <c r="H90" s="14" t="s">
        <v>99</v>
      </c>
      <c r="I90" s="14" t="s">
        <v>9729</v>
      </c>
      <c r="J90" s="14" t="s">
        <v>9730</v>
      </c>
      <c r="K90" s="14" t="s">
        <v>99</v>
      </c>
      <c r="L90" s="14" t="s">
        <v>99</v>
      </c>
      <c r="M90" s="14" t="s">
        <v>103</v>
      </c>
      <c r="N90" s="14" t="s">
        <v>104</v>
      </c>
      <c r="O90" s="14" t="s">
        <v>99</v>
      </c>
      <c r="P90" s="14" t="s">
        <v>99</v>
      </c>
      <c r="Q90" s="14" t="s">
        <v>99</v>
      </c>
      <c r="R90" s="14" t="s">
        <v>99</v>
      </c>
      <c r="S90" s="14" t="s">
        <v>99</v>
      </c>
      <c r="T90" s="14" t="s">
        <v>9731</v>
      </c>
      <c r="U90" s="14" t="s">
        <v>9732</v>
      </c>
      <c r="V90" s="14" t="s">
        <v>9733</v>
      </c>
      <c r="W90" s="14" t="s">
        <v>9734</v>
      </c>
      <c r="X90" s="14" t="s">
        <v>4839</v>
      </c>
      <c r="Y90" s="14" t="s">
        <v>9735</v>
      </c>
      <c r="Z90" s="14" t="s">
        <v>99</v>
      </c>
      <c r="AA90" s="14" t="s">
        <v>99</v>
      </c>
      <c r="AB90" s="14" t="s">
        <v>99</v>
      </c>
      <c r="AC90" s="14" t="s">
        <v>99</v>
      </c>
      <c r="AD90" s="14" t="s">
        <v>99</v>
      </c>
      <c r="AE90" s="14" t="s">
        <v>99</v>
      </c>
      <c r="AF90" s="14" t="s">
        <v>99</v>
      </c>
      <c r="AG90" s="14">
        <v>36.0</v>
      </c>
      <c r="AH90" s="14">
        <v>28.0</v>
      </c>
      <c r="AI90" s="14">
        <v>32.0</v>
      </c>
      <c r="AJ90" s="14">
        <v>0.0</v>
      </c>
      <c r="AK90" s="14">
        <v>15.0</v>
      </c>
      <c r="AL90" s="14" t="s">
        <v>9736</v>
      </c>
      <c r="AM90" s="14" t="s">
        <v>9737</v>
      </c>
      <c r="AN90" s="14" t="s">
        <v>9738</v>
      </c>
      <c r="AO90" s="14" t="s">
        <v>9739</v>
      </c>
      <c r="AP90" s="14" t="s">
        <v>99</v>
      </c>
      <c r="AQ90" s="14" t="s">
        <v>99</v>
      </c>
      <c r="AR90" s="14" t="s">
        <v>9740</v>
      </c>
      <c r="AS90" s="14" t="s">
        <v>9741</v>
      </c>
      <c r="AT90" s="14" t="s">
        <v>1462</v>
      </c>
      <c r="AU90" s="14">
        <v>2002.0</v>
      </c>
      <c r="AV90" s="14">
        <v>50.0</v>
      </c>
      <c r="AW90" s="14">
        <v>2.0</v>
      </c>
      <c r="AX90" s="14" t="s">
        <v>99</v>
      </c>
      <c r="AY90" s="14" t="s">
        <v>99</v>
      </c>
      <c r="AZ90" s="14" t="s">
        <v>99</v>
      </c>
      <c r="BA90" s="14" t="s">
        <v>99</v>
      </c>
      <c r="BB90" s="14">
        <v>196.0</v>
      </c>
      <c r="BC90" s="14">
        <v>203.0</v>
      </c>
      <c r="BD90" s="14" t="s">
        <v>99</v>
      </c>
      <c r="BE90" s="14" t="s">
        <v>9742</v>
      </c>
      <c r="BF90" s="15" t="str">
        <f>HYPERLINK("http://dx.doi.org/10.1614/0043-1745(2002)050[0196:LTEOHA]2.0.CO;2","http://dx.doi.org/10.1614/0043-1745(2002)050[0196:LTEOHA]2.0.CO;2")</f>
        <v>http://dx.doi.org/10.1614/0043-1745(2002)050[0196:LTEOHA]2.0.CO;2</v>
      </c>
      <c r="BG90" s="14" t="s">
        <v>99</v>
      </c>
      <c r="BH90" s="14" t="s">
        <v>99</v>
      </c>
      <c r="BI90" s="14">
        <v>8.0</v>
      </c>
      <c r="BJ90" s="14" t="s">
        <v>5161</v>
      </c>
      <c r="BK90" s="14" t="s">
        <v>122</v>
      </c>
      <c r="BL90" s="14" t="s">
        <v>5162</v>
      </c>
      <c r="BM90" s="14" t="s">
        <v>9743</v>
      </c>
      <c r="BN90" s="14" t="s">
        <v>99</v>
      </c>
      <c r="BO90" s="14" t="s">
        <v>99</v>
      </c>
      <c r="BP90" s="14" t="s">
        <v>99</v>
      </c>
      <c r="BQ90" s="14" t="s">
        <v>99</v>
      </c>
      <c r="BR90" s="14" t="s">
        <v>124</v>
      </c>
      <c r="BS90" s="14" t="s">
        <v>9744</v>
      </c>
      <c r="BT90" s="14" t="str">
        <f>HYPERLINK("https%3A%2F%2Fwww.webofscience.com%2Fwos%2Fwoscc%2Ffull-record%2FWOS:000174924500010","View Full Record in Web of Science")</f>
        <v>View Full Record in Web of Science</v>
      </c>
    </row>
    <row r="91" ht="12.75" customHeight="1">
      <c r="A91" s="14" t="s">
        <v>97</v>
      </c>
      <c r="B91" s="14" t="s">
        <v>9745</v>
      </c>
      <c r="C91" s="14" t="s">
        <v>99</v>
      </c>
      <c r="D91" s="14" t="s">
        <v>99</v>
      </c>
      <c r="E91" s="14" t="s">
        <v>99</v>
      </c>
      <c r="F91" s="14" t="s">
        <v>9745</v>
      </c>
      <c r="G91" s="14" t="s">
        <v>99</v>
      </c>
      <c r="H91" s="14" t="s">
        <v>99</v>
      </c>
      <c r="I91" s="14" t="s">
        <v>9746</v>
      </c>
      <c r="J91" s="14" t="s">
        <v>1721</v>
      </c>
      <c r="K91" s="14" t="s">
        <v>99</v>
      </c>
      <c r="L91" s="14" t="s">
        <v>99</v>
      </c>
      <c r="M91" s="14" t="s">
        <v>103</v>
      </c>
      <c r="N91" s="14" t="s">
        <v>104</v>
      </c>
      <c r="O91" s="14" t="s">
        <v>99</v>
      </c>
      <c r="P91" s="14" t="s">
        <v>99</v>
      </c>
      <c r="Q91" s="14" t="s">
        <v>99</v>
      </c>
      <c r="R91" s="14" t="s">
        <v>99</v>
      </c>
      <c r="S91" s="14" t="s">
        <v>99</v>
      </c>
      <c r="T91" s="14" t="s">
        <v>9747</v>
      </c>
      <c r="U91" s="14" t="s">
        <v>9748</v>
      </c>
      <c r="V91" s="14" t="s">
        <v>9749</v>
      </c>
      <c r="W91" s="14" t="s">
        <v>9750</v>
      </c>
      <c r="X91" s="14" t="s">
        <v>9751</v>
      </c>
      <c r="Y91" s="14" t="s">
        <v>9752</v>
      </c>
      <c r="Z91" s="14" t="s">
        <v>9753</v>
      </c>
      <c r="AA91" s="14" t="s">
        <v>9754</v>
      </c>
      <c r="AB91" s="14" t="s">
        <v>9755</v>
      </c>
      <c r="AC91" s="14" t="s">
        <v>99</v>
      </c>
      <c r="AD91" s="14" t="s">
        <v>99</v>
      </c>
      <c r="AE91" s="14" t="s">
        <v>99</v>
      </c>
      <c r="AF91" s="14" t="s">
        <v>99</v>
      </c>
      <c r="AG91" s="14">
        <v>48.0</v>
      </c>
      <c r="AH91" s="14">
        <v>87.0</v>
      </c>
      <c r="AI91" s="14">
        <v>129.0</v>
      </c>
      <c r="AJ91" s="14">
        <v>1.0</v>
      </c>
      <c r="AK91" s="14">
        <v>58.0</v>
      </c>
      <c r="AL91" s="14" t="s">
        <v>1731</v>
      </c>
      <c r="AM91" s="14" t="s">
        <v>1732</v>
      </c>
      <c r="AN91" s="14" t="s">
        <v>1733</v>
      </c>
      <c r="AO91" s="14" t="s">
        <v>1734</v>
      </c>
      <c r="AP91" s="14" t="s">
        <v>1735</v>
      </c>
      <c r="AQ91" s="14" t="s">
        <v>99</v>
      </c>
      <c r="AR91" s="14" t="s">
        <v>1736</v>
      </c>
      <c r="AS91" s="14" t="s">
        <v>1737</v>
      </c>
      <c r="AT91" s="14" t="s">
        <v>1485</v>
      </c>
      <c r="AU91" s="14">
        <v>2002.0</v>
      </c>
      <c r="AV91" s="14">
        <v>11.0</v>
      </c>
      <c r="AW91" s="14">
        <v>3.0</v>
      </c>
      <c r="AX91" s="14" t="s">
        <v>99</v>
      </c>
      <c r="AY91" s="14" t="s">
        <v>99</v>
      </c>
      <c r="AZ91" s="14" t="s">
        <v>99</v>
      </c>
      <c r="BA91" s="14" t="s">
        <v>99</v>
      </c>
      <c r="BB91" s="14">
        <v>521.0</v>
      </c>
      <c r="BC91" s="14">
        <v>541.0</v>
      </c>
      <c r="BD91" s="14" t="s">
        <v>99</v>
      </c>
      <c r="BE91" s="14" t="s">
        <v>9756</v>
      </c>
      <c r="BF91" s="15" t="str">
        <f>HYPERLINK("http://dx.doi.org/10.1023/A:1014812701423","http://dx.doi.org/10.1023/A:1014812701423")</f>
        <v>http://dx.doi.org/10.1023/A:1014812701423</v>
      </c>
      <c r="BG91" s="14" t="s">
        <v>99</v>
      </c>
      <c r="BH91" s="14" t="s">
        <v>99</v>
      </c>
      <c r="BI91" s="14">
        <v>21.0</v>
      </c>
      <c r="BJ91" s="14" t="s">
        <v>351</v>
      </c>
      <c r="BK91" s="14" t="s">
        <v>122</v>
      </c>
      <c r="BL91" s="14" t="s">
        <v>352</v>
      </c>
      <c r="BM91" s="14" t="s">
        <v>9757</v>
      </c>
      <c r="BN91" s="14" t="s">
        <v>99</v>
      </c>
      <c r="BO91" s="14" t="s">
        <v>99</v>
      </c>
      <c r="BP91" s="14" t="s">
        <v>99</v>
      </c>
      <c r="BQ91" s="14" t="s">
        <v>99</v>
      </c>
      <c r="BR91" s="14" t="s">
        <v>124</v>
      </c>
      <c r="BS91" s="14" t="s">
        <v>9758</v>
      </c>
      <c r="BT91" s="14" t="str">
        <f>HYPERLINK("https%3A%2F%2Fwww.webofscience.com%2Fwos%2Fwoscc%2Ffull-record%2FWOS:000174605900009","View Full Record in Web of Science")</f>
        <v>View Full Record in Web of Science</v>
      </c>
    </row>
    <row r="92" ht="12.75" customHeight="1">
      <c r="A92" s="14" t="s">
        <v>97</v>
      </c>
      <c r="B92" s="14" t="s">
        <v>9797</v>
      </c>
      <c r="C92" s="14" t="s">
        <v>99</v>
      </c>
      <c r="D92" s="14" t="s">
        <v>99</v>
      </c>
      <c r="E92" s="14" t="s">
        <v>99</v>
      </c>
      <c r="F92" s="14" t="s">
        <v>9797</v>
      </c>
      <c r="G92" s="14" t="s">
        <v>99</v>
      </c>
      <c r="H92" s="14" t="s">
        <v>99</v>
      </c>
      <c r="I92" s="14" t="s">
        <v>9798</v>
      </c>
      <c r="J92" s="14" t="s">
        <v>1102</v>
      </c>
      <c r="K92" s="14" t="s">
        <v>99</v>
      </c>
      <c r="L92" s="14" t="s">
        <v>99</v>
      </c>
      <c r="M92" s="14" t="s">
        <v>103</v>
      </c>
      <c r="N92" s="14" t="s">
        <v>104</v>
      </c>
      <c r="O92" s="14" t="s">
        <v>99</v>
      </c>
      <c r="P92" s="14" t="s">
        <v>99</v>
      </c>
      <c r="Q92" s="14" t="s">
        <v>99</v>
      </c>
      <c r="R92" s="14" t="s">
        <v>99</v>
      </c>
      <c r="S92" s="14" t="s">
        <v>99</v>
      </c>
      <c r="T92" s="14" t="s">
        <v>9799</v>
      </c>
      <c r="U92" s="14" t="s">
        <v>9800</v>
      </c>
      <c r="V92" s="14" t="s">
        <v>9801</v>
      </c>
      <c r="W92" s="14" t="s">
        <v>9802</v>
      </c>
      <c r="X92" s="14" t="s">
        <v>9803</v>
      </c>
      <c r="Y92" s="14" t="s">
        <v>9804</v>
      </c>
      <c r="Z92" s="14" t="s">
        <v>99</v>
      </c>
      <c r="AA92" s="14" t="s">
        <v>9805</v>
      </c>
      <c r="AB92" s="14" t="s">
        <v>99</v>
      </c>
      <c r="AC92" s="14" t="s">
        <v>99</v>
      </c>
      <c r="AD92" s="14" t="s">
        <v>99</v>
      </c>
      <c r="AE92" s="14" t="s">
        <v>99</v>
      </c>
      <c r="AF92" s="14" t="s">
        <v>99</v>
      </c>
      <c r="AG92" s="14">
        <v>56.0</v>
      </c>
      <c r="AH92" s="14">
        <v>110.0</v>
      </c>
      <c r="AI92" s="14">
        <v>138.0</v>
      </c>
      <c r="AJ92" s="14">
        <v>1.0</v>
      </c>
      <c r="AK92" s="14">
        <v>82.0</v>
      </c>
      <c r="AL92" s="14" t="s">
        <v>493</v>
      </c>
      <c r="AM92" s="14" t="s">
        <v>468</v>
      </c>
      <c r="AN92" s="14" t="s">
        <v>635</v>
      </c>
      <c r="AO92" s="14" t="s">
        <v>1112</v>
      </c>
      <c r="AP92" s="14" t="s">
        <v>99</v>
      </c>
      <c r="AQ92" s="14" t="s">
        <v>99</v>
      </c>
      <c r="AR92" s="14" t="s">
        <v>1114</v>
      </c>
      <c r="AS92" s="14" t="s">
        <v>1115</v>
      </c>
      <c r="AT92" s="14" t="s">
        <v>2372</v>
      </c>
      <c r="AU92" s="14">
        <v>2001.0</v>
      </c>
      <c r="AV92" s="14">
        <v>101.0</v>
      </c>
      <c r="AW92" s="14">
        <v>3.0</v>
      </c>
      <c r="AX92" s="14" t="s">
        <v>99</v>
      </c>
      <c r="AY92" s="14" t="s">
        <v>99</v>
      </c>
      <c r="AZ92" s="14" t="s">
        <v>99</v>
      </c>
      <c r="BA92" s="14" t="s">
        <v>99</v>
      </c>
      <c r="BB92" s="14">
        <v>337.0</v>
      </c>
      <c r="BC92" s="14">
        <v>350.0</v>
      </c>
      <c r="BD92" s="14" t="s">
        <v>99</v>
      </c>
      <c r="BE92" s="14" t="s">
        <v>9806</v>
      </c>
      <c r="BF92" s="15" t="str">
        <f>HYPERLINK("http://dx.doi.org/10.1016/S0006-3207(01)00079-9","http://dx.doi.org/10.1016/S0006-3207(01)00079-9")</f>
        <v>http://dx.doi.org/10.1016/S0006-3207(01)00079-9</v>
      </c>
      <c r="BG92" s="14" t="s">
        <v>99</v>
      </c>
      <c r="BH92" s="14" t="s">
        <v>99</v>
      </c>
      <c r="BI92" s="14">
        <v>14.0</v>
      </c>
      <c r="BJ92" s="14" t="s">
        <v>351</v>
      </c>
      <c r="BK92" s="14" t="s">
        <v>122</v>
      </c>
      <c r="BL92" s="14" t="s">
        <v>352</v>
      </c>
      <c r="BM92" s="14" t="s">
        <v>9807</v>
      </c>
      <c r="BN92" s="14" t="s">
        <v>99</v>
      </c>
      <c r="BO92" s="14" t="s">
        <v>99</v>
      </c>
      <c r="BP92" s="14" t="s">
        <v>99</v>
      </c>
      <c r="BQ92" s="14" t="s">
        <v>99</v>
      </c>
      <c r="BR92" s="14" t="s">
        <v>124</v>
      </c>
      <c r="BS92" s="14" t="s">
        <v>9808</v>
      </c>
      <c r="BT92" s="14" t="str">
        <f>HYPERLINK("https%3A%2F%2Fwww.webofscience.com%2Fwos%2Fwoscc%2Ffull-record%2FWOS:000170722400007","View Full Record in Web of Science")</f>
        <v>View Full Record in Web of Science</v>
      </c>
    </row>
    <row r="93" ht="12.75" customHeight="1">
      <c r="A93" s="14" t="s">
        <v>97</v>
      </c>
      <c r="B93" s="14" t="s">
        <v>7758</v>
      </c>
      <c r="C93" s="14" t="s">
        <v>99</v>
      </c>
      <c r="D93" s="14" t="s">
        <v>99</v>
      </c>
      <c r="E93" s="14" t="s">
        <v>99</v>
      </c>
      <c r="F93" s="14" t="s">
        <v>7758</v>
      </c>
      <c r="G93" s="14" t="s">
        <v>99</v>
      </c>
      <c r="H93" s="14" t="s">
        <v>99</v>
      </c>
      <c r="I93" s="14" t="s">
        <v>9828</v>
      </c>
      <c r="J93" s="14" t="s">
        <v>404</v>
      </c>
      <c r="K93" s="14" t="s">
        <v>99</v>
      </c>
      <c r="L93" s="14" t="s">
        <v>99</v>
      </c>
      <c r="M93" s="14" t="s">
        <v>103</v>
      </c>
      <c r="N93" s="14" t="s">
        <v>104</v>
      </c>
      <c r="O93" s="14" t="s">
        <v>99</v>
      </c>
      <c r="P93" s="14" t="s">
        <v>99</v>
      </c>
      <c r="Q93" s="14" t="s">
        <v>99</v>
      </c>
      <c r="R93" s="14" t="s">
        <v>99</v>
      </c>
      <c r="S93" s="14" t="s">
        <v>99</v>
      </c>
      <c r="T93" s="14" t="s">
        <v>9829</v>
      </c>
      <c r="U93" s="14" t="s">
        <v>9830</v>
      </c>
      <c r="V93" s="14" t="s">
        <v>9831</v>
      </c>
      <c r="W93" s="14" t="s">
        <v>9832</v>
      </c>
      <c r="X93" s="14" t="s">
        <v>99</v>
      </c>
      <c r="Y93" s="14" t="s">
        <v>9833</v>
      </c>
      <c r="Z93" s="14" t="s">
        <v>9593</v>
      </c>
      <c r="AA93" s="14" t="s">
        <v>99</v>
      </c>
      <c r="AB93" s="14" t="s">
        <v>99</v>
      </c>
      <c r="AC93" s="14" t="s">
        <v>99</v>
      </c>
      <c r="AD93" s="14" t="s">
        <v>99</v>
      </c>
      <c r="AE93" s="14" t="s">
        <v>99</v>
      </c>
      <c r="AF93" s="14" t="s">
        <v>99</v>
      </c>
      <c r="AG93" s="14">
        <v>88.0</v>
      </c>
      <c r="AH93" s="14">
        <v>106.0</v>
      </c>
      <c r="AI93" s="14">
        <v>126.0</v>
      </c>
      <c r="AJ93" s="14">
        <v>0.0</v>
      </c>
      <c r="AK93" s="14">
        <v>56.0</v>
      </c>
      <c r="AL93" s="14" t="s">
        <v>341</v>
      </c>
      <c r="AM93" s="14" t="s">
        <v>342</v>
      </c>
      <c r="AN93" s="14" t="s">
        <v>343</v>
      </c>
      <c r="AO93" s="14" t="s">
        <v>417</v>
      </c>
      <c r="AP93" s="14" t="s">
        <v>418</v>
      </c>
      <c r="AQ93" s="14" t="s">
        <v>99</v>
      </c>
      <c r="AR93" s="14" t="s">
        <v>419</v>
      </c>
      <c r="AS93" s="14" t="s">
        <v>420</v>
      </c>
      <c r="AT93" s="14" t="s">
        <v>474</v>
      </c>
      <c r="AU93" s="14">
        <v>2001.0</v>
      </c>
      <c r="AV93" s="14">
        <v>11.0</v>
      </c>
      <c r="AW93" s="14">
        <v>4.0</v>
      </c>
      <c r="AX93" s="14" t="s">
        <v>99</v>
      </c>
      <c r="AY93" s="14" t="s">
        <v>99</v>
      </c>
      <c r="AZ93" s="14" t="s">
        <v>99</v>
      </c>
      <c r="BA93" s="14" t="s">
        <v>99</v>
      </c>
      <c r="BB93" s="14">
        <v>1151.0</v>
      </c>
      <c r="BC93" s="14">
        <v>1173.0</v>
      </c>
      <c r="BD93" s="14" t="s">
        <v>99</v>
      </c>
      <c r="BE93" s="14" t="s">
        <v>9834</v>
      </c>
      <c r="BF93" s="15" t="str">
        <f>HYPERLINK("http://dx.doi.org/10.1890/1051-0761(2001)011[1151:SSASMI]2.0.CO;2","http://dx.doi.org/10.1890/1051-0761(2001)011[1151:SSASMI]2.0.CO;2")</f>
        <v>http://dx.doi.org/10.1890/1051-0761(2001)011[1151:SSASMI]2.0.CO;2</v>
      </c>
      <c r="BG93" s="14" t="s">
        <v>99</v>
      </c>
      <c r="BH93" s="14" t="s">
        <v>99</v>
      </c>
      <c r="BI93" s="14">
        <v>23.0</v>
      </c>
      <c r="BJ93" s="14" t="s">
        <v>423</v>
      </c>
      <c r="BK93" s="14" t="s">
        <v>122</v>
      </c>
      <c r="BL93" s="14" t="s">
        <v>260</v>
      </c>
      <c r="BM93" s="14" t="s">
        <v>9835</v>
      </c>
      <c r="BN93" s="14" t="s">
        <v>99</v>
      </c>
      <c r="BO93" s="14" t="s">
        <v>99</v>
      </c>
      <c r="BP93" s="14" t="s">
        <v>99</v>
      </c>
      <c r="BQ93" s="14" t="s">
        <v>99</v>
      </c>
      <c r="BR93" s="14" t="s">
        <v>124</v>
      </c>
      <c r="BS93" s="14" t="s">
        <v>9836</v>
      </c>
      <c r="BT93" s="14" t="str">
        <f>HYPERLINK("https%3A%2F%2Fwww.webofscience.com%2Fwos%2Fwoscc%2Ffull-record%2FWOS:000170209200017","View Full Record in Web of Science")</f>
        <v>View Full Record in Web of Science</v>
      </c>
    </row>
    <row r="94" ht="12.75" customHeight="1">
      <c r="A94" s="14" t="s">
        <v>97</v>
      </c>
      <c r="B94" s="14" t="s">
        <v>9837</v>
      </c>
      <c r="C94" s="14" t="s">
        <v>99</v>
      </c>
      <c r="D94" s="14" t="s">
        <v>99</v>
      </c>
      <c r="E94" s="14" t="s">
        <v>99</v>
      </c>
      <c r="F94" s="14" t="s">
        <v>9837</v>
      </c>
      <c r="G94" s="14" t="s">
        <v>99</v>
      </c>
      <c r="H94" s="14" t="s">
        <v>99</v>
      </c>
      <c r="I94" s="14" t="s">
        <v>9838</v>
      </c>
      <c r="J94" s="14" t="s">
        <v>430</v>
      </c>
      <c r="K94" s="14" t="s">
        <v>99</v>
      </c>
      <c r="L94" s="14" t="s">
        <v>99</v>
      </c>
      <c r="M94" s="14" t="s">
        <v>103</v>
      </c>
      <c r="N94" s="14" t="s">
        <v>104</v>
      </c>
      <c r="O94" s="14" t="s">
        <v>99</v>
      </c>
      <c r="P94" s="14" t="s">
        <v>99</v>
      </c>
      <c r="Q94" s="14" t="s">
        <v>99</v>
      </c>
      <c r="R94" s="14" t="s">
        <v>99</v>
      </c>
      <c r="S94" s="14" t="s">
        <v>99</v>
      </c>
      <c r="T94" s="14" t="s">
        <v>9839</v>
      </c>
      <c r="U94" s="14" t="s">
        <v>9840</v>
      </c>
      <c r="V94" s="14" t="s">
        <v>9841</v>
      </c>
      <c r="W94" s="14" t="s">
        <v>9842</v>
      </c>
      <c r="X94" s="14" t="s">
        <v>9843</v>
      </c>
      <c r="Y94" s="14" t="s">
        <v>9844</v>
      </c>
      <c r="Z94" s="14" t="s">
        <v>9845</v>
      </c>
      <c r="AA94" s="14" t="s">
        <v>9846</v>
      </c>
      <c r="AB94" s="14" t="s">
        <v>9847</v>
      </c>
      <c r="AC94" s="14" t="s">
        <v>99</v>
      </c>
      <c r="AD94" s="14" t="s">
        <v>99</v>
      </c>
      <c r="AE94" s="14" t="s">
        <v>99</v>
      </c>
      <c r="AF94" s="14" t="s">
        <v>99</v>
      </c>
      <c r="AG94" s="14">
        <v>37.0</v>
      </c>
      <c r="AH94" s="14">
        <v>186.0</v>
      </c>
      <c r="AI94" s="14">
        <v>252.0</v>
      </c>
      <c r="AJ94" s="14">
        <v>0.0</v>
      </c>
      <c r="AK94" s="14">
        <v>87.0</v>
      </c>
      <c r="AL94" s="14" t="s">
        <v>441</v>
      </c>
      <c r="AM94" s="14" t="s">
        <v>442</v>
      </c>
      <c r="AN94" s="14" t="s">
        <v>443</v>
      </c>
      <c r="AO94" s="14" t="s">
        <v>444</v>
      </c>
      <c r="AP94" s="14" t="s">
        <v>445</v>
      </c>
      <c r="AQ94" s="14" t="s">
        <v>99</v>
      </c>
      <c r="AR94" s="14" t="s">
        <v>446</v>
      </c>
      <c r="AS94" s="14" t="s">
        <v>447</v>
      </c>
      <c r="AT94" s="14" t="s">
        <v>3233</v>
      </c>
      <c r="AU94" s="14">
        <v>2001.0</v>
      </c>
      <c r="AV94" s="14">
        <v>146.0</v>
      </c>
      <c r="AW94" s="14" t="s">
        <v>8123</v>
      </c>
      <c r="AX94" s="14" t="s">
        <v>99</v>
      </c>
      <c r="AY94" s="14" t="s">
        <v>99</v>
      </c>
      <c r="AZ94" s="14" t="s">
        <v>99</v>
      </c>
      <c r="BA94" s="14" t="s">
        <v>99</v>
      </c>
      <c r="BB94" s="14">
        <v>211.0</v>
      </c>
      <c r="BC94" s="14">
        <v>222.0</v>
      </c>
      <c r="BD94" s="14" t="s">
        <v>99</v>
      </c>
      <c r="BE94" s="14" t="s">
        <v>9848</v>
      </c>
      <c r="BF94" s="15" t="str">
        <f>HYPERLINK("http://dx.doi.org/10.1016/S0378-1127(00)00463-1","http://dx.doi.org/10.1016/S0378-1127(00)00463-1")</f>
        <v>http://dx.doi.org/10.1016/S0378-1127(00)00463-1</v>
      </c>
      <c r="BG94" s="14" t="s">
        <v>99</v>
      </c>
      <c r="BH94" s="14" t="s">
        <v>99</v>
      </c>
      <c r="BI94" s="14">
        <v>12.0</v>
      </c>
      <c r="BJ94" s="14" t="s">
        <v>281</v>
      </c>
      <c r="BK94" s="14" t="s">
        <v>122</v>
      </c>
      <c r="BL94" s="14" t="s">
        <v>281</v>
      </c>
      <c r="BM94" s="14" t="s">
        <v>9849</v>
      </c>
      <c r="BN94" s="14" t="s">
        <v>99</v>
      </c>
      <c r="BO94" s="14" t="s">
        <v>99</v>
      </c>
      <c r="BP94" s="14" t="s">
        <v>99</v>
      </c>
      <c r="BQ94" s="14" t="s">
        <v>99</v>
      </c>
      <c r="BR94" s="14" t="s">
        <v>124</v>
      </c>
      <c r="BS94" s="14" t="s">
        <v>9850</v>
      </c>
      <c r="BT94" s="14" t="str">
        <f>HYPERLINK("https%3A%2F%2Fwww.webofscience.com%2Fwos%2Fwoscc%2Ffull-record%2FWOS:000168636800017","View Full Record in Web of Science")</f>
        <v>View Full Record in Web of Science</v>
      </c>
    </row>
    <row r="95" ht="12.75" customHeight="1">
      <c r="A95" s="14" t="s">
        <v>97</v>
      </c>
      <c r="B95" s="14" t="s">
        <v>9913</v>
      </c>
      <c r="C95" s="14" t="s">
        <v>99</v>
      </c>
      <c r="D95" s="14" t="s">
        <v>99</v>
      </c>
      <c r="E95" s="14" t="s">
        <v>99</v>
      </c>
      <c r="F95" s="14" t="s">
        <v>9913</v>
      </c>
      <c r="G95" s="14" t="s">
        <v>99</v>
      </c>
      <c r="H95" s="14" t="s">
        <v>99</v>
      </c>
      <c r="I95" s="14" t="s">
        <v>9914</v>
      </c>
      <c r="J95" s="14" t="s">
        <v>532</v>
      </c>
      <c r="K95" s="14" t="s">
        <v>99</v>
      </c>
      <c r="L95" s="14" t="s">
        <v>99</v>
      </c>
      <c r="M95" s="14" t="s">
        <v>103</v>
      </c>
      <c r="N95" s="14" t="s">
        <v>104</v>
      </c>
      <c r="O95" s="14" t="s">
        <v>99</v>
      </c>
      <c r="P95" s="14" t="s">
        <v>99</v>
      </c>
      <c r="Q95" s="14" t="s">
        <v>99</v>
      </c>
      <c r="R95" s="14" t="s">
        <v>99</v>
      </c>
      <c r="S95" s="14" t="s">
        <v>99</v>
      </c>
      <c r="T95" s="14" t="s">
        <v>9915</v>
      </c>
      <c r="U95" s="14" t="s">
        <v>9916</v>
      </c>
      <c r="V95" s="14" t="s">
        <v>9917</v>
      </c>
      <c r="W95" s="14" t="s">
        <v>9918</v>
      </c>
      <c r="X95" s="14" t="s">
        <v>9919</v>
      </c>
      <c r="Y95" s="14" t="s">
        <v>9920</v>
      </c>
      <c r="Z95" s="14" t="s">
        <v>9921</v>
      </c>
      <c r="AA95" s="14" t="s">
        <v>99</v>
      </c>
      <c r="AB95" s="14" t="s">
        <v>99</v>
      </c>
      <c r="AC95" s="14" t="s">
        <v>99</v>
      </c>
      <c r="AD95" s="14" t="s">
        <v>99</v>
      </c>
      <c r="AE95" s="14" t="s">
        <v>99</v>
      </c>
      <c r="AF95" s="14" t="s">
        <v>99</v>
      </c>
      <c r="AG95" s="14">
        <v>66.0</v>
      </c>
      <c r="AH95" s="14">
        <v>119.0</v>
      </c>
      <c r="AI95" s="14">
        <v>134.0</v>
      </c>
      <c r="AJ95" s="14">
        <v>3.0</v>
      </c>
      <c r="AK95" s="14">
        <v>92.0</v>
      </c>
      <c r="AL95" s="14" t="s">
        <v>341</v>
      </c>
      <c r="AM95" s="14" t="s">
        <v>342</v>
      </c>
      <c r="AN95" s="14" t="s">
        <v>343</v>
      </c>
      <c r="AO95" s="14" t="s">
        <v>545</v>
      </c>
      <c r="AP95" s="14" t="s">
        <v>546</v>
      </c>
      <c r="AQ95" s="14" t="s">
        <v>99</v>
      </c>
      <c r="AR95" s="14" t="s">
        <v>547</v>
      </c>
      <c r="AS95" s="14" t="s">
        <v>548</v>
      </c>
      <c r="AT95" s="14" t="s">
        <v>1058</v>
      </c>
      <c r="AU95" s="14">
        <v>2000.0</v>
      </c>
      <c r="AV95" s="14">
        <v>37.0</v>
      </c>
      <c r="AW95" s="14">
        <v>6.0</v>
      </c>
      <c r="AX95" s="14" t="s">
        <v>99</v>
      </c>
      <c r="AY95" s="14" t="s">
        <v>99</v>
      </c>
      <c r="AZ95" s="14" t="s">
        <v>99</v>
      </c>
      <c r="BA95" s="14" t="s">
        <v>99</v>
      </c>
      <c r="BB95" s="14">
        <v>1029.0</v>
      </c>
      <c r="BC95" s="14">
        <v>1043.0</v>
      </c>
      <c r="BD95" s="14" t="s">
        <v>99</v>
      </c>
      <c r="BE95" s="14" t="s">
        <v>9922</v>
      </c>
      <c r="BF95" s="15" t="str">
        <f>HYPERLINK("http://dx.doi.org/10.1046/j.1365-2664.2000.00566.x","http://dx.doi.org/10.1046/j.1365-2664.2000.00566.x")</f>
        <v>http://dx.doi.org/10.1046/j.1365-2664.2000.00566.x</v>
      </c>
      <c r="BG95" s="14" t="s">
        <v>99</v>
      </c>
      <c r="BH95" s="14" t="s">
        <v>99</v>
      </c>
      <c r="BI95" s="14">
        <v>15.0</v>
      </c>
      <c r="BJ95" s="14" t="s">
        <v>550</v>
      </c>
      <c r="BK95" s="14" t="s">
        <v>122</v>
      </c>
      <c r="BL95" s="14" t="s">
        <v>352</v>
      </c>
      <c r="BM95" s="14" t="s">
        <v>9923</v>
      </c>
      <c r="BN95" s="14" t="s">
        <v>99</v>
      </c>
      <c r="BO95" s="14" t="s">
        <v>238</v>
      </c>
      <c r="BP95" s="14" t="s">
        <v>99</v>
      </c>
      <c r="BQ95" s="14" t="s">
        <v>99</v>
      </c>
      <c r="BR95" s="14" t="s">
        <v>124</v>
      </c>
      <c r="BS95" s="14" t="s">
        <v>9924</v>
      </c>
      <c r="BT95" s="14" t="str">
        <f>HYPERLINK("https%3A%2F%2Fwww.webofscience.com%2Fwos%2Fwoscc%2Ffull-record%2FWOS:000166979900012","View Full Record in Web of Science")</f>
        <v>View Full Record in Web of Science</v>
      </c>
    </row>
    <row r="96" ht="12.75" customHeight="1">
      <c r="A96" s="14" t="s">
        <v>97</v>
      </c>
      <c r="B96" s="14" t="s">
        <v>9925</v>
      </c>
      <c r="C96" s="14" t="s">
        <v>99</v>
      </c>
      <c r="D96" s="14" t="s">
        <v>99</v>
      </c>
      <c r="E96" s="14" t="s">
        <v>99</v>
      </c>
      <c r="F96" s="14" t="s">
        <v>9925</v>
      </c>
      <c r="G96" s="14" t="s">
        <v>99</v>
      </c>
      <c r="H96" s="14" t="s">
        <v>99</v>
      </c>
      <c r="I96" s="14" t="s">
        <v>9926</v>
      </c>
      <c r="J96" s="14" t="s">
        <v>5603</v>
      </c>
      <c r="K96" s="14" t="s">
        <v>99</v>
      </c>
      <c r="L96" s="14" t="s">
        <v>99</v>
      </c>
      <c r="M96" s="14" t="s">
        <v>103</v>
      </c>
      <c r="N96" s="14" t="s">
        <v>104</v>
      </c>
      <c r="O96" s="14" t="s">
        <v>99</v>
      </c>
      <c r="P96" s="14" t="s">
        <v>99</v>
      </c>
      <c r="Q96" s="14" t="s">
        <v>99</v>
      </c>
      <c r="R96" s="14" t="s">
        <v>99</v>
      </c>
      <c r="S96" s="14" t="s">
        <v>99</v>
      </c>
      <c r="T96" s="14" t="s">
        <v>9927</v>
      </c>
      <c r="U96" s="14" t="s">
        <v>9928</v>
      </c>
      <c r="V96" s="14" t="s">
        <v>9929</v>
      </c>
      <c r="W96" s="14" t="s">
        <v>9930</v>
      </c>
      <c r="X96" s="14" t="s">
        <v>9931</v>
      </c>
      <c r="Y96" s="14" t="s">
        <v>9932</v>
      </c>
      <c r="Z96" s="14" t="s">
        <v>99</v>
      </c>
      <c r="AA96" s="14" t="s">
        <v>99</v>
      </c>
      <c r="AB96" s="14" t="s">
        <v>99</v>
      </c>
      <c r="AC96" s="14" t="s">
        <v>99</v>
      </c>
      <c r="AD96" s="14" t="s">
        <v>99</v>
      </c>
      <c r="AE96" s="14" t="s">
        <v>99</v>
      </c>
      <c r="AF96" s="14" t="s">
        <v>99</v>
      </c>
      <c r="AG96" s="14">
        <v>29.0</v>
      </c>
      <c r="AH96" s="14">
        <v>13.0</v>
      </c>
      <c r="AI96" s="14">
        <v>15.0</v>
      </c>
      <c r="AJ96" s="14">
        <v>0.0</v>
      </c>
      <c r="AK96" s="14">
        <v>6.0</v>
      </c>
      <c r="AL96" s="14" t="s">
        <v>1033</v>
      </c>
      <c r="AM96" s="14" t="s">
        <v>442</v>
      </c>
      <c r="AN96" s="14" t="s">
        <v>1034</v>
      </c>
      <c r="AO96" s="14" t="s">
        <v>5616</v>
      </c>
      <c r="AP96" s="14" t="s">
        <v>99</v>
      </c>
      <c r="AQ96" s="14" t="s">
        <v>99</v>
      </c>
      <c r="AR96" s="14" t="s">
        <v>5618</v>
      </c>
      <c r="AS96" s="14" t="s">
        <v>5619</v>
      </c>
      <c r="AT96" s="14" t="s">
        <v>348</v>
      </c>
      <c r="AU96" s="14">
        <v>2000.0</v>
      </c>
      <c r="AV96" s="14">
        <v>81.0</v>
      </c>
      <c r="AW96" s="14">
        <v>3.0</v>
      </c>
      <c r="AX96" s="14" t="s">
        <v>99</v>
      </c>
      <c r="AY96" s="14" t="s">
        <v>99</v>
      </c>
      <c r="AZ96" s="14" t="s">
        <v>99</v>
      </c>
      <c r="BA96" s="14" t="s">
        <v>99</v>
      </c>
      <c r="BB96" s="14">
        <v>209.0</v>
      </c>
      <c r="BC96" s="14">
        <v>216.0</v>
      </c>
      <c r="BD96" s="14" t="s">
        <v>99</v>
      </c>
      <c r="BE96" s="14" t="s">
        <v>9933</v>
      </c>
      <c r="BF96" s="15" t="str">
        <f>HYPERLINK("http://dx.doi.org/10.1016/S0167-8809(00)00158-4","http://dx.doi.org/10.1016/S0167-8809(00)00158-4")</f>
        <v>http://dx.doi.org/10.1016/S0167-8809(00)00158-4</v>
      </c>
      <c r="BG96" s="14" t="s">
        <v>99</v>
      </c>
      <c r="BH96" s="14" t="s">
        <v>99</v>
      </c>
      <c r="BI96" s="14">
        <v>8.0</v>
      </c>
      <c r="BJ96" s="14" t="s">
        <v>5622</v>
      </c>
      <c r="BK96" s="14" t="s">
        <v>122</v>
      </c>
      <c r="BL96" s="14" t="s">
        <v>5623</v>
      </c>
      <c r="BM96" s="14" t="s">
        <v>9934</v>
      </c>
      <c r="BN96" s="14" t="s">
        <v>99</v>
      </c>
      <c r="BO96" s="14" t="s">
        <v>99</v>
      </c>
      <c r="BP96" s="14" t="s">
        <v>99</v>
      </c>
      <c r="BQ96" s="14" t="s">
        <v>99</v>
      </c>
      <c r="BR96" s="14" t="s">
        <v>124</v>
      </c>
      <c r="BS96" s="14" t="s">
        <v>9935</v>
      </c>
      <c r="BT96" s="14" t="str">
        <f>HYPERLINK("https%3A%2F%2Fwww.webofscience.com%2Fwos%2Fwoscc%2Ffull-record%2FWOS:000089961200005","View Full Record in Web of Science")</f>
        <v>View Full Record in Web of Science</v>
      </c>
    </row>
    <row r="97" ht="12.75" customHeight="1">
      <c r="A97" s="14" t="s">
        <v>97</v>
      </c>
      <c r="B97" s="14" t="s">
        <v>9992</v>
      </c>
      <c r="C97" s="14" t="s">
        <v>99</v>
      </c>
      <c r="D97" s="14" t="s">
        <v>99</v>
      </c>
      <c r="E97" s="14" t="s">
        <v>99</v>
      </c>
      <c r="F97" s="14" t="s">
        <v>9992</v>
      </c>
      <c r="G97" s="14" t="s">
        <v>99</v>
      </c>
      <c r="H97" s="14" t="s">
        <v>99</v>
      </c>
      <c r="I97" s="14" t="s">
        <v>9993</v>
      </c>
      <c r="J97" s="14" t="s">
        <v>1721</v>
      </c>
      <c r="K97" s="14" t="s">
        <v>99</v>
      </c>
      <c r="L97" s="14" t="s">
        <v>99</v>
      </c>
      <c r="M97" s="14" t="s">
        <v>103</v>
      </c>
      <c r="N97" s="14" t="s">
        <v>104</v>
      </c>
      <c r="O97" s="14" t="s">
        <v>99</v>
      </c>
      <c r="P97" s="14" t="s">
        <v>99</v>
      </c>
      <c r="Q97" s="14" t="s">
        <v>99</v>
      </c>
      <c r="R97" s="14" t="s">
        <v>99</v>
      </c>
      <c r="S97" s="14" t="s">
        <v>99</v>
      </c>
      <c r="T97" s="14" t="s">
        <v>9994</v>
      </c>
      <c r="U97" s="14" t="s">
        <v>9995</v>
      </c>
      <c r="V97" s="14" t="s">
        <v>9996</v>
      </c>
      <c r="W97" s="14" t="s">
        <v>9997</v>
      </c>
      <c r="X97" s="14" t="s">
        <v>9998</v>
      </c>
      <c r="Y97" s="14" t="s">
        <v>9999</v>
      </c>
      <c r="Z97" s="14" t="s">
        <v>10000</v>
      </c>
      <c r="AA97" s="14" t="s">
        <v>99</v>
      </c>
      <c r="AB97" s="14" t="s">
        <v>99</v>
      </c>
      <c r="AC97" s="14" t="s">
        <v>99</v>
      </c>
      <c r="AD97" s="14" t="s">
        <v>99</v>
      </c>
      <c r="AE97" s="14" t="s">
        <v>99</v>
      </c>
      <c r="AF97" s="14" t="s">
        <v>99</v>
      </c>
      <c r="AG97" s="14">
        <v>37.0</v>
      </c>
      <c r="AH97" s="14">
        <v>89.0</v>
      </c>
      <c r="AI97" s="14">
        <v>117.0</v>
      </c>
      <c r="AJ97" s="14">
        <v>0.0</v>
      </c>
      <c r="AK97" s="14">
        <v>33.0</v>
      </c>
      <c r="AL97" s="14" t="s">
        <v>1731</v>
      </c>
      <c r="AM97" s="14" t="s">
        <v>1732</v>
      </c>
      <c r="AN97" s="14" t="s">
        <v>1733</v>
      </c>
      <c r="AO97" s="14" t="s">
        <v>1734</v>
      </c>
      <c r="AP97" s="14" t="s">
        <v>1735</v>
      </c>
      <c r="AQ97" s="14" t="s">
        <v>99</v>
      </c>
      <c r="AR97" s="14" t="s">
        <v>1736</v>
      </c>
      <c r="AS97" s="14" t="s">
        <v>1737</v>
      </c>
      <c r="AT97" s="14" t="s">
        <v>2372</v>
      </c>
      <c r="AU97" s="14">
        <v>1999.0</v>
      </c>
      <c r="AV97" s="14">
        <v>8.0</v>
      </c>
      <c r="AW97" s="14">
        <v>10.0</v>
      </c>
      <c r="AX97" s="14" t="s">
        <v>99</v>
      </c>
      <c r="AY97" s="14" t="s">
        <v>99</v>
      </c>
      <c r="AZ97" s="14" t="s">
        <v>99</v>
      </c>
      <c r="BA97" s="14" t="s">
        <v>99</v>
      </c>
      <c r="BB97" s="14">
        <v>1365.0</v>
      </c>
      <c r="BC97" s="14">
        <v>1381.0</v>
      </c>
      <c r="BD97" s="14" t="s">
        <v>99</v>
      </c>
      <c r="BE97" s="14" t="s">
        <v>10001</v>
      </c>
      <c r="BF97" s="15" t="str">
        <f>HYPERLINK("http://dx.doi.org/10.1023/A:1008949407385","http://dx.doi.org/10.1023/A:1008949407385")</f>
        <v>http://dx.doi.org/10.1023/A:1008949407385</v>
      </c>
      <c r="BG97" s="14" t="s">
        <v>99</v>
      </c>
      <c r="BH97" s="14" t="s">
        <v>99</v>
      </c>
      <c r="BI97" s="14">
        <v>17.0</v>
      </c>
      <c r="BJ97" s="14" t="s">
        <v>351</v>
      </c>
      <c r="BK97" s="14" t="s">
        <v>122</v>
      </c>
      <c r="BL97" s="14" t="s">
        <v>352</v>
      </c>
      <c r="BM97" s="14" t="s">
        <v>10002</v>
      </c>
      <c r="BN97" s="14" t="s">
        <v>99</v>
      </c>
      <c r="BO97" s="14" t="s">
        <v>99</v>
      </c>
      <c r="BP97" s="14" t="s">
        <v>99</v>
      </c>
      <c r="BQ97" s="14" t="s">
        <v>99</v>
      </c>
      <c r="BR97" s="14" t="s">
        <v>124</v>
      </c>
      <c r="BS97" s="14" t="s">
        <v>10003</v>
      </c>
      <c r="BT97" s="14" t="str">
        <f>HYPERLINK("https%3A%2F%2Fwww.webofscience.com%2Fwos%2Fwoscc%2Ffull-record%2FWOS:000083412800004","View Full Record in Web of Science")</f>
        <v>View Full Record in Web of Science</v>
      </c>
    </row>
    <row r="98" ht="12.75" customHeight="1">
      <c r="A98" s="14" t="s">
        <v>97</v>
      </c>
      <c r="B98" s="14" t="s">
        <v>10004</v>
      </c>
      <c r="C98" s="14" t="s">
        <v>99</v>
      </c>
      <c r="D98" s="14" t="s">
        <v>99</v>
      </c>
      <c r="E98" s="14" t="s">
        <v>99</v>
      </c>
      <c r="F98" s="14" t="s">
        <v>10004</v>
      </c>
      <c r="G98" s="14" t="s">
        <v>99</v>
      </c>
      <c r="H98" s="14" t="s">
        <v>99</v>
      </c>
      <c r="I98" s="14" t="s">
        <v>10005</v>
      </c>
      <c r="J98" s="14" t="s">
        <v>8468</v>
      </c>
      <c r="K98" s="14" t="s">
        <v>99</v>
      </c>
      <c r="L98" s="14" t="s">
        <v>99</v>
      </c>
      <c r="M98" s="14" t="s">
        <v>103</v>
      </c>
      <c r="N98" s="14" t="s">
        <v>104</v>
      </c>
      <c r="O98" s="14" t="s">
        <v>99</v>
      </c>
      <c r="P98" s="14" t="s">
        <v>99</v>
      </c>
      <c r="Q98" s="14" t="s">
        <v>99</v>
      </c>
      <c r="R98" s="14" t="s">
        <v>99</v>
      </c>
      <c r="S98" s="14" t="s">
        <v>99</v>
      </c>
      <c r="T98" s="14" t="s">
        <v>10006</v>
      </c>
      <c r="U98" s="14" t="s">
        <v>10007</v>
      </c>
      <c r="V98" s="14" t="s">
        <v>10008</v>
      </c>
      <c r="W98" s="14" t="s">
        <v>10009</v>
      </c>
      <c r="X98" s="14" t="s">
        <v>10010</v>
      </c>
      <c r="Y98" s="14" t="s">
        <v>10011</v>
      </c>
      <c r="Z98" s="14" t="s">
        <v>99</v>
      </c>
      <c r="AA98" s="14" t="s">
        <v>10012</v>
      </c>
      <c r="AB98" s="14" t="s">
        <v>10013</v>
      </c>
      <c r="AC98" s="14" t="s">
        <v>99</v>
      </c>
      <c r="AD98" s="14" t="s">
        <v>99</v>
      </c>
      <c r="AE98" s="14" t="s">
        <v>99</v>
      </c>
      <c r="AF98" s="14" t="s">
        <v>99</v>
      </c>
      <c r="AG98" s="14">
        <v>51.0</v>
      </c>
      <c r="AH98" s="14">
        <v>87.0</v>
      </c>
      <c r="AI98" s="14">
        <v>109.0</v>
      </c>
      <c r="AJ98" s="14">
        <v>2.0</v>
      </c>
      <c r="AK98" s="14">
        <v>72.0</v>
      </c>
      <c r="AL98" s="14" t="s">
        <v>467</v>
      </c>
      <c r="AM98" s="14" t="s">
        <v>468</v>
      </c>
      <c r="AN98" s="14" t="s">
        <v>469</v>
      </c>
      <c r="AO98" s="14" t="s">
        <v>8477</v>
      </c>
      <c r="AP98" s="14" t="s">
        <v>99</v>
      </c>
      <c r="AQ98" s="14" t="s">
        <v>99</v>
      </c>
      <c r="AR98" s="14" t="s">
        <v>8478</v>
      </c>
      <c r="AS98" s="14" t="s">
        <v>8479</v>
      </c>
      <c r="AT98" s="14" t="s">
        <v>2372</v>
      </c>
      <c r="AU98" s="14">
        <v>1999.0</v>
      </c>
      <c r="AV98" s="14">
        <v>31.0</v>
      </c>
      <c r="AW98" s="14">
        <v>12.0</v>
      </c>
      <c r="AX98" s="14" t="s">
        <v>99</v>
      </c>
      <c r="AY98" s="14" t="s">
        <v>99</v>
      </c>
      <c r="AZ98" s="14" t="s">
        <v>99</v>
      </c>
      <c r="BA98" s="14" t="s">
        <v>99</v>
      </c>
      <c r="BB98" s="14">
        <v>1691.0</v>
      </c>
      <c r="BC98" s="14">
        <v>1706.0</v>
      </c>
      <c r="BD98" s="14" t="s">
        <v>99</v>
      </c>
      <c r="BE98" s="14" t="s">
        <v>10014</v>
      </c>
      <c r="BF98" s="15" t="str">
        <f>HYPERLINK("http://dx.doi.org/10.1016/S0038-0717(99)00089-9","http://dx.doi.org/10.1016/S0038-0717(99)00089-9")</f>
        <v>http://dx.doi.org/10.1016/S0038-0717(99)00089-9</v>
      </c>
      <c r="BG98" s="14" t="s">
        <v>99</v>
      </c>
      <c r="BH98" s="14" t="s">
        <v>99</v>
      </c>
      <c r="BI98" s="14">
        <v>16.0</v>
      </c>
      <c r="BJ98" s="14" t="s">
        <v>6815</v>
      </c>
      <c r="BK98" s="14" t="s">
        <v>122</v>
      </c>
      <c r="BL98" s="14" t="s">
        <v>2969</v>
      </c>
      <c r="BM98" s="14" t="s">
        <v>10015</v>
      </c>
      <c r="BN98" s="14" t="s">
        <v>99</v>
      </c>
      <c r="BO98" s="14" t="s">
        <v>99</v>
      </c>
      <c r="BP98" s="14" t="s">
        <v>99</v>
      </c>
      <c r="BQ98" s="14" t="s">
        <v>99</v>
      </c>
      <c r="BR98" s="14" t="s">
        <v>124</v>
      </c>
      <c r="BS98" s="14" t="s">
        <v>10016</v>
      </c>
      <c r="BT98" s="14" t="str">
        <f>HYPERLINK("https%3A%2F%2Fwww.webofscience.com%2Fwos%2Fwoscc%2Ffull-record%2FWOS:000082491400009","View Full Record in Web of Science")</f>
        <v>View Full Record in Web of Science</v>
      </c>
    </row>
    <row r="99" ht="12.75" customHeight="1">
      <c r="A99" s="14" t="s">
        <v>97</v>
      </c>
      <c r="B99" s="14" t="s">
        <v>9728</v>
      </c>
      <c r="C99" s="14" t="s">
        <v>99</v>
      </c>
      <c r="D99" s="14" t="s">
        <v>99</v>
      </c>
      <c r="E99" s="14" t="s">
        <v>99</v>
      </c>
      <c r="F99" s="14" t="s">
        <v>9728</v>
      </c>
      <c r="G99" s="14" t="s">
        <v>99</v>
      </c>
      <c r="H99" s="14" t="s">
        <v>99</v>
      </c>
      <c r="I99" s="14" t="s">
        <v>10017</v>
      </c>
      <c r="J99" s="14" t="s">
        <v>10018</v>
      </c>
      <c r="K99" s="14" t="s">
        <v>99</v>
      </c>
      <c r="L99" s="14" t="s">
        <v>99</v>
      </c>
      <c r="M99" s="14" t="s">
        <v>103</v>
      </c>
      <c r="N99" s="14" t="s">
        <v>104</v>
      </c>
      <c r="O99" s="14" t="s">
        <v>99</v>
      </c>
      <c r="P99" s="14" t="s">
        <v>99</v>
      </c>
      <c r="Q99" s="14" t="s">
        <v>99</v>
      </c>
      <c r="R99" s="14" t="s">
        <v>99</v>
      </c>
      <c r="S99" s="14" t="s">
        <v>99</v>
      </c>
      <c r="T99" s="14" t="s">
        <v>10019</v>
      </c>
      <c r="U99" s="14" t="s">
        <v>10020</v>
      </c>
      <c r="V99" s="14" t="s">
        <v>10021</v>
      </c>
      <c r="W99" s="14" t="s">
        <v>10022</v>
      </c>
      <c r="X99" s="14" t="s">
        <v>4839</v>
      </c>
      <c r="Y99" s="14" t="s">
        <v>10023</v>
      </c>
      <c r="Z99" s="14" t="s">
        <v>99</v>
      </c>
      <c r="AA99" s="14" t="s">
        <v>99</v>
      </c>
      <c r="AB99" s="14" t="s">
        <v>99</v>
      </c>
      <c r="AC99" s="14" t="s">
        <v>99</v>
      </c>
      <c r="AD99" s="14" t="s">
        <v>99</v>
      </c>
      <c r="AE99" s="14" t="s">
        <v>99</v>
      </c>
      <c r="AF99" s="14" t="s">
        <v>99</v>
      </c>
      <c r="AG99" s="14">
        <v>39.0</v>
      </c>
      <c r="AH99" s="14">
        <v>35.0</v>
      </c>
      <c r="AI99" s="14">
        <v>40.0</v>
      </c>
      <c r="AJ99" s="14">
        <v>0.0</v>
      </c>
      <c r="AK99" s="14">
        <v>17.0</v>
      </c>
      <c r="AL99" s="14" t="s">
        <v>1033</v>
      </c>
      <c r="AM99" s="14" t="s">
        <v>442</v>
      </c>
      <c r="AN99" s="14" t="s">
        <v>1034</v>
      </c>
      <c r="AO99" s="14" t="s">
        <v>10024</v>
      </c>
      <c r="AP99" s="14" t="s">
        <v>99</v>
      </c>
      <c r="AQ99" s="14" t="s">
        <v>99</v>
      </c>
      <c r="AR99" s="14" t="s">
        <v>10025</v>
      </c>
      <c r="AS99" s="14" t="s">
        <v>10026</v>
      </c>
      <c r="AT99" s="14" t="s">
        <v>640</v>
      </c>
      <c r="AU99" s="14">
        <v>1999.0</v>
      </c>
      <c r="AV99" s="14">
        <v>50.0</v>
      </c>
      <c r="AW99" s="14" t="s">
        <v>5620</v>
      </c>
      <c r="AX99" s="14" t="s">
        <v>99</v>
      </c>
      <c r="AY99" s="14" t="s">
        <v>99</v>
      </c>
      <c r="AZ99" s="14" t="s">
        <v>99</v>
      </c>
      <c r="BA99" s="14" t="s">
        <v>99</v>
      </c>
      <c r="BB99" s="14">
        <v>283.0</v>
      </c>
      <c r="BC99" s="14">
        <v>293.0</v>
      </c>
      <c r="BD99" s="14" t="s">
        <v>99</v>
      </c>
      <c r="BE99" s="14" t="s">
        <v>10027</v>
      </c>
      <c r="BF99" s="15" t="str">
        <f>HYPERLINK("http://dx.doi.org/10.1016/S0167-1987(99)00017-3","http://dx.doi.org/10.1016/S0167-1987(99)00017-3")</f>
        <v>http://dx.doi.org/10.1016/S0167-1987(99)00017-3</v>
      </c>
      <c r="BG99" s="14" t="s">
        <v>99</v>
      </c>
      <c r="BH99" s="14" t="s">
        <v>99</v>
      </c>
      <c r="BI99" s="14">
        <v>11.0</v>
      </c>
      <c r="BJ99" s="14" t="s">
        <v>6815</v>
      </c>
      <c r="BK99" s="14" t="s">
        <v>122</v>
      </c>
      <c r="BL99" s="14" t="s">
        <v>2969</v>
      </c>
      <c r="BM99" s="14" t="s">
        <v>10028</v>
      </c>
      <c r="BN99" s="14" t="s">
        <v>99</v>
      </c>
      <c r="BO99" s="14" t="s">
        <v>99</v>
      </c>
      <c r="BP99" s="14" t="s">
        <v>99</v>
      </c>
      <c r="BQ99" s="14" t="s">
        <v>99</v>
      </c>
      <c r="BR99" s="14" t="s">
        <v>124</v>
      </c>
      <c r="BS99" s="14" t="s">
        <v>10029</v>
      </c>
      <c r="BT99" s="14" t="str">
        <f>HYPERLINK("https%3A%2F%2Fwww.webofscience.com%2Fwos%2Fwoscc%2Ffull-record%2FWOS:000080892900009","View Full Record in Web of Science")</f>
        <v>View Full Record in Web of Science</v>
      </c>
    </row>
    <row r="100" ht="12.75" customHeight="1">
      <c r="A100" s="14" t="s">
        <v>97</v>
      </c>
      <c r="B100" s="14" t="s">
        <v>10082</v>
      </c>
      <c r="C100" s="14" t="s">
        <v>99</v>
      </c>
      <c r="D100" s="14" t="s">
        <v>99</v>
      </c>
      <c r="E100" s="14" t="s">
        <v>99</v>
      </c>
      <c r="F100" s="14" t="s">
        <v>10082</v>
      </c>
      <c r="G100" s="14" t="s">
        <v>99</v>
      </c>
      <c r="H100" s="14" t="s">
        <v>99</v>
      </c>
      <c r="I100" s="14" t="s">
        <v>10083</v>
      </c>
      <c r="J100" s="14" t="s">
        <v>430</v>
      </c>
      <c r="K100" s="14" t="s">
        <v>99</v>
      </c>
      <c r="L100" s="14" t="s">
        <v>99</v>
      </c>
      <c r="M100" s="14" t="s">
        <v>103</v>
      </c>
      <c r="N100" s="14" t="s">
        <v>104</v>
      </c>
      <c r="O100" s="14" t="s">
        <v>99</v>
      </c>
      <c r="P100" s="14" t="s">
        <v>99</v>
      </c>
      <c r="Q100" s="14" t="s">
        <v>99</v>
      </c>
      <c r="R100" s="14" t="s">
        <v>99</v>
      </c>
      <c r="S100" s="14" t="s">
        <v>99</v>
      </c>
      <c r="T100" s="14" t="s">
        <v>10084</v>
      </c>
      <c r="U100" s="14" t="s">
        <v>10085</v>
      </c>
      <c r="V100" s="14" t="s">
        <v>10086</v>
      </c>
      <c r="W100" s="14" t="s">
        <v>10087</v>
      </c>
      <c r="X100" s="14" t="s">
        <v>5828</v>
      </c>
      <c r="Y100" s="14" t="s">
        <v>10088</v>
      </c>
      <c r="Z100" s="14" t="s">
        <v>99</v>
      </c>
      <c r="AA100" s="14" t="s">
        <v>99</v>
      </c>
      <c r="AB100" s="14" t="s">
        <v>99</v>
      </c>
      <c r="AC100" s="14" t="s">
        <v>99</v>
      </c>
      <c r="AD100" s="14" t="s">
        <v>99</v>
      </c>
      <c r="AE100" s="14" t="s">
        <v>99</v>
      </c>
      <c r="AF100" s="14" t="s">
        <v>99</v>
      </c>
      <c r="AG100" s="14">
        <v>46.0</v>
      </c>
      <c r="AH100" s="14">
        <v>99.0</v>
      </c>
      <c r="AI100" s="14">
        <v>126.0</v>
      </c>
      <c r="AJ100" s="14">
        <v>3.0</v>
      </c>
      <c r="AK100" s="14">
        <v>33.0</v>
      </c>
      <c r="AL100" s="14" t="s">
        <v>1033</v>
      </c>
      <c r="AM100" s="14" t="s">
        <v>442</v>
      </c>
      <c r="AN100" s="14" t="s">
        <v>1034</v>
      </c>
      <c r="AO100" s="14" t="s">
        <v>444</v>
      </c>
      <c r="AP100" s="14" t="s">
        <v>99</v>
      </c>
      <c r="AQ100" s="14" t="s">
        <v>99</v>
      </c>
      <c r="AR100" s="14" t="s">
        <v>446</v>
      </c>
      <c r="AS100" s="14" t="s">
        <v>447</v>
      </c>
      <c r="AT100" s="14" t="s">
        <v>10089</v>
      </c>
      <c r="AU100" s="14">
        <v>1998.0</v>
      </c>
      <c r="AV100" s="14">
        <v>109.0</v>
      </c>
      <c r="AW100" s="14" t="s">
        <v>8123</v>
      </c>
      <c r="AX100" s="14" t="s">
        <v>99</v>
      </c>
      <c r="AY100" s="14" t="s">
        <v>99</v>
      </c>
      <c r="AZ100" s="14" t="s">
        <v>99</v>
      </c>
      <c r="BA100" s="14" t="s">
        <v>99</v>
      </c>
      <c r="BB100" s="14">
        <v>57.0</v>
      </c>
      <c r="BC100" s="14">
        <v>74.0</v>
      </c>
      <c r="BD100" s="14" t="s">
        <v>99</v>
      </c>
      <c r="BE100" s="14" t="s">
        <v>10090</v>
      </c>
      <c r="BF100" s="15" t="str">
        <f>HYPERLINK("http://dx.doi.org/10.1016/S0378-1127(98)00256-4","http://dx.doi.org/10.1016/S0378-1127(98)00256-4")</f>
        <v>http://dx.doi.org/10.1016/S0378-1127(98)00256-4</v>
      </c>
      <c r="BG100" s="14" t="s">
        <v>99</v>
      </c>
      <c r="BH100" s="14" t="s">
        <v>99</v>
      </c>
      <c r="BI100" s="14">
        <v>18.0</v>
      </c>
      <c r="BJ100" s="14" t="s">
        <v>281</v>
      </c>
      <c r="BK100" s="14" t="s">
        <v>122</v>
      </c>
      <c r="BL100" s="14" t="s">
        <v>281</v>
      </c>
      <c r="BM100" s="14" t="s">
        <v>10091</v>
      </c>
      <c r="BN100" s="14" t="s">
        <v>99</v>
      </c>
      <c r="BO100" s="14" t="s">
        <v>99</v>
      </c>
      <c r="BP100" s="14" t="s">
        <v>99</v>
      </c>
      <c r="BQ100" s="14" t="s">
        <v>99</v>
      </c>
      <c r="BR100" s="14" t="s">
        <v>124</v>
      </c>
      <c r="BS100" s="14" t="s">
        <v>10092</v>
      </c>
      <c r="BT100" s="14" t="str">
        <f>HYPERLINK("https%3A%2F%2Fwww.webofscience.com%2Fwos%2Fwoscc%2Ffull-record%2FWOS:000076592300006","View Full Record in Web of Science")</f>
        <v>View Full Record in Web of Science</v>
      </c>
    </row>
    <row r="101" ht="12.75" customHeight="1">
      <c r="A101" s="14" t="s">
        <v>97</v>
      </c>
      <c r="B101" s="14" t="s">
        <v>10205</v>
      </c>
      <c r="C101" s="14" t="s">
        <v>99</v>
      </c>
      <c r="D101" s="14" t="s">
        <v>99</v>
      </c>
      <c r="E101" s="14" t="s">
        <v>99</v>
      </c>
      <c r="F101" s="14" t="s">
        <v>10205</v>
      </c>
      <c r="G101" s="14" t="s">
        <v>99</v>
      </c>
      <c r="H101" s="14" t="s">
        <v>99</v>
      </c>
      <c r="I101" s="14" t="s">
        <v>10206</v>
      </c>
      <c r="J101" s="14" t="s">
        <v>430</v>
      </c>
      <c r="K101" s="14" t="s">
        <v>99</v>
      </c>
      <c r="L101" s="14" t="s">
        <v>99</v>
      </c>
      <c r="M101" s="14" t="s">
        <v>103</v>
      </c>
      <c r="N101" s="14" t="s">
        <v>104</v>
      </c>
      <c r="O101" s="14" t="s">
        <v>99</v>
      </c>
      <c r="P101" s="14" t="s">
        <v>99</v>
      </c>
      <c r="Q101" s="14" t="s">
        <v>99</v>
      </c>
      <c r="R101" s="14" t="s">
        <v>99</v>
      </c>
      <c r="S101" s="14" t="s">
        <v>99</v>
      </c>
      <c r="T101" s="14" t="s">
        <v>10207</v>
      </c>
      <c r="U101" s="14" t="s">
        <v>10208</v>
      </c>
      <c r="V101" s="14" t="s">
        <v>10209</v>
      </c>
      <c r="W101" s="14" t="s">
        <v>10210</v>
      </c>
      <c r="X101" s="14" t="s">
        <v>10211</v>
      </c>
      <c r="Y101" s="14" t="s">
        <v>99</v>
      </c>
      <c r="Z101" s="14" t="s">
        <v>99</v>
      </c>
      <c r="AA101" s="14" t="s">
        <v>99</v>
      </c>
      <c r="AB101" s="14" t="s">
        <v>99</v>
      </c>
      <c r="AC101" s="14" t="s">
        <v>99</v>
      </c>
      <c r="AD101" s="14" t="s">
        <v>99</v>
      </c>
      <c r="AE101" s="14" t="s">
        <v>99</v>
      </c>
      <c r="AF101" s="14" t="s">
        <v>99</v>
      </c>
      <c r="AG101" s="14">
        <v>57.0</v>
      </c>
      <c r="AH101" s="14">
        <v>42.0</v>
      </c>
      <c r="AI101" s="14">
        <v>53.0</v>
      </c>
      <c r="AJ101" s="14">
        <v>0.0</v>
      </c>
      <c r="AK101" s="14">
        <v>18.0</v>
      </c>
      <c r="AL101" s="14" t="s">
        <v>1033</v>
      </c>
      <c r="AM101" s="14" t="s">
        <v>442</v>
      </c>
      <c r="AN101" s="14" t="s">
        <v>1034</v>
      </c>
      <c r="AO101" s="14" t="s">
        <v>444</v>
      </c>
      <c r="AP101" s="14" t="s">
        <v>99</v>
      </c>
      <c r="AQ101" s="14" t="s">
        <v>99</v>
      </c>
      <c r="AR101" s="14" t="s">
        <v>446</v>
      </c>
      <c r="AS101" s="14" t="s">
        <v>447</v>
      </c>
      <c r="AT101" s="14" t="s">
        <v>448</v>
      </c>
      <c r="AU101" s="14">
        <v>1997.0</v>
      </c>
      <c r="AV101" s="14">
        <v>96.0</v>
      </c>
      <c r="AW101" s="14" t="s">
        <v>1161</v>
      </c>
      <c r="AX101" s="14" t="s">
        <v>99</v>
      </c>
      <c r="AY101" s="14" t="s">
        <v>99</v>
      </c>
      <c r="AZ101" s="14" t="s">
        <v>99</v>
      </c>
      <c r="BA101" s="14" t="s">
        <v>99</v>
      </c>
      <c r="BB101" s="14">
        <v>27.0</v>
      </c>
      <c r="BC101" s="14">
        <v>36.0</v>
      </c>
      <c r="BD101" s="14" t="s">
        <v>99</v>
      </c>
      <c r="BE101" s="14" t="s">
        <v>10212</v>
      </c>
      <c r="BF101" s="15" t="str">
        <f>HYPERLINK("http://dx.doi.org/10.1016/S0378-1127(97)00052-2","http://dx.doi.org/10.1016/S0378-1127(97)00052-2")</f>
        <v>http://dx.doi.org/10.1016/S0378-1127(97)00052-2</v>
      </c>
      <c r="BG101" s="14" t="s">
        <v>99</v>
      </c>
      <c r="BH101" s="14" t="s">
        <v>99</v>
      </c>
      <c r="BI101" s="14">
        <v>10.0</v>
      </c>
      <c r="BJ101" s="14" t="s">
        <v>281</v>
      </c>
      <c r="BK101" s="14" t="s">
        <v>122</v>
      </c>
      <c r="BL101" s="14" t="s">
        <v>281</v>
      </c>
      <c r="BM101" s="14" t="s">
        <v>10213</v>
      </c>
      <c r="BN101" s="14" t="s">
        <v>99</v>
      </c>
      <c r="BO101" s="14" t="s">
        <v>99</v>
      </c>
      <c r="BP101" s="14" t="s">
        <v>99</v>
      </c>
      <c r="BQ101" s="14" t="s">
        <v>99</v>
      </c>
      <c r="BR101" s="14" t="s">
        <v>124</v>
      </c>
      <c r="BS101" s="14" t="s">
        <v>10214</v>
      </c>
      <c r="BT101" s="14" t="str">
        <f>HYPERLINK("https%3A%2F%2Fwww.webofscience.com%2Fwos%2Fwoscc%2Ffull-record%2FWOS:A1997XV22000003","View Full Record in Web of Science")</f>
        <v>View Full Record in Web of Science</v>
      </c>
    </row>
    <row r="102" ht="12.75" customHeight="1">
      <c r="A102" s="14" t="s">
        <v>97</v>
      </c>
      <c r="B102" s="14" t="s">
        <v>10215</v>
      </c>
      <c r="C102" s="14" t="s">
        <v>99</v>
      </c>
      <c r="D102" s="14" t="s">
        <v>99</v>
      </c>
      <c r="E102" s="14" t="s">
        <v>99</v>
      </c>
      <c r="F102" s="14" t="s">
        <v>10215</v>
      </c>
      <c r="G102" s="14" t="s">
        <v>99</v>
      </c>
      <c r="H102" s="14" t="s">
        <v>99</v>
      </c>
      <c r="I102" s="14" t="s">
        <v>10216</v>
      </c>
      <c r="J102" s="14" t="s">
        <v>10217</v>
      </c>
      <c r="K102" s="14" t="s">
        <v>99</v>
      </c>
      <c r="L102" s="14" t="s">
        <v>99</v>
      </c>
      <c r="M102" s="14" t="s">
        <v>103</v>
      </c>
      <c r="N102" s="14" t="s">
        <v>104</v>
      </c>
      <c r="O102" s="14" t="s">
        <v>99</v>
      </c>
      <c r="P102" s="14" t="s">
        <v>99</v>
      </c>
      <c r="Q102" s="14" t="s">
        <v>99</v>
      </c>
      <c r="R102" s="14" t="s">
        <v>99</v>
      </c>
      <c r="S102" s="14" t="s">
        <v>99</v>
      </c>
      <c r="T102" s="14" t="s">
        <v>10218</v>
      </c>
      <c r="U102" s="14" t="s">
        <v>10219</v>
      </c>
      <c r="V102" s="14" t="s">
        <v>10220</v>
      </c>
      <c r="W102" s="14" t="s">
        <v>10221</v>
      </c>
      <c r="X102" s="14" t="s">
        <v>10222</v>
      </c>
      <c r="Y102" s="14" t="s">
        <v>10223</v>
      </c>
      <c r="Z102" s="14" t="s">
        <v>99</v>
      </c>
      <c r="AA102" s="14" t="s">
        <v>99</v>
      </c>
      <c r="AB102" s="14" t="s">
        <v>99</v>
      </c>
      <c r="AC102" s="14" t="s">
        <v>99</v>
      </c>
      <c r="AD102" s="14" t="s">
        <v>99</v>
      </c>
      <c r="AE102" s="14" t="s">
        <v>99</v>
      </c>
      <c r="AF102" s="14" t="s">
        <v>99</v>
      </c>
      <c r="AG102" s="14">
        <v>44.0</v>
      </c>
      <c r="AH102" s="14">
        <v>182.0</v>
      </c>
      <c r="AI102" s="14">
        <v>221.0</v>
      </c>
      <c r="AJ102" s="14">
        <v>0.0</v>
      </c>
      <c r="AK102" s="14">
        <v>67.0</v>
      </c>
      <c r="AL102" s="14" t="s">
        <v>341</v>
      </c>
      <c r="AM102" s="14" t="s">
        <v>342</v>
      </c>
      <c r="AN102" s="14" t="s">
        <v>343</v>
      </c>
      <c r="AO102" s="14" t="s">
        <v>10224</v>
      </c>
      <c r="AP102" s="14" t="s">
        <v>10225</v>
      </c>
      <c r="AQ102" s="14" t="s">
        <v>99</v>
      </c>
      <c r="AR102" s="14" t="s">
        <v>10226</v>
      </c>
      <c r="AS102" s="14" t="s">
        <v>10227</v>
      </c>
      <c r="AT102" s="14" t="s">
        <v>935</v>
      </c>
      <c r="AU102" s="14">
        <v>1997.0</v>
      </c>
      <c r="AV102" s="14">
        <v>61.0</v>
      </c>
      <c r="AW102" s="14">
        <v>1.0</v>
      </c>
      <c r="AX102" s="14" t="s">
        <v>99</v>
      </c>
      <c r="AY102" s="14" t="s">
        <v>99</v>
      </c>
      <c r="AZ102" s="14" t="s">
        <v>99</v>
      </c>
      <c r="BA102" s="14" t="s">
        <v>99</v>
      </c>
      <c r="BB102" s="14">
        <v>159.0</v>
      </c>
      <c r="BC102" s="14">
        <v>171.0</v>
      </c>
      <c r="BD102" s="14" t="s">
        <v>99</v>
      </c>
      <c r="BE102" s="14" t="s">
        <v>10228</v>
      </c>
      <c r="BF102" s="15" t="str">
        <f>HYPERLINK("http://dx.doi.org/10.2307/3802425","http://dx.doi.org/10.2307/3802425")</f>
        <v>http://dx.doi.org/10.2307/3802425</v>
      </c>
      <c r="BG102" s="14" t="s">
        <v>99</v>
      </c>
      <c r="BH102" s="14" t="s">
        <v>99</v>
      </c>
      <c r="BI102" s="14">
        <v>13.0</v>
      </c>
      <c r="BJ102" s="14" t="s">
        <v>189</v>
      </c>
      <c r="BK102" s="14" t="s">
        <v>122</v>
      </c>
      <c r="BL102" s="14" t="s">
        <v>190</v>
      </c>
      <c r="BM102" s="14" t="s">
        <v>10229</v>
      </c>
      <c r="BN102" s="14" t="s">
        <v>99</v>
      </c>
      <c r="BO102" s="14" t="s">
        <v>99</v>
      </c>
      <c r="BP102" s="14" t="s">
        <v>99</v>
      </c>
      <c r="BQ102" s="14" t="s">
        <v>99</v>
      </c>
      <c r="BR102" s="14" t="s">
        <v>124</v>
      </c>
      <c r="BS102" s="14" t="s">
        <v>10230</v>
      </c>
      <c r="BT102" s="14" t="str">
        <f>HYPERLINK("https%3A%2F%2Fwww.webofscience.com%2Fwos%2Fwoscc%2Ffull-record%2FWOS:A1997WL78800017","View Full Record in Web of Science")</f>
        <v>View Full Record in Web of Science</v>
      </c>
    </row>
    <row r="103" ht="12.75" customHeight="1">
      <c r="A103" s="14" t="s">
        <v>97</v>
      </c>
      <c r="B103" s="14" t="s">
        <v>10325</v>
      </c>
      <c r="C103" s="14" t="s">
        <v>99</v>
      </c>
      <c r="D103" s="14" t="s">
        <v>99</v>
      </c>
      <c r="E103" s="14" t="s">
        <v>99</v>
      </c>
      <c r="F103" s="14" t="s">
        <v>10325</v>
      </c>
      <c r="G103" s="14" t="s">
        <v>99</v>
      </c>
      <c r="H103" s="14" t="s">
        <v>99</v>
      </c>
      <c r="I103" s="14" t="s">
        <v>10326</v>
      </c>
      <c r="J103" s="14" t="s">
        <v>10327</v>
      </c>
      <c r="K103" s="14" t="s">
        <v>99</v>
      </c>
      <c r="L103" s="14" t="s">
        <v>99</v>
      </c>
      <c r="M103" s="14" t="s">
        <v>103</v>
      </c>
      <c r="N103" s="14" t="s">
        <v>104</v>
      </c>
      <c r="O103" s="14" t="s">
        <v>99</v>
      </c>
      <c r="P103" s="14" t="s">
        <v>99</v>
      </c>
      <c r="Q103" s="14" t="s">
        <v>99</v>
      </c>
      <c r="R103" s="14" t="s">
        <v>99</v>
      </c>
      <c r="S103" s="14" t="s">
        <v>99</v>
      </c>
      <c r="T103" s="14" t="s">
        <v>10328</v>
      </c>
      <c r="U103" s="14" t="s">
        <v>10329</v>
      </c>
      <c r="V103" s="14" t="s">
        <v>10330</v>
      </c>
      <c r="W103" s="14" t="s">
        <v>99</v>
      </c>
      <c r="X103" s="14" t="s">
        <v>99</v>
      </c>
      <c r="Y103" s="14" t="s">
        <v>10331</v>
      </c>
      <c r="Z103" s="14" t="s">
        <v>99</v>
      </c>
      <c r="AA103" s="14" t="s">
        <v>99</v>
      </c>
      <c r="AB103" s="14" t="s">
        <v>99</v>
      </c>
      <c r="AC103" s="14" t="s">
        <v>99</v>
      </c>
      <c r="AD103" s="14" t="s">
        <v>99</v>
      </c>
      <c r="AE103" s="14" t="s">
        <v>99</v>
      </c>
      <c r="AF103" s="14" t="s">
        <v>99</v>
      </c>
      <c r="AG103" s="14">
        <v>23.0</v>
      </c>
      <c r="AH103" s="14">
        <v>17.0</v>
      </c>
      <c r="AI103" s="14">
        <v>18.0</v>
      </c>
      <c r="AJ103" s="14">
        <v>1.0</v>
      </c>
      <c r="AK103" s="14">
        <v>17.0</v>
      </c>
      <c r="AL103" s="14" t="s">
        <v>10332</v>
      </c>
      <c r="AM103" s="14" t="s">
        <v>10333</v>
      </c>
      <c r="AN103" s="14" t="s">
        <v>10334</v>
      </c>
      <c r="AO103" s="14" t="s">
        <v>10335</v>
      </c>
      <c r="AP103" s="14" t="s">
        <v>99</v>
      </c>
      <c r="AQ103" s="14" t="s">
        <v>99</v>
      </c>
      <c r="AR103" s="14" t="s">
        <v>10336</v>
      </c>
      <c r="AS103" s="14" t="s">
        <v>10337</v>
      </c>
      <c r="AT103" s="14" t="s">
        <v>99</v>
      </c>
      <c r="AU103" s="14">
        <v>1996.0</v>
      </c>
      <c r="AV103" s="14">
        <v>143.0</v>
      </c>
      <c r="AW103" s="14" t="s">
        <v>10338</v>
      </c>
      <c r="AX103" s="14" t="s">
        <v>99</v>
      </c>
      <c r="AY103" s="14" t="s">
        <v>99</v>
      </c>
      <c r="AZ103" s="14" t="s">
        <v>99</v>
      </c>
      <c r="BA103" s="14" t="s">
        <v>99</v>
      </c>
      <c r="BB103" s="14">
        <v>451.0</v>
      </c>
      <c r="BC103" s="14">
        <v>461.0</v>
      </c>
      <c r="BD103" s="14" t="s">
        <v>99</v>
      </c>
      <c r="BE103" s="14" t="s">
        <v>10339</v>
      </c>
      <c r="BF103" s="15" t="str">
        <f>HYPERLINK("http://dx.doi.org/10.1080/12538078.1996.10515741","http://dx.doi.org/10.1080/12538078.1996.10515741")</f>
        <v>http://dx.doi.org/10.1080/12538078.1996.10515741</v>
      </c>
      <c r="BG103" s="14" t="s">
        <v>99</v>
      </c>
      <c r="BH103" s="14" t="s">
        <v>99</v>
      </c>
      <c r="BI103" s="14">
        <v>11.0</v>
      </c>
      <c r="BJ103" s="14" t="s">
        <v>214</v>
      </c>
      <c r="BK103" s="14" t="s">
        <v>122</v>
      </c>
      <c r="BL103" s="14" t="s">
        <v>214</v>
      </c>
      <c r="BM103" s="14" t="s">
        <v>10340</v>
      </c>
      <c r="BN103" s="14" t="s">
        <v>99</v>
      </c>
      <c r="BO103" s="14" t="s">
        <v>238</v>
      </c>
      <c r="BP103" s="14" t="s">
        <v>99</v>
      </c>
      <c r="BQ103" s="14" t="s">
        <v>99</v>
      </c>
      <c r="BR103" s="14" t="s">
        <v>124</v>
      </c>
      <c r="BS103" s="14" t="s">
        <v>10341</v>
      </c>
      <c r="BT103" s="14" t="str">
        <f>HYPERLINK("https%3A%2F%2Fwww.webofscience.com%2Fwos%2Fwoscc%2Ffull-record%2FWOS:A1996XZ61700023","View Full Record in Web of Science")</f>
        <v>View Full Record in Web of Science</v>
      </c>
    </row>
    <row r="104" ht="12.75" customHeight="1">
      <c r="A104" s="14" t="s">
        <v>97</v>
      </c>
      <c r="B104" s="14" t="s">
        <v>10342</v>
      </c>
      <c r="C104" s="14" t="s">
        <v>99</v>
      </c>
      <c r="D104" s="14" t="s">
        <v>99</v>
      </c>
      <c r="E104" s="14" t="s">
        <v>99</v>
      </c>
      <c r="F104" s="14" t="s">
        <v>10342</v>
      </c>
      <c r="G104" s="14" t="s">
        <v>99</v>
      </c>
      <c r="H104" s="14" t="s">
        <v>99</v>
      </c>
      <c r="I104" s="14" t="s">
        <v>10343</v>
      </c>
      <c r="J104" s="14" t="s">
        <v>404</v>
      </c>
      <c r="K104" s="14" t="s">
        <v>99</v>
      </c>
      <c r="L104" s="14" t="s">
        <v>99</v>
      </c>
      <c r="M104" s="14" t="s">
        <v>103</v>
      </c>
      <c r="N104" s="14" t="s">
        <v>104</v>
      </c>
      <c r="O104" s="14" t="s">
        <v>99</v>
      </c>
      <c r="P104" s="14" t="s">
        <v>99</v>
      </c>
      <c r="Q104" s="14" t="s">
        <v>99</v>
      </c>
      <c r="R104" s="14" t="s">
        <v>99</v>
      </c>
      <c r="S104" s="14" t="s">
        <v>99</v>
      </c>
      <c r="T104" s="14" t="s">
        <v>10344</v>
      </c>
      <c r="U104" s="14" t="s">
        <v>10345</v>
      </c>
      <c r="V104" s="14" t="s">
        <v>10346</v>
      </c>
      <c r="W104" s="14" t="s">
        <v>10347</v>
      </c>
      <c r="X104" s="14" t="s">
        <v>10348</v>
      </c>
      <c r="Y104" s="14" t="s">
        <v>99</v>
      </c>
      <c r="Z104" s="14" t="s">
        <v>99</v>
      </c>
      <c r="AA104" s="14" t="s">
        <v>10349</v>
      </c>
      <c r="AB104" s="14" t="s">
        <v>10350</v>
      </c>
      <c r="AC104" s="14" t="s">
        <v>99</v>
      </c>
      <c r="AD104" s="14" t="s">
        <v>99</v>
      </c>
      <c r="AE104" s="14" t="s">
        <v>99</v>
      </c>
      <c r="AF104" s="14" t="s">
        <v>99</v>
      </c>
      <c r="AG104" s="14">
        <v>77.0</v>
      </c>
      <c r="AH104" s="14">
        <v>322.0</v>
      </c>
      <c r="AI104" s="14">
        <v>409.0</v>
      </c>
      <c r="AJ104" s="14">
        <v>1.0</v>
      </c>
      <c r="AK104" s="14">
        <v>198.0</v>
      </c>
      <c r="AL104" s="14" t="s">
        <v>7091</v>
      </c>
      <c r="AM104" s="14" t="s">
        <v>10351</v>
      </c>
      <c r="AN104" s="14" t="s">
        <v>10352</v>
      </c>
      <c r="AO104" s="14" t="s">
        <v>417</v>
      </c>
      <c r="AP104" s="14" t="s">
        <v>99</v>
      </c>
      <c r="AQ104" s="14" t="s">
        <v>99</v>
      </c>
      <c r="AR104" s="14" t="s">
        <v>419</v>
      </c>
      <c r="AS104" s="14" t="s">
        <v>420</v>
      </c>
      <c r="AT104" s="14" t="s">
        <v>348</v>
      </c>
      <c r="AU104" s="14">
        <v>1995.0</v>
      </c>
      <c r="AV104" s="14">
        <v>5.0</v>
      </c>
      <c r="AW104" s="14">
        <v>4.0</v>
      </c>
      <c r="AX104" s="14" t="s">
        <v>99</v>
      </c>
      <c r="AY104" s="14" t="s">
        <v>99</v>
      </c>
      <c r="AZ104" s="14" t="s">
        <v>99</v>
      </c>
      <c r="BA104" s="14" t="s">
        <v>99</v>
      </c>
      <c r="BB104" s="14">
        <v>1098.0</v>
      </c>
      <c r="BC104" s="14">
        <v>1112.0</v>
      </c>
      <c r="BD104" s="14" t="s">
        <v>99</v>
      </c>
      <c r="BE104" s="14" t="s">
        <v>10353</v>
      </c>
      <c r="BF104" s="15" t="str">
        <f>HYPERLINK("http://dx.doi.org/10.2307/2269357","http://dx.doi.org/10.2307/2269357")</f>
        <v>http://dx.doi.org/10.2307/2269357</v>
      </c>
      <c r="BG104" s="14" t="s">
        <v>99</v>
      </c>
      <c r="BH104" s="14" t="s">
        <v>99</v>
      </c>
      <c r="BI104" s="14">
        <v>15.0</v>
      </c>
      <c r="BJ104" s="14" t="s">
        <v>423</v>
      </c>
      <c r="BK104" s="14" t="s">
        <v>122</v>
      </c>
      <c r="BL104" s="14" t="s">
        <v>260</v>
      </c>
      <c r="BM104" s="14" t="s">
        <v>10354</v>
      </c>
      <c r="BN104" s="14" t="s">
        <v>99</v>
      </c>
      <c r="BO104" s="14" t="s">
        <v>99</v>
      </c>
      <c r="BP104" s="14" t="s">
        <v>99</v>
      </c>
      <c r="BQ104" s="14" t="s">
        <v>99</v>
      </c>
      <c r="BR104" s="14" t="s">
        <v>124</v>
      </c>
      <c r="BS104" s="14" t="s">
        <v>10355</v>
      </c>
      <c r="BT104" s="14" t="str">
        <f>HYPERLINK("https%3A%2F%2Fwww.webofscience.com%2Fwos%2Fwoscc%2Ffull-record%2FWOS:A1995TF37500022","View Full Record in Web of Science")</f>
        <v>View Full Record in Web of Science</v>
      </c>
    </row>
    <row r="105" ht="12.75" customHeight="1">
      <c r="A105" s="14" t="s">
        <v>97</v>
      </c>
      <c r="B105" s="14" t="s">
        <v>10369</v>
      </c>
      <c r="C105" s="14" t="s">
        <v>99</v>
      </c>
      <c r="D105" s="14" t="s">
        <v>99</v>
      </c>
      <c r="E105" s="14" t="s">
        <v>99</v>
      </c>
      <c r="F105" s="14" t="s">
        <v>10369</v>
      </c>
      <c r="G105" s="14" t="s">
        <v>99</v>
      </c>
      <c r="H105" s="14" t="s">
        <v>99</v>
      </c>
      <c r="I105" s="14" t="s">
        <v>10370</v>
      </c>
      <c r="J105" s="14" t="s">
        <v>10371</v>
      </c>
      <c r="K105" s="14" t="s">
        <v>99</v>
      </c>
      <c r="L105" s="14" t="s">
        <v>99</v>
      </c>
      <c r="M105" s="14" t="s">
        <v>103</v>
      </c>
      <c r="N105" s="14" t="s">
        <v>104</v>
      </c>
      <c r="O105" s="14" t="s">
        <v>99</v>
      </c>
      <c r="P105" s="14" t="s">
        <v>99</v>
      </c>
      <c r="Q105" s="14" t="s">
        <v>99</v>
      </c>
      <c r="R105" s="14" t="s">
        <v>99</v>
      </c>
      <c r="S105" s="14" t="s">
        <v>99</v>
      </c>
      <c r="T105" s="14" t="s">
        <v>10372</v>
      </c>
      <c r="U105" s="14" t="s">
        <v>10373</v>
      </c>
      <c r="V105" s="14" t="s">
        <v>10374</v>
      </c>
      <c r="W105" s="14" t="s">
        <v>10375</v>
      </c>
      <c r="X105" s="14" t="s">
        <v>8149</v>
      </c>
      <c r="Y105" s="14" t="s">
        <v>10376</v>
      </c>
      <c r="Z105" s="14" t="s">
        <v>99</v>
      </c>
      <c r="AA105" s="14" t="s">
        <v>99</v>
      </c>
      <c r="AB105" s="14" t="s">
        <v>99</v>
      </c>
      <c r="AC105" s="14" t="s">
        <v>99</v>
      </c>
      <c r="AD105" s="14" t="s">
        <v>99</v>
      </c>
      <c r="AE105" s="14" t="s">
        <v>99</v>
      </c>
      <c r="AF105" s="14" t="s">
        <v>99</v>
      </c>
      <c r="AG105" s="14">
        <v>33.0</v>
      </c>
      <c r="AH105" s="14">
        <v>22.0</v>
      </c>
      <c r="AI105" s="14">
        <v>25.0</v>
      </c>
      <c r="AJ105" s="14">
        <v>1.0</v>
      </c>
      <c r="AK105" s="14">
        <v>7.0</v>
      </c>
      <c r="AL105" s="14" t="s">
        <v>10377</v>
      </c>
      <c r="AM105" s="14" t="s">
        <v>10378</v>
      </c>
      <c r="AN105" s="14" t="s">
        <v>10379</v>
      </c>
      <c r="AO105" s="14" t="s">
        <v>10380</v>
      </c>
      <c r="AP105" s="14" t="s">
        <v>99</v>
      </c>
      <c r="AQ105" s="14" t="s">
        <v>99</v>
      </c>
      <c r="AR105" s="14" t="s">
        <v>10381</v>
      </c>
      <c r="AS105" s="14" t="s">
        <v>10382</v>
      </c>
      <c r="AT105" s="14" t="s">
        <v>616</v>
      </c>
      <c r="AU105" s="14">
        <v>1995.0</v>
      </c>
      <c r="AV105" s="14">
        <v>78.0</v>
      </c>
      <c r="AW105" s="14">
        <v>2.0</v>
      </c>
      <c r="AX105" s="14" t="s">
        <v>99</v>
      </c>
      <c r="AY105" s="14" t="s">
        <v>99</v>
      </c>
      <c r="AZ105" s="14" t="s">
        <v>99</v>
      </c>
      <c r="BA105" s="14" t="s">
        <v>99</v>
      </c>
      <c r="BB105" s="14">
        <v>271.0</v>
      </c>
      <c r="BC105" s="14">
        <v>285.0</v>
      </c>
      <c r="BD105" s="14" t="s">
        <v>99</v>
      </c>
      <c r="BE105" s="14" t="s">
        <v>10383</v>
      </c>
      <c r="BF105" s="15" t="str">
        <f>HYPERLINK("http://dx.doi.org/10.2307/3495900","http://dx.doi.org/10.2307/3495900")</f>
        <v>http://dx.doi.org/10.2307/3495900</v>
      </c>
      <c r="BG105" s="14" t="s">
        <v>99</v>
      </c>
      <c r="BH105" s="14" t="s">
        <v>99</v>
      </c>
      <c r="BI105" s="14">
        <v>15.0</v>
      </c>
      <c r="BJ105" s="14" t="s">
        <v>10384</v>
      </c>
      <c r="BK105" s="14" t="s">
        <v>122</v>
      </c>
      <c r="BL105" s="14" t="s">
        <v>10384</v>
      </c>
      <c r="BM105" s="14" t="s">
        <v>10385</v>
      </c>
      <c r="BN105" s="14" t="s">
        <v>99</v>
      </c>
      <c r="BO105" s="14" t="s">
        <v>576</v>
      </c>
      <c r="BP105" s="14" t="s">
        <v>99</v>
      </c>
      <c r="BQ105" s="14" t="s">
        <v>99</v>
      </c>
      <c r="BR105" s="14" t="s">
        <v>124</v>
      </c>
      <c r="BS105" s="14" t="s">
        <v>10386</v>
      </c>
      <c r="BT105" s="14" t="str">
        <f>HYPERLINK("https%3A%2F%2Fwww.webofscience.com%2Fwos%2Fwoscc%2Ffull-record%2FWOS:A1995RF56400007","View Full Record in Web of Science")</f>
        <v>View Full Record in Web of Science</v>
      </c>
    </row>
    <row r="106" ht="12.75" customHeight="1">
      <c r="A106" s="14" t="s">
        <v>97</v>
      </c>
      <c r="B106" s="14" t="s">
        <v>10397</v>
      </c>
      <c r="C106" s="14" t="s">
        <v>99</v>
      </c>
      <c r="D106" s="14" t="s">
        <v>99</v>
      </c>
      <c r="E106" s="14" t="s">
        <v>99</v>
      </c>
      <c r="F106" s="14" t="s">
        <v>10397</v>
      </c>
      <c r="G106" s="14" t="s">
        <v>99</v>
      </c>
      <c r="H106" s="14" t="s">
        <v>99</v>
      </c>
      <c r="I106" s="14" t="s">
        <v>10398</v>
      </c>
      <c r="J106" s="14" t="s">
        <v>532</v>
      </c>
      <c r="K106" s="14" t="s">
        <v>99</v>
      </c>
      <c r="L106" s="14" t="s">
        <v>99</v>
      </c>
      <c r="M106" s="14" t="s">
        <v>103</v>
      </c>
      <c r="N106" s="14" t="s">
        <v>104</v>
      </c>
      <c r="O106" s="14" t="s">
        <v>99</v>
      </c>
      <c r="P106" s="14" t="s">
        <v>99</v>
      </c>
      <c r="Q106" s="14" t="s">
        <v>99</v>
      </c>
      <c r="R106" s="14" t="s">
        <v>99</v>
      </c>
      <c r="S106" s="14" t="s">
        <v>99</v>
      </c>
      <c r="T106" s="14" t="s">
        <v>10399</v>
      </c>
      <c r="U106" s="14" t="s">
        <v>10400</v>
      </c>
      <c r="V106" s="14" t="s">
        <v>10401</v>
      </c>
      <c r="W106" s="14" t="s">
        <v>99</v>
      </c>
      <c r="X106" s="14" t="s">
        <v>99</v>
      </c>
      <c r="Y106" s="14" t="s">
        <v>10402</v>
      </c>
      <c r="Z106" s="14" t="s">
        <v>99</v>
      </c>
      <c r="AA106" s="14" t="s">
        <v>99</v>
      </c>
      <c r="AB106" s="14" t="s">
        <v>99</v>
      </c>
      <c r="AC106" s="14" t="s">
        <v>99</v>
      </c>
      <c r="AD106" s="14" t="s">
        <v>99</v>
      </c>
      <c r="AE106" s="14" t="s">
        <v>99</v>
      </c>
      <c r="AF106" s="14" t="s">
        <v>99</v>
      </c>
      <c r="AG106" s="14">
        <v>30.0</v>
      </c>
      <c r="AH106" s="14">
        <v>102.0</v>
      </c>
      <c r="AI106" s="14">
        <v>119.0</v>
      </c>
      <c r="AJ106" s="14">
        <v>0.0</v>
      </c>
      <c r="AK106" s="14">
        <v>47.0</v>
      </c>
      <c r="AL106" s="14" t="s">
        <v>9894</v>
      </c>
      <c r="AM106" s="14" t="s">
        <v>468</v>
      </c>
      <c r="AN106" s="14" t="s">
        <v>10319</v>
      </c>
      <c r="AO106" s="14" t="s">
        <v>545</v>
      </c>
      <c r="AP106" s="14" t="s">
        <v>99</v>
      </c>
      <c r="AQ106" s="14" t="s">
        <v>99</v>
      </c>
      <c r="AR106" s="14" t="s">
        <v>547</v>
      </c>
      <c r="AS106" s="14" t="s">
        <v>548</v>
      </c>
      <c r="AT106" s="14" t="s">
        <v>280</v>
      </c>
      <c r="AU106" s="14">
        <v>1994.0</v>
      </c>
      <c r="AV106" s="14">
        <v>31.0</v>
      </c>
      <c r="AW106" s="14">
        <v>1.0</v>
      </c>
      <c r="AX106" s="14" t="s">
        <v>99</v>
      </c>
      <c r="AY106" s="14" t="s">
        <v>99</v>
      </c>
      <c r="AZ106" s="14" t="s">
        <v>99</v>
      </c>
      <c r="BA106" s="14" t="s">
        <v>99</v>
      </c>
      <c r="BB106" s="14">
        <v>13.0</v>
      </c>
      <c r="BC106" s="14">
        <v>24.0</v>
      </c>
      <c r="BD106" s="14" t="s">
        <v>99</v>
      </c>
      <c r="BE106" s="14" t="s">
        <v>10403</v>
      </c>
      <c r="BF106" s="15" t="str">
        <f>HYPERLINK("http://dx.doi.org/10.2307/2404595","http://dx.doi.org/10.2307/2404595")</f>
        <v>http://dx.doi.org/10.2307/2404595</v>
      </c>
      <c r="BG106" s="14" t="s">
        <v>99</v>
      </c>
      <c r="BH106" s="14" t="s">
        <v>99</v>
      </c>
      <c r="BI106" s="14">
        <v>12.0</v>
      </c>
      <c r="BJ106" s="14" t="s">
        <v>550</v>
      </c>
      <c r="BK106" s="14" t="s">
        <v>122</v>
      </c>
      <c r="BL106" s="14" t="s">
        <v>352</v>
      </c>
      <c r="BM106" s="14" t="s">
        <v>10404</v>
      </c>
      <c r="BN106" s="14" t="s">
        <v>99</v>
      </c>
      <c r="BO106" s="14" t="s">
        <v>99</v>
      </c>
      <c r="BP106" s="14" t="s">
        <v>99</v>
      </c>
      <c r="BQ106" s="14" t="s">
        <v>99</v>
      </c>
      <c r="BR106" s="14" t="s">
        <v>124</v>
      </c>
      <c r="BS106" s="14" t="s">
        <v>10405</v>
      </c>
      <c r="BT106" s="14" t="str">
        <f>HYPERLINK("https%3A%2F%2Fwww.webofscience.com%2Fwos%2Fwoscc%2Ffull-record%2FWOS:A1994ND76300002","View Full Record in Web of Science")</f>
        <v>View Full Record in Web of Science</v>
      </c>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217</v>
      </c>
      <c r="C2" s="14" t="s">
        <v>99</v>
      </c>
      <c r="D2" s="14" t="s">
        <v>99</v>
      </c>
      <c r="E2" s="14" t="s">
        <v>99</v>
      </c>
      <c r="F2" s="14" t="s">
        <v>217</v>
      </c>
      <c r="G2" s="14" t="s">
        <v>99</v>
      </c>
      <c r="H2" s="14" t="s">
        <v>99</v>
      </c>
      <c r="I2" s="14" t="s">
        <v>218</v>
      </c>
      <c r="J2" s="14" t="s">
        <v>219</v>
      </c>
      <c r="K2" s="14" t="s">
        <v>99</v>
      </c>
      <c r="L2" s="14" t="s">
        <v>99</v>
      </c>
      <c r="M2" s="14" t="s">
        <v>103</v>
      </c>
      <c r="N2" s="14" t="s">
        <v>104</v>
      </c>
      <c r="O2" s="14" t="s">
        <v>99</v>
      </c>
      <c r="P2" s="14" t="s">
        <v>99</v>
      </c>
      <c r="Q2" s="14" t="s">
        <v>99</v>
      </c>
      <c r="R2" s="14" t="s">
        <v>99</v>
      </c>
      <c r="S2" s="14" t="s">
        <v>99</v>
      </c>
      <c r="T2" s="14" t="s">
        <v>220</v>
      </c>
      <c r="U2" s="14" t="s">
        <v>221</v>
      </c>
      <c r="V2" s="14" t="s">
        <v>222</v>
      </c>
      <c r="W2" s="14" t="s">
        <v>223</v>
      </c>
      <c r="X2" s="14" t="s">
        <v>224</v>
      </c>
      <c r="Y2" s="14" t="s">
        <v>225</v>
      </c>
      <c r="Z2" s="14" t="s">
        <v>226</v>
      </c>
      <c r="AA2" s="14" t="s">
        <v>227</v>
      </c>
      <c r="AB2" s="14" t="s">
        <v>228</v>
      </c>
      <c r="AC2" s="14" t="s">
        <v>99</v>
      </c>
      <c r="AD2" s="14" t="s">
        <v>99</v>
      </c>
      <c r="AE2" s="14" t="s">
        <v>99</v>
      </c>
      <c r="AF2" s="14" t="s">
        <v>99</v>
      </c>
      <c r="AG2" s="14">
        <v>37.0</v>
      </c>
      <c r="AH2" s="14">
        <v>15.0</v>
      </c>
      <c r="AI2" s="14">
        <v>16.0</v>
      </c>
      <c r="AJ2" s="14">
        <v>0.0</v>
      </c>
      <c r="AK2" s="14">
        <v>20.0</v>
      </c>
      <c r="AL2" s="14" t="s">
        <v>229</v>
      </c>
      <c r="AM2" s="14" t="s">
        <v>230</v>
      </c>
      <c r="AN2" s="14" t="s">
        <v>231</v>
      </c>
      <c r="AO2" s="14" t="s">
        <v>232</v>
      </c>
      <c r="AP2" s="14" t="s">
        <v>233</v>
      </c>
      <c r="AQ2" s="14" t="s">
        <v>99</v>
      </c>
      <c r="AR2" s="14" t="s">
        <v>234</v>
      </c>
      <c r="AS2" s="14" t="s">
        <v>235</v>
      </c>
      <c r="AT2" s="14" t="s">
        <v>99</v>
      </c>
      <c r="AU2" s="14">
        <v>2004.0</v>
      </c>
      <c r="AV2" s="14">
        <v>73.0</v>
      </c>
      <c r="AW2" s="14">
        <v>4.0</v>
      </c>
      <c r="AX2" s="14" t="s">
        <v>99</v>
      </c>
      <c r="AY2" s="14" t="s">
        <v>99</v>
      </c>
      <c r="AZ2" s="14" t="s">
        <v>99</v>
      </c>
      <c r="BA2" s="14" t="s">
        <v>99</v>
      </c>
      <c r="BB2" s="14">
        <v>283.0</v>
      </c>
      <c r="BC2" s="14">
        <v>291.0</v>
      </c>
      <c r="BD2" s="14" t="s">
        <v>99</v>
      </c>
      <c r="BE2" s="14" t="s">
        <v>236</v>
      </c>
      <c r="BF2" s="15" t="str">
        <f>HYPERLINK("http://dx.doi.org/10.1163/18759866-07304004","http://dx.doi.org/10.1163/18759866-07304004")</f>
        <v>http://dx.doi.org/10.1163/18759866-07304004</v>
      </c>
      <c r="BG2" s="14" t="s">
        <v>99</v>
      </c>
      <c r="BH2" s="14" t="s">
        <v>99</v>
      </c>
      <c r="BI2" s="14">
        <v>9.0</v>
      </c>
      <c r="BJ2" s="14" t="s">
        <v>121</v>
      </c>
      <c r="BK2" s="14" t="s">
        <v>122</v>
      </c>
      <c r="BL2" s="14" t="s">
        <v>121</v>
      </c>
      <c r="BM2" s="14" t="s">
        <v>237</v>
      </c>
      <c r="BN2" s="14" t="s">
        <v>99</v>
      </c>
      <c r="BO2" s="14" t="s">
        <v>238</v>
      </c>
      <c r="BP2" s="14" t="s">
        <v>99</v>
      </c>
      <c r="BQ2" s="14" t="s">
        <v>99</v>
      </c>
      <c r="BR2" s="14" t="s">
        <v>124</v>
      </c>
      <c r="BS2" s="14" t="s">
        <v>239</v>
      </c>
      <c r="BT2" s="14" t="str">
        <f>HYPERLINK("https%3A%2F%2Fwww.webofscience.com%2Fwos%2Fwoscc%2Ffull-record%2FWOS:000227928800004","View Full Record in Web of Science")</f>
        <v>View Full Record in Web of Science</v>
      </c>
    </row>
    <row r="3" ht="12.75" customHeight="1">
      <c r="A3" s="14" t="s">
        <v>97</v>
      </c>
      <c r="B3" s="14" t="s">
        <v>98</v>
      </c>
      <c r="C3" s="14" t="s">
        <v>99</v>
      </c>
      <c r="D3" s="14" t="s">
        <v>99</v>
      </c>
      <c r="E3" s="14" t="s">
        <v>99</v>
      </c>
      <c r="F3" s="14" t="s">
        <v>100</v>
      </c>
      <c r="G3" s="14" t="s">
        <v>99</v>
      </c>
      <c r="H3" s="14" t="s">
        <v>99</v>
      </c>
      <c r="I3" s="14" t="s">
        <v>101</v>
      </c>
      <c r="J3" s="14" t="s">
        <v>102</v>
      </c>
      <c r="K3" s="14" t="s">
        <v>99</v>
      </c>
      <c r="L3" s="14" t="s">
        <v>99</v>
      </c>
      <c r="M3" s="14" t="s">
        <v>103</v>
      </c>
      <c r="N3" s="14" t="s">
        <v>104</v>
      </c>
      <c r="O3" s="14" t="s">
        <v>99</v>
      </c>
      <c r="P3" s="14" t="s">
        <v>99</v>
      </c>
      <c r="Q3" s="14" t="s">
        <v>99</v>
      </c>
      <c r="R3" s="14" t="s">
        <v>99</v>
      </c>
      <c r="S3" s="14" t="s">
        <v>99</v>
      </c>
      <c r="T3" s="14" t="s">
        <v>105</v>
      </c>
      <c r="U3" s="14" t="s">
        <v>106</v>
      </c>
      <c r="V3" s="14" t="s">
        <v>107</v>
      </c>
      <c r="W3" s="14" t="s">
        <v>108</v>
      </c>
      <c r="X3" s="14" t="s">
        <v>99</v>
      </c>
      <c r="Y3" s="14" t="s">
        <v>109</v>
      </c>
      <c r="Z3" s="14" t="s">
        <v>110</v>
      </c>
      <c r="AA3" s="14" t="s">
        <v>111</v>
      </c>
      <c r="AB3" s="14" t="s">
        <v>99</v>
      </c>
      <c r="AC3" s="14" t="s">
        <v>112</v>
      </c>
      <c r="AD3" s="14" t="s">
        <v>112</v>
      </c>
      <c r="AE3" s="14" t="s">
        <v>113</v>
      </c>
      <c r="AF3" s="14" t="s">
        <v>99</v>
      </c>
      <c r="AG3" s="14">
        <v>36.0</v>
      </c>
      <c r="AH3" s="14">
        <v>58.0</v>
      </c>
      <c r="AI3" s="14">
        <v>79.0</v>
      </c>
      <c r="AJ3" s="14">
        <v>1.0</v>
      </c>
      <c r="AK3" s="14">
        <v>88.0</v>
      </c>
      <c r="AL3" s="14" t="s">
        <v>114</v>
      </c>
      <c r="AM3" s="14" t="s">
        <v>115</v>
      </c>
      <c r="AN3" s="14" t="s">
        <v>116</v>
      </c>
      <c r="AO3" s="14" t="s">
        <v>117</v>
      </c>
      <c r="AP3" s="14" t="s">
        <v>99</v>
      </c>
      <c r="AQ3" s="14" t="s">
        <v>99</v>
      </c>
      <c r="AR3" s="14" t="s">
        <v>118</v>
      </c>
      <c r="AS3" s="14" t="s">
        <v>119</v>
      </c>
      <c r="AT3" s="14" t="s">
        <v>120</v>
      </c>
      <c r="AU3" s="14">
        <v>2011.0</v>
      </c>
      <c r="AV3" s="14">
        <v>59.0</v>
      </c>
      <c r="AW3" s="14">
        <v>2.0</v>
      </c>
      <c r="AX3" s="14" t="s">
        <v>99</v>
      </c>
      <c r="AY3" s="14" t="s">
        <v>99</v>
      </c>
      <c r="AZ3" s="14" t="s">
        <v>99</v>
      </c>
      <c r="BA3" s="14" t="s">
        <v>99</v>
      </c>
      <c r="BB3" s="14">
        <v>311.0</v>
      </c>
      <c r="BC3" s="14">
        <v>318.0</v>
      </c>
      <c r="BD3" s="14" t="s">
        <v>99</v>
      </c>
      <c r="BE3" s="14" t="s">
        <v>99</v>
      </c>
      <c r="BF3" s="14" t="s">
        <v>99</v>
      </c>
      <c r="BG3" s="14" t="s">
        <v>99</v>
      </c>
      <c r="BH3" s="14" t="s">
        <v>99</v>
      </c>
      <c r="BI3" s="14">
        <v>8.0</v>
      </c>
      <c r="BJ3" s="14" t="s">
        <v>121</v>
      </c>
      <c r="BK3" s="14" t="s">
        <v>122</v>
      </c>
      <c r="BL3" s="14" t="s">
        <v>121</v>
      </c>
      <c r="BM3" s="14" t="s">
        <v>123</v>
      </c>
      <c r="BN3" s="14" t="s">
        <v>99</v>
      </c>
      <c r="BO3" s="14" t="s">
        <v>99</v>
      </c>
      <c r="BP3" s="14" t="s">
        <v>99</v>
      </c>
      <c r="BQ3" s="14" t="s">
        <v>99</v>
      </c>
      <c r="BR3" s="14" t="s">
        <v>124</v>
      </c>
      <c r="BS3" s="14" t="s">
        <v>125</v>
      </c>
      <c r="BT3" s="14" t="str">
        <f>HYPERLINK("https%3A%2F%2Fwww.webofscience.com%2Fwos%2Fwoscc%2Ffull-record%2FWOS:000301312200022","View Full Record in Web of Science")</f>
        <v>View Full Record in Web of Science</v>
      </c>
    </row>
    <row r="4" ht="12.75" customHeight="1">
      <c r="A4" s="14" t="s">
        <v>97</v>
      </c>
      <c r="B4" s="14" t="s">
        <v>1358</v>
      </c>
      <c r="C4" s="14" t="s">
        <v>99</v>
      </c>
      <c r="D4" s="14" t="s">
        <v>99</v>
      </c>
      <c r="E4" s="14" t="s">
        <v>99</v>
      </c>
      <c r="F4" s="14" t="s">
        <v>1359</v>
      </c>
      <c r="G4" s="14" t="s">
        <v>99</v>
      </c>
      <c r="H4" s="14" t="s">
        <v>99</v>
      </c>
      <c r="I4" s="14" t="s">
        <v>1360</v>
      </c>
      <c r="J4" s="14" t="s">
        <v>532</v>
      </c>
      <c r="K4" s="14" t="s">
        <v>99</v>
      </c>
      <c r="L4" s="14" t="s">
        <v>99</v>
      </c>
      <c r="M4" s="14" t="s">
        <v>103</v>
      </c>
      <c r="N4" s="14" t="s">
        <v>104</v>
      </c>
      <c r="O4" s="14" t="s">
        <v>99</v>
      </c>
      <c r="P4" s="14" t="s">
        <v>99</v>
      </c>
      <c r="Q4" s="14" t="s">
        <v>99</v>
      </c>
      <c r="R4" s="14" t="s">
        <v>99</v>
      </c>
      <c r="S4" s="14" t="s">
        <v>99</v>
      </c>
      <c r="T4" s="14" t="s">
        <v>1361</v>
      </c>
      <c r="U4" s="14" t="s">
        <v>1362</v>
      </c>
      <c r="V4" s="14" t="s">
        <v>1363</v>
      </c>
      <c r="W4" s="14" t="s">
        <v>1364</v>
      </c>
      <c r="X4" s="14" t="s">
        <v>1365</v>
      </c>
      <c r="Y4" s="14" t="s">
        <v>1366</v>
      </c>
      <c r="Z4" s="14" t="s">
        <v>1367</v>
      </c>
      <c r="AA4" s="14" t="s">
        <v>1368</v>
      </c>
      <c r="AB4" s="14" t="s">
        <v>1369</v>
      </c>
      <c r="AC4" s="14" t="s">
        <v>99</v>
      </c>
      <c r="AD4" s="14" t="s">
        <v>99</v>
      </c>
      <c r="AE4" s="14" t="s">
        <v>99</v>
      </c>
      <c r="AF4" s="14" t="s">
        <v>99</v>
      </c>
      <c r="AG4" s="14">
        <v>50.0</v>
      </c>
      <c r="AH4" s="14">
        <v>64.0</v>
      </c>
      <c r="AI4" s="14">
        <v>75.0</v>
      </c>
      <c r="AJ4" s="14">
        <v>2.0</v>
      </c>
      <c r="AK4" s="14">
        <v>99.0</v>
      </c>
      <c r="AL4" s="14" t="s">
        <v>341</v>
      </c>
      <c r="AM4" s="14" t="s">
        <v>342</v>
      </c>
      <c r="AN4" s="14" t="s">
        <v>343</v>
      </c>
      <c r="AO4" s="14" t="s">
        <v>545</v>
      </c>
      <c r="AP4" s="14" t="s">
        <v>546</v>
      </c>
      <c r="AQ4" s="14" t="s">
        <v>99</v>
      </c>
      <c r="AR4" s="14" t="s">
        <v>547</v>
      </c>
      <c r="AS4" s="14" t="s">
        <v>548</v>
      </c>
      <c r="AT4" s="14" t="s">
        <v>616</v>
      </c>
      <c r="AU4" s="14">
        <v>2017.0</v>
      </c>
      <c r="AV4" s="14">
        <v>54.0</v>
      </c>
      <c r="AW4" s="14">
        <v>3.0</v>
      </c>
      <c r="AX4" s="14" t="s">
        <v>99</v>
      </c>
      <c r="AY4" s="14" t="s">
        <v>99</v>
      </c>
      <c r="AZ4" s="14" t="s">
        <v>99</v>
      </c>
      <c r="BA4" s="14" t="s">
        <v>99</v>
      </c>
      <c r="BB4" s="14">
        <v>805.0</v>
      </c>
      <c r="BC4" s="14">
        <v>814.0</v>
      </c>
      <c r="BD4" s="14" t="s">
        <v>99</v>
      </c>
      <c r="BE4" s="14" t="s">
        <v>1370</v>
      </c>
      <c r="BF4" s="15" t="str">
        <f>HYPERLINK("http://dx.doi.org/10.1111/1365-2664.12798","http://dx.doi.org/10.1111/1365-2664.12798")</f>
        <v>http://dx.doi.org/10.1111/1365-2664.12798</v>
      </c>
      <c r="BG4" s="14" t="s">
        <v>99</v>
      </c>
      <c r="BH4" s="14" t="s">
        <v>99</v>
      </c>
      <c r="BI4" s="14">
        <v>10.0</v>
      </c>
      <c r="BJ4" s="14" t="s">
        <v>550</v>
      </c>
      <c r="BK4" s="14" t="s">
        <v>122</v>
      </c>
      <c r="BL4" s="14" t="s">
        <v>352</v>
      </c>
      <c r="BM4" s="14" t="s">
        <v>1371</v>
      </c>
      <c r="BN4" s="14" t="s">
        <v>99</v>
      </c>
      <c r="BO4" s="14" t="s">
        <v>373</v>
      </c>
      <c r="BP4" s="14" t="s">
        <v>99</v>
      </c>
      <c r="BQ4" s="14" t="s">
        <v>99</v>
      </c>
      <c r="BR4" s="14" t="s">
        <v>124</v>
      </c>
      <c r="BS4" s="14" t="s">
        <v>1372</v>
      </c>
      <c r="BT4" s="14" t="str">
        <f>HYPERLINK("https%3A%2F%2Fwww.webofscience.com%2Fwos%2Fwoscc%2Ffull-record%2FWOS:000401239100014","View Full Record in Web of Science")</f>
        <v>View Full Record in Web of Science</v>
      </c>
    </row>
    <row r="5" ht="12.75" customHeight="1">
      <c r="A5" s="14" t="s">
        <v>97</v>
      </c>
      <c r="B5" s="14" t="s">
        <v>1577</v>
      </c>
      <c r="C5" s="14" t="s">
        <v>99</v>
      </c>
      <c r="D5" s="14" t="s">
        <v>99</v>
      </c>
      <c r="E5" s="14" t="s">
        <v>99</v>
      </c>
      <c r="F5" s="14" t="s">
        <v>1578</v>
      </c>
      <c r="G5" s="14" t="s">
        <v>99</v>
      </c>
      <c r="H5" s="14" t="s">
        <v>99</v>
      </c>
      <c r="I5" s="14" t="s">
        <v>1579</v>
      </c>
      <c r="J5" s="14" t="s">
        <v>1580</v>
      </c>
      <c r="K5" s="14" t="s">
        <v>99</v>
      </c>
      <c r="L5" s="14" t="s">
        <v>99</v>
      </c>
      <c r="M5" s="14" t="s">
        <v>103</v>
      </c>
      <c r="N5" s="14" t="s">
        <v>104</v>
      </c>
      <c r="O5" s="14" t="s">
        <v>99</v>
      </c>
      <c r="P5" s="14" t="s">
        <v>99</v>
      </c>
      <c r="Q5" s="14" t="s">
        <v>99</v>
      </c>
      <c r="R5" s="14" t="s">
        <v>99</v>
      </c>
      <c r="S5" s="14" t="s">
        <v>99</v>
      </c>
      <c r="T5" s="14" t="s">
        <v>1581</v>
      </c>
      <c r="U5" s="14" t="s">
        <v>1582</v>
      </c>
      <c r="V5" s="14" t="s">
        <v>1583</v>
      </c>
      <c r="W5" s="14" t="s">
        <v>1584</v>
      </c>
      <c r="X5" s="14" t="s">
        <v>1585</v>
      </c>
      <c r="Y5" s="14" t="s">
        <v>1586</v>
      </c>
      <c r="Z5" s="14" t="s">
        <v>1587</v>
      </c>
      <c r="AA5" s="14" t="s">
        <v>1588</v>
      </c>
      <c r="AB5" s="14" t="s">
        <v>1589</v>
      </c>
      <c r="AC5" s="14" t="s">
        <v>1590</v>
      </c>
      <c r="AD5" s="14" t="s">
        <v>1591</v>
      </c>
      <c r="AE5" s="14" t="s">
        <v>1592</v>
      </c>
      <c r="AF5" s="14" t="s">
        <v>99</v>
      </c>
      <c r="AG5" s="14">
        <v>86.0</v>
      </c>
      <c r="AH5" s="14">
        <v>39.0</v>
      </c>
      <c r="AI5" s="14">
        <v>49.0</v>
      </c>
      <c r="AJ5" s="14">
        <v>1.0</v>
      </c>
      <c r="AK5" s="14">
        <v>72.0</v>
      </c>
      <c r="AL5" s="14" t="s">
        <v>1593</v>
      </c>
      <c r="AM5" s="14" t="s">
        <v>1594</v>
      </c>
      <c r="AN5" s="14" t="s">
        <v>1595</v>
      </c>
      <c r="AO5" s="14" t="s">
        <v>1596</v>
      </c>
      <c r="AP5" s="14" t="s">
        <v>1597</v>
      </c>
      <c r="AQ5" s="14" t="s">
        <v>99</v>
      </c>
      <c r="AR5" s="14" t="s">
        <v>1580</v>
      </c>
      <c r="AS5" s="14" t="s">
        <v>1598</v>
      </c>
      <c r="AT5" s="14" t="s">
        <v>935</v>
      </c>
      <c r="AU5" s="14">
        <v>2017.0</v>
      </c>
      <c r="AV5" s="14">
        <v>51.0</v>
      </c>
      <c r="AW5" s="14">
        <v>1.0</v>
      </c>
      <c r="AX5" s="14" t="s">
        <v>99</v>
      </c>
      <c r="AY5" s="14" t="s">
        <v>99</v>
      </c>
      <c r="AZ5" s="14" t="s">
        <v>99</v>
      </c>
      <c r="BA5" s="14" t="s">
        <v>99</v>
      </c>
      <c r="BB5" s="14">
        <v>87.0</v>
      </c>
      <c r="BC5" s="14">
        <v>97.0</v>
      </c>
      <c r="BD5" s="14" t="s">
        <v>99</v>
      </c>
      <c r="BE5" s="14" t="s">
        <v>1599</v>
      </c>
      <c r="BF5" s="15" t="str">
        <f>HYPERLINK("http://dx.doi.org/10.1017/S0030605315000836","http://dx.doi.org/10.1017/S0030605315000836")</f>
        <v>http://dx.doi.org/10.1017/S0030605315000836</v>
      </c>
      <c r="BG5" s="14" t="s">
        <v>99</v>
      </c>
      <c r="BH5" s="14" t="s">
        <v>99</v>
      </c>
      <c r="BI5" s="14">
        <v>11.0</v>
      </c>
      <c r="BJ5" s="14" t="s">
        <v>550</v>
      </c>
      <c r="BK5" s="14" t="s">
        <v>122</v>
      </c>
      <c r="BL5" s="14" t="s">
        <v>352</v>
      </c>
      <c r="BM5" s="14" t="s">
        <v>1600</v>
      </c>
      <c r="BN5" s="14" t="s">
        <v>99</v>
      </c>
      <c r="BO5" s="14" t="s">
        <v>373</v>
      </c>
      <c r="BP5" s="14" t="s">
        <v>99</v>
      </c>
      <c r="BQ5" s="14" t="s">
        <v>99</v>
      </c>
      <c r="BR5" s="14" t="s">
        <v>124</v>
      </c>
      <c r="BS5" s="14" t="s">
        <v>1601</v>
      </c>
      <c r="BT5" s="14" t="str">
        <f>HYPERLINK("https%3A%2F%2Fwww.webofscience.com%2Fwos%2Fwoscc%2Ffull-record%2FWOS:000392222700020","View Full Record in Web of Science")</f>
        <v>View Full Record in Web of Science</v>
      </c>
    </row>
    <row r="6" ht="12.75" customHeight="1">
      <c r="A6" s="14" t="s">
        <v>97</v>
      </c>
      <c r="B6" s="14" t="s">
        <v>2457</v>
      </c>
      <c r="C6" s="14" t="s">
        <v>99</v>
      </c>
      <c r="D6" s="14" t="s">
        <v>99</v>
      </c>
      <c r="E6" s="14" t="s">
        <v>99</v>
      </c>
      <c r="F6" s="14" t="s">
        <v>2458</v>
      </c>
      <c r="G6" s="14" t="s">
        <v>99</v>
      </c>
      <c r="H6" s="14" t="s">
        <v>99</v>
      </c>
      <c r="I6" s="14" t="s">
        <v>2459</v>
      </c>
      <c r="J6" s="14" t="s">
        <v>2460</v>
      </c>
      <c r="K6" s="14" t="s">
        <v>99</v>
      </c>
      <c r="L6" s="14" t="s">
        <v>99</v>
      </c>
      <c r="M6" s="14" t="s">
        <v>103</v>
      </c>
      <c r="N6" s="14" t="s">
        <v>104</v>
      </c>
      <c r="O6" s="14" t="s">
        <v>99</v>
      </c>
      <c r="P6" s="14" t="s">
        <v>99</v>
      </c>
      <c r="Q6" s="14" t="s">
        <v>99</v>
      </c>
      <c r="R6" s="14" t="s">
        <v>99</v>
      </c>
      <c r="S6" s="14" t="s">
        <v>99</v>
      </c>
      <c r="T6" s="14" t="s">
        <v>99</v>
      </c>
      <c r="U6" s="14" t="s">
        <v>2461</v>
      </c>
      <c r="V6" s="14" t="s">
        <v>2462</v>
      </c>
      <c r="W6" s="14" t="s">
        <v>2463</v>
      </c>
      <c r="X6" s="14" t="s">
        <v>2464</v>
      </c>
      <c r="Y6" s="14" t="s">
        <v>2465</v>
      </c>
      <c r="Z6" s="14" t="s">
        <v>2466</v>
      </c>
      <c r="AA6" s="14" t="s">
        <v>2467</v>
      </c>
      <c r="AB6" s="14" t="s">
        <v>99</v>
      </c>
      <c r="AC6" s="14" t="s">
        <v>2468</v>
      </c>
      <c r="AD6" s="14" t="s">
        <v>2469</v>
      </c>
      <c r="AE6" s="14" t="s">
        <v>2470</v>
      </c>
      <c r="AF6" s="14" t="s">
        <v>99</v>
      </c>
      <c r="AG6" s="14">
        <v>73.0</v>
      </c>
      <c r="AH6" s="14">
        <v>22.0</v>
      </c>
      <c r="AI6" s="14">
        <v>27.0</v>
      </c>
      <c r="AJ6" s="14">
        <v>0.0</v>
      </c>
      <c r="AK6" s="14">
        <v>50.0</v>
      </c>
      <c r="AL6" s="14" t="s">
        <v>341</v>
      </c>
      <c r="AM6" s="14" t="s">
        <v>342</v>
      </c>
      <c r="AN6" s="14" t="s">
        <v>343</v>
      </c>
      <c r="AO6" s="14" t="s">
        <v>2471</v>
      </c>
      <c r="AP6" s="14" t="s">
        <v>2472</v>
      </c>
      <c r="AQ6" s="14" t="s">
        <v>99</v>
      </c>
      <c r="AR6" s="14" t="s">
        <v>2473</v>
      </c>
      <c r="AS6" s="14" t="s">
        <v>2474</v>
      </c>
      <c r="AT6" s="14" t="s">
        <v>421</v>
      </c>
      <c r="AU6" s="14">
        <v>2015.0</v>
      </c>
      <c r="AV6" s="14">
        <v>21.0</v>
      </c>
      <c r="AW6" s="14">
        <v>5.0</v>
      </c>
      <c r="AX6" s="14" t="s">
        <v>99</v>
      </c>
      <c r="AY6" s="14" t="s">
        <v>99</v>
      </c>
      <c r="AZ6" s="14" t="s">
        <v>99</v>
      </c>
      <c r="BA6" s="14" t="s">
        <v>99</v>
      </c>
      <c r="BB6" s="14">
        <v>234.0</v>
      </c>
      <c r="BC6" s="14">
        <v>245.0</v>
      </c>
      <c r="BD6" s="14" t="s">
        <v>99</v>
      </c>
      <c r="BE6" s="14" t="s">
        <v>2475</v>
      </c>
      <c r="BF6" s="15" t="str">
        <f>HYPERLINK("http://dx.doi.org/10.2981/wlb.00095","http://dx.doi.org/10.2981/wlb.00095")</f>
        <v>http://dx.doi.org/10.2981/wlb.00095</v>
      </c>
      <c r="BG6" s="14" t="s">
        <v>99</v>
      </c>
      <c r="BH6" s="14" t="s">
        <v>99</v>
      </c>
      <c r="BI6" s="14">
        <v>12.0</v>
      </c>
      <c r="BJ6" s="14" t="s">
        <v>189</v>
      </c>
      <c r="BK6" s="14" t="s">
        <v>122</v>
      </c>
      <c r="BL6" s="14" t="s">
        <v>190</v>
      </c>
      <c r="BM6" s="14" t="s">
        <v>2476</v>
      </c>
      <c r="BN6" s="14" t="s">
        <v>99</v>
      </c>
      <c r="BO6" s="14" t="s">
        <v>576</v>
      </c>
      <c r="BP6" s="14" t="s">
        <v>99</v>
      </c>
      <c r="BQ6" s="14" t="s">
        <v>99</v>
      </c>
      <c r="BR6" s="14" t="s">
        <v>124</v>
      </c>
      <c r="BS6" s="14" t="s">
        <v>2477</v>
      </c>
      <c r="BT6" s="14" t="str">
        <f>HYPERLINK("https%3A%2F%2Fwww.webofscience.com%2Fwos%2Fwoscc%2Ffull-record%2FWOS:000363668300001","View Full Record in Web of Science")</f>
        <v>View Full Record in Web of Science</v>
      </c>
    </row>
    <row r="7" ht="12.75" customHeight="1">
      <c r="A7" s="14" t="s">
        <v>97</v>
      </c>
      <c r="B7" s="14" t="s">
        <v>3258</v>
      </c>
      <c r="C7" s="14" t="s">
        <v>99</v>
      </c>
      <c r="D7" s="14" t="s">
        <v>99</v>
      </c>
      <c r="E7" s="14" t="s">
        <v>99</v>
      </c>
      <c r="F7" s="14" t="s">
        <v>3259</v>
      </c>
      <c r="G7" s="14" t="s">
        <v>99</v>
      </c>
      <c r="H7" s="14" t="s">
        <v>99</v>
      </c>
      <c r="I7" s="14" t="s">
        <v>3260</v>
      </c>
      <c r="J7" s="14" t="s">
        <v>3261</v>
      </c>
      <c r="K7" s="14" t="s">
        <v>99</v>
      </c>
      <c r="L7" s="14" t="s">
        <v>99</v>
      </c>
      <c r="M7" s="14" t="s">
        <v>103</v>
      </c>
      <c r="N7" s="14" t="s">
        <v>104</v>
      </c>
      <c r="O7" s="14" t="s">
        <v>99</v>
      </c>
      <c r="P7" s="14" t="s">
        <v>99</v>
      </c>
      <c r="Q7" s="14" t="s">
        <v>99</v>
      </c>
      <c r="R7" s="14" t="s">
        <v>99</v>
      </c>
      <c r="S7" s="14" t="s">
        <v>99</v>
      </c>
      <c r="T7" s="14" t="s">
        <v>3262</v>
      </c>
      <c r="U7" s="14" t="s">
        <v>3263</v>
      </c>
      <c r="V7" s="14" t="s">
        <v>3264</v>
      </c>
      <c r="W7" s="14" t="s">
        <v>3265</v>
      </c>
      <c r="X7" s="14" t="s">
        <v>3266</v>
      </c>
      <c r="Y7" s="14" t="s">
        <v>3267</v>
      </c>
      <c r="Z7" s="14" t="s">
        <v>3268</v>
      </c>
      <c r="AA7" s="14" t="s">
        <v>3269</v>
      </c>
      <c r="AB7" s="14" t="s">
        <v>3270</v>
      </c>
      <c r="AC7" s="14" t="s">
        <v>3271</v>
      </c>
      <c r="AD7" s="14" t="s">
        <v>3272</v>
      </c>
      <c r="AE7" s="14" t="s">
        <v>3273</v>
      </c>
      <c r="AF7" s="14" t="s">
        <v>99</v>
      </c>
      <c r="AG7" s="14">
        <v>67.0</v>
      </c>
      <c r="AH7" s="14">
        <v>27.0</v>
      </c>
      <c r="AI7" s="14">
        <v>30.0</v>
      </c>
      <c r="AJ7" s="14">
        <v>0.0</v>
      </c>
      <c r="AK7" s="14">
        <v>97.0</v>
      </c>
      <c r="AL7" s="14" t="s">
        <v>341</v>
      </c>
      <c r="AM7" s="14" t="s">
        <v>342</v>
      </c>
      <c r="AN7" s="14" t="s">
        <v>343</v>
      </c>
      <c r="AO7" s="14" t="s">
        <v>3274</v>
      </c>
      <c r="AP7" s="14" t="s">
        <v>3275</v>
      </c>
      <c r="AQ7" s="14" t="s">
        <v>99</v>
      </c>
      <c r="AR7" s="14" t="s">
        <v>3276</v>
      </c>
      <c r="AS7" s="14" t="s">
        <v>3277</v>
      </c>
      <c r="AT7" s="14" t="s">
        <v>616</v>
      </c>
      <c r="AU7" s="14">
        <v>2014.0</v>
      </c>
      <c r="AV7" s="14">
        <v>76.0</v>
      </c>
      <c r="AW7" s="14">
        <v>6.0</v>
      </c>
      <c r="AX7" s="14" t="s">
        <v>99</v>
      </c>
      <c r="AY7" s="14" t="s">
        <v>99</v>
      </c>
      <c r="AZ7" s="14" t="s">
        <v>99</v>
      </c>
      <c r="BA7" s="14" t="s">
        <v>99</v>
      </c>
      <c r="BB7" s="14">
        <v>515.0</v>
      </c>
      <c r="BC7" s="14">
        <v>528.0</v>
      </c>
      <c r="BD7" s="14" t="s">
        <v>99</v>
      </c>
      <c r="BE7" s="14" t="s">
        <v>3278</v>
      </c>
      <c r="BF7" s="15" t="str">
        <f>HYPERLINK("http://dx.doi.org/10.1002/ajp.22243","http://dx.doi.org/10.1002/ajp.22243")</f>
        <v>http://dx.doi.org/10.1002/ajp.22243</v>
      </c>
      <c r="BG7" s="14" t="s">
        <v>99</v>
      </c>
      <c r="BH7" s="14" t="s">
        <v>99</v>
      </c>
      <c r="BI7" s="14">
        <v>14.0</v>
      </c>
      <c r="BJ7" s="14" t="s">
        <v>121</v>
      </c>
      <c r="BK7" s="14" t="s">
        <v>122</v>
      </c>
      <c r="BL7" s="14" t="s">
        <v>121</v>
      </c>
      <c r="BM7" s="14" t="s">
        <v>3279</v>
      </c>
      <c r="BN7" s="14">
        <v>2.444325E7</v>
      </c>
      <c r="BO7" s="14" t="s">
        <v>425</v>
      </c>
      <c r="BP7" s="14" t="s">
        <v>99</v>
      </c>
      <c r="BQ7" s="14" t="s">
        <v>99</v>
      </c>
      <c r="BR7" s="14" t="s">
        <v>124</v>
      </c>
      <c r="BS7" s="14" t="s">
        <v>3280</v>
      </c>
      <c r="BT7" s="14" t="str">
        <f>HYPERLINK("https%3A%2F%2Fwww.webofscience.com%2Fwos%2Fwoscc%2Ffull-record%2FWOS:000335490200001","View Full Record in Web of Science")</f>
        <v>View Full Record in Web of Science</v>
      </c>
    </row>
    <row r="8" ht="12.75" customHeight="1">
      <c r="A8" s="14" t="s">
        <v>97</v>
      </c>
      <c r="B8" s="14" t="s">
        <v>3352</v>
      </c>
      <c r="C8" s="14" t="s">
        <v>99</v>
      </c>
      <c r="D8" s="14" t="s">
        <v>99</v>
      </c>
      <c r="E8" s="14" t="s">
        <v>99</v>
      </c>
      <c r="F8" s="14" t="s">
        <v>3353</v>
      </c>
      <c r="G8" s="14" t="s">
        <v>99</v>
      </c>
      <c r="H8" s="14" t="s">
        <v>99</v>
      </c>
      <c r="I8" s="14" t="s">
        <v>3354</v>
      </c>
      <c r="J8" s="14" t="s">
        <v>3355</v>
      </c>
      <c r="K8" s="14" t="s">
        <v>99</v>
      </c>
      <c r="L8" s="14" t="s">
        <v>99</v>
      </c>
      <c r="M8" s="14" t="s">
        <v>103</v>
      </c>
      <c r="N8" s="14" t="s">
        <v>104</v>
      </c>
      <c r="O8" s="14" t="s">
        <v>99</v>
      </c>
      <c r="P8" s="14" t="s">
        <v>99</v>
      </c>
      <c r="Q8" s="14" t="s">
        <v>99</v>
      </c>
      <c r="R8" s="14" t="s">
        <v>99</v>
      </c>
      <c r="S8" s="14" t="s">
        <v>99</v>
      </c>
      <c r="T8" s="14" t="s">
        <v>99</v>
      </c>
      <c r="U8" s="14" t="s">
        <v>3356</v>
      </c>
      <c r="V8" s="14" t="s">
        <v>3357</v>
      </c>
      <c r="W8" s="14" t="s">
        <v>3358</v>
      </c>
      <c r="X8" s="14" t="s">
        <v>3359</v>
      </c>
      <c r="Y8" s="14" t="s">
        <v>3360</v>
      </c>
      <c r="Z8" s="14" t="s">
        <v>3361</v>
      </c>
      <c r="AA8" s="14" t="s">
        <v>3362</v>
      </c>
      <c r="AB8" s="14" t="s">
        <v>3363</v>
      </c>
      <c r="AC8" s="14" t="s">
        <v>3364</v>
      </c>
      <c r="AD8" s="14" t="s">
        <v>3365</v>
      </c>
      <c r="AE8" s="14" t="s">
        <v>3366</v>
      </c>
      <c r="AF8" s="14" t="s">
        <v>99</v>
      </c>
      <c r="AG8" s="14">
        <v>53.0</v>
      </c>
      <c r="AH8" s="14">
        <v>28.0</v>
      </c>
      <c r="AI8" s="14">
        <v>33.0</v>
      </c>
      <c r="AJ8" s="14">
        <v>0.0</v>
      </c>
      <c r="AK8" s="14">
        <v>116.0</v>
      </c>
      <c r="AL8" s="14" t="s">
        <v>341</v>
      </c>
      <c r="AM8" s="14" t="s">
        <v>342</v>
      </c>
      <c r="AN8" s="14" t="s">
        <v>343</v>
      </c>
      <c r="AO8" s="14" t="s">
        <v>3367</v>
      </c>
      <c r="AP8" s="14" t="s">
        <v>3368</v>
      </c>
      <c r="AQ8" s="14" t="s">
        <v>99</v>
      </c>
      <c r="AR8" s="14" t="s">
        <v>3355</v>
      </c>
      <c r="AS8" s="14" t="s">
        <v>3369</v>
      </c>
      <c r="AT8" s="14" t="s">
        <v>718</v>
      </c>
      <c r="AU8" s="14">
        <v>2014.0</v>
      </c>
      <c r="AV8" s="14">
        <v>37.0</v>
      </c>
      <c r="AW8" s="14">
        <v>4.0</v>
      </c>
      <c r="AX8" s="14" t="s">
        <v>99</v>
      </c>
      <c r="AY8" s="14" t="s">
        <v>99</v>
      </c>
      <c r="AZ8" s="14" t="s">
        <v>99</v>
      </c>
      <c r="BA8" s="14" t="s">
        <v>99</v>
      </c>
      <c r="BB8" s="14">
        <v>367.0</v>
      </c>
      <c r="BC8" s="14">
        <v>377.0</v>
      </c>
      <c r="BD8" s="14" t="s">
        <v>99</v>
      </c>
      <c r="BE8" s="14" t="s">
        <v>3370</v>
      </c>
      <c r="BF8" s="15" t="str">
        <f>HYPERLINK("http://dx.doi.org/10.1111/j.1600-0587.2013.00359.x","http://dx.doi.org/10.1111/j.1600-0587.2013.00359.x")</f>
        <v>http://dx.doi.org/10.1111/j.1600-0587.2013.00359.x</v>
      </c>
      <c r="BG8" s="14" t="s">
        <v>99</v>
      </c>
      <c r="BH8" s="14" t="s">
        <v>99</v>
      </c>
      <c r="BI8" s="14">
        <v>11.0</v>
      </c>
      <c r="BJ8" s="14" t="s">
        <v>550</v>
      </c>
      <c r="BK8" s="14" t="s">
        <v>122</v>
      </c>
      <c r="BL8" s="14" t="s">
        <v>352</v>
      </c>
      <c r="BM8" s="14" t="s">
        <v>3371</v>
      </c>
      <c r="BN8" s="14" t="s">
        <v>99</v>
      </c>
      <c r="BO8" s="14" t="s">
        <v>99</v>
      </c>
      <c r="BP8" s="14" t="s">
        <v>99</v>
      </c>
      <c r="BQ8" s="14" t="s">
        <v>99</v>
      </c>
      <c r="BR8" s="14" t="s">
        <v>124</v>
      </c>
      <c r="BS8" s="14" t="s">
        <v>3372</v>
      </c>
      <c r="BT8" s="14" t="str">
        <f>HYPERLINK("https%3A%2F%2Fwww.webofscience.com%2Fwos%2Fwoscc%2Ffull-record%2FWOS:000333608400007","View Full Record in Web of Science")</f>
        <v>View Full Record in Web of Science</v>
      </c>
    </row>
    <row r="9" ht="12.75" customHeight="1">
      <c r="A9" s="14" t="s">
        <v>97</v>
      </c>
      <c r="B9" s="14" t="s">
        <v>3839</v>
      </c>
      <c r="C9" s="14" t="s">
        <v>99</v>
      </c>
      <c r="D9" s="14" t="s">
        <v>99</v>
      </c>
      <c r="E9" s="14" t="s">
        <v>99</v>
      </c>
      <c r="F9" s="14" t="s">
        <v>3840</v>
      </c>
      <c r="G9" s="14" t="s">
        <v>99</v>
      </c>
      <c r="H9" s="14" t="s">
        <v>99</v>
      </c>
      <c r="I9" s="14" t="s">
        <v>3841</v>
      </c>
      <c r="J9" s="14" t="s">
        <v>3842</v>
      </c>
      <c r="K9" s="14" t="s">
        <v>99</v>
      </c>
      <c r="L9" s="14" t="s">
        <v>99</v>
      </c>
      <c r="M9" s="14" t="s">
        <v>103</v>
      </c>
      <c r="N9" s="14" t="s">
        <v>104</v>
      </c>
      <c r="O9" s="14" t="s">
        <v>99</v>
      </c>
      <c r="P9" s="14" t="s">
        <v>99</v>
      </c>
      <c r="Q9" s="14" t="s">
        <v>99</v>
      </c>
      <c r="R9" s="14" t="s">
        <v>99</v>
      </c>
      <c r="S9" s="14" t="s">
        <v>99</v>
      </c>
      <c r="T9" s="14" t="s">
        <v>3843</v>
      </c>
      <c r="U9" s="14" t="s">
        <v>3844</v>
      </c>
      <c r="V9" s="14" t="s">
        <v>3845</v>
      </c>
      <c r="W9" s="14" t="s">
        <v>3846</v>
      </c>
      <c r="X9" s="14" t="s">
        <v>3847</v>
      </c>
      <c r="Y9" s="14" t="s">
        <v>3848</v>
      </c>
      <c r="Z9" s="14" t="s">
        <v>3849</v>
      </c>
      <c r="AA9" s="14" t="s">
        <v>99</v>
      </c>
      <c r="AB9" s="14" t="s">
        <v>99</v>
      </c>
      <c r="AC9" s="14" t="s">
        <v>3850</v>
      </c>
      <c r="AD9" s="14" t="s">
        <v>3851</v>
      </c>
      <c r="AE9" s="14" t="s">
        <v>3852</v>
      </c>
      <c r="AF9" s="14" t="s">
        <v>99</v>
      </c>
      <c r="AG9" s="14">
        <v>52.0</v>
      </c>
      <c r="AH9" s="14">
        <v>27.0</v>
      </c>
      <c r="AI9" s="14">
        <v>36.0</v>
      </c>
      <c r="AJ9" s="14">
        <v>0.0</v>
      </c>
      <c r="AK9" s="14">
        <v>76.0</v>
      </c>
      <c r="AL9" s="14" t="s">
        <v>341</v>
      </c>
      <c r="AM9" s="14" t="s">
        <v>342</v>
      </c>
      <c r="AN9" s="14" t="s">
        <v>343</v>
      </c>
      <c r="AO9" s="14" t="s">
        <v>3853</v>
      </c>
      <c r="AP9" s="14" t="s">
        <v>3854</v>
      </c>
      <c r="AQ9" s="14" t="s">
        <v>99</v>
      </c>
      <c r="AR9" s="14" t="s">
        <v>3855</v>
      </c>
      <c r="AS9" s="14" t="s">
        <v>3856</v>
      </c>
      <c r="AT9" s="14" t="s">
        <v>474</v>
      </c>
      <c r="AU9" s="14">
        <v>2013.0</v>
      </c>
      <c r="AV9" s="14">
        <v>16.0</v>
      </c>
      <c r="AW9" s="14">
        <v>4.0</v>
      </c>
      <c r="AX9" s="14" t="s">
        <v>99</v>
      </c>
      <c r="AY9" s="14" t="s">
        <v>99</v>
      </c>
      <c r="AZ9" s="14" t="s">
        <v>99</v>
      </c>
      <c r="BA9" s="14" t="s">
        <v>99</v>
      </c>
      <c r="BB9" s="14">
        <v>430.0</v>
      </c>
      <c r="BC9" s="14">
        <v>437.0</v>
      </c>
      <c r="BD9" s="14" t="s">
        <v>99</v>
      </c>
      <c r="BE9" s="14" t="s">
        <v>3857</v>
      </c>
      <c r="BF9" s="15" t="str">
        <f>HYPERLINK("http://dx.doi.org/10.1111/acv.12012","http://dx.doi.org/10.1111/acv.12012")</f>
        <v>http://dx.doi.org/10.1111/acv.12012</v>
      </c>
      <c r="BG9" s="14" t="s">
        <v>99</v>
      </c>
      <c r="BH9" s="14" t="s">
        <v>99</v>
      </c>
      <c r="BI9" s="14">
        <v>8.0</v>
      </c>
      <c r="BJ9" s="14" t="s">
        <v>550</v>
      </c>
      <c r="BK9" s="14" t="s">
        <v>122</v>
      </c>
      <c r="BL9" s="14" t="s">
        <v>352</v>
      </c>
      <c r="BM9" s="14" t="s">
        <v>3858</v>
      </c>
      <c r="BN9" s="14" t="s">
        <v>99</v>
      </c>
      <c r="BO9" s="14" t="s">
        <v>99</v>
      </c>
      <c r="BP9" s="14" t="s">
        <v>99</v>
      </c>
      <c r="BQ9" s="14" t="s">
        <v>99</v>
      </c>
      <c r="BR9" s="14" t="s">
        <v>124</v>
      </c>
      <c r="BS9" s="14" t="s">
        <v>3859</v>
      </c>
      <c r="BT9" s="14" t="str">
        <f>HYPERLINK("https%3A%2F%2Fwww.webofscience.com%2Fwos%2Fwoscc%2Ffull-record%2FWOS:000323101700011","View Full Record in Web of Science")</f>
        <v>View Full Record in Web of Science</v>
      </c>
    </row>
    <row r="10" ht="12.75" customHeight="1">
      <c r="A10" s="14" t="s">
        <v>97</v>
      </c>
      <c r="B10" s="14" t="s">
        <v>4049</v>
      </c>
      <c r="C10" s="14" t="s">
        <v>99</v>
      </c>
      <c r="D10" s="14" t="s">
        <v>99</v>
      </c>
      <c r="E10" s="14" t="s">
        <v>99</v>
      </c>
      <c r="F10" s="14" t="s">
        <v>4050</v>
      </c>
      <c r="G10" s="14" t="s">
        <v>99</v>
      </c>
      <c r="H10" s="14" t="s">
        <v>99</v>
      </c>
      <c r="I10" s="14" t="s">
        <v>4051</v>
      </c>
      <c r="J10" s="14" t="s">
        <v>3842</v>
      </c>
      <c r="K10" s="14" t="s">
        <v>99</v>
      </c>
      <c r="L10" s="14" t="s">
        <v>99</v>
      </c>
      <c r="M10" s="14" t="s">
        <v>103</v>
      </c>
      <c r="N10" s="14" t="s">
        <v>104</v>
      </c>
      <c r="O10" s="14" t="s">
        <v>99</v>
      </c>
      <c r="P10" s="14" t="s">
        <v>99</v>
      </c>
      <c r="Q10" s="14" t="s">
        <v>99</v>
      </c>
      <c r="R10" s="14" t="s">
        <v>99</v>
      </c>
      <c r="S10" s="14" t="s">
        <v>99</v>
      </c>
      <c r="T10" s="14" t="s">
        <v>4052</v>
      </c>
      <c r="U10" s="14" t="s">
        <v>4053</v>
      </c>
      <c r="V10" s="14" t="s">
        <v>4054</v>
      </c>
      <c r="W10" s="14" t="s">
        <v>4055</v>
      </c>
      <c r="X10" s="14" t="s">
        <v>4056</v>
      </c>
      <c r="Y10" s="14" t="s">
        <v>4057</v>
      </c>
      <c r="Z10" s="14" t="s">
        <v>4058</v>
      </c>
      <c r="AA10" s="14" t="s">
        <v>4059</v>
      </c>
      <c r="AB10" s="14" t="s">
        <v>4060</v>
      </c>
      <c r="AC10" s="14" t="s">
        <v>4061</v>
      </c>
      <c r="AD10" s="14" t="s">
        <v>4062</v>
      </c>
      <c r="AE10" s="14" t="s">
        <v>4063</v>
      </c>
      <c r="AF10" s="14" t="s">
        <v>99</v>
      </c>
      <c r="AG10" s="14">
        <v>63.0</v>
      </c>
      <c r="AH10" s="14">
        <v>32.0</v>
      </c>
      <c r="AI10" s="14">
        <v>40.0</v>
      </c>
      <c r="AJ10" s="14">
        <v>1.0</v>
      </c>
      <c r="AK10" s="14">
        <v>127.0</v>
      </c>
      <c r="AL10" s="14" t="s">
        <v>341</v>
      </c>
      <c r="AM10" s="14" t="s">
        <v>342</v>
      </c>
      <c r="AN10" s="14" t="s">
        <v>343</v>
      </c>
      <c r="AO10" s="14" t="s">
        <v>3853</v>
      </c>
      <c r="AP10" s="14" t="s">
        <v>3854</v>
      </c>
      <c r="AQ10" s="14" t="s">
        <v>99</v>
      </c>
      <c r="AR10" s="14" t="s">
        <v>3855</v>
      </c>
      <c r="AS10" s="14" t="s">
        <v>3856</v>
      </c>
      <c r="AT10" s="14" t="s">
        <v>616</v>
      </c>
      <c r="AU10" s="14">
        <v>2013.0</v>
      </c>
      <c r="AV10" s="14">
        <v>16.0</v>
      </c>
      <c r="AW10" s="14">
        <v>3.0</v>
      </c>
      <c r="AX10" s="14" t="s">
        <v>99</v>
      </c>
      <c r="AY10" s="14" t="s">
        <v>99</v>
      </c>
      <c r="AZ10" s="14" t="s">
        <v>99</v>
      </c>
      <c r="BA10" s="14" t="s">
        <v>99</v>
      </c>
      <c r="BB10" s="14">
        <v>265.0</v>
      </c>
      <c r="BC10" s="14">
        <v>274.0</v>
      </c>
      <c r="BD10" s="14" t="s">
        <v>99</v>
      </c>
      <c r="BE10" s="14" t="s">
        <v>4064</v>
      </c>
      <c r="BF10" s="15" t="str">
        <f>HYPERLINK("http://dx.doi.org/10.1111/j.1469-1795.2012.00592.x","http://dx.doi.org/10.1111/j.1469-1795.2012.00592.x")</f>
        <v>http://dx.doi.org/10.1111/j.1469-1795.2012.00592.x</v>
      </c>
      <c r="BG10" s="14" t="s">
        <v>99</v>
      </c>
      <c r="BH10" s="14" t="s">
        <v>99</v>
      </c>
      <c r="BI10" s="14">
        <v>10.0</v>
      </c>
      <c r="BJ10" s="14" t="s">
        <v>550</v>
      </c>
      <c r="BK10" s="14" t="s">
        <v>122</v>
      </c>
      <c r="BL10" s="14" t="s">
        <v>352</v>
      </c>
      <c r="BM10" s="14" t="s">
        <v>4065</v>
      </c>
      <c r="BN10" s="14" t="s">
        <v>99</v>
      </c>
      <c r="BO10" s="14" t="s">
        <v>99</v>
      </c>
      <c r="BP10" s="14" t="s">
        <v>99</v>
      </c>
      <c r="BQ10" s="14" t="s">
        <v>99</v>
      </c>
      <c r="BR10" s="14" t="s">
        <v>124</v>
      </c>
      <c r="BS10" s="14" t="s">
        <v>4066</v>
      </c>
      <c r="BT10" s="14" t="str">
        <f>HYPERLINK("https%3A%2F%2Fwww.webofscience.com%2Fwos%2Fwoscc%2Ffull-record%2FWOS:000319703600005","View Full Record in Web of Science")</f>
        <v>View Full Record in Web of Science</v>
      </c>
    </row>
    <row r="11" ht="12.75" customHeight="1">
      <c r="A11" s="14" t="s">
        <v>97</v>
      </c>
      <c r="B11" s="14" t="s">
        <v>4067</v>
      </c>
      <c r="C11" s="14" t="s">
        <v>99</v>
      </c>
      <c r="D11" s="14" t="s">
        <v>99</v>
      </c>
      <c r="E11" s="14" t="s">
        <v>99</v>
      </c>
      <c r="F11" s="14" t="s">
        <v>4068</v>
      </c>
      <c r="G11" s="14" t="s">
        <v>99</v>
      </c>
      <c r="H11" s="14" t="s">
        <v>99</v>
      </c>
      <c r="I11" s="14" t="s">
        <v>4069</v>
      </c>
      <c r="J11" s="14" t="s">
        <v>4070</v>
      </c>
      <c r="K11" s="14" t="s">
        <v>99</v>
      </c>
      <c r="L11" s="14" t="s">
        <v>99</v>
      </c>
      <c r="M11" s="14" t="s">
        <v>103</v>
      </c>
      <c r="N11" s="14" t="s">
        <v>104</v>
      </c>
      <c r="O11" s="14" t="s">
        <v>99</v>
      </c>
      <c r="P11" s="14" t="s">
        <v>99</v>
      </c>
      <c r="Q11" s="14" t="s">
        <v>99</v>
      </c>
      <c r="R11" s="14" t="s">
        <v>99</v>
      </c>
      <c r="S11" s="14" t="s">
        <v>99</v>
      </c>
      <c r="T11" s="14" t="s">
        <v>4071</v>
      </c>
      <c r="U11" s="14" t="s">
        <v>4072</v>
      </c>
      <c r="V11" s="14" t="s">
        <v>4073</v>
      </c>
      <c r="W11" s="14" t="s">
        <v>4074</v>
      </c>
      <c r="X11" s="14" t="s">
        <v>4075</v>
      </c>
      <c r="Y11" s="14" t="s">
        <v>4076</v>
      </c>
      <c r="Z11" s="14" t="s">
        <v>3361</v>
      </c>
      <c r="AA11" s="14" t="s">
        <v>99</v>
      </c>
      <c r="AB11" s="14" t="s">
        <v>4077</v>
      </c>
      <c r="AC11" s="14" t="s">
        <v>3364</v>
      </c>
      <c r="AD11" s="14" t="s">
        <v>3365</v>
      </c>
      <c r="AE11" s="14" t="s">
        <v>4078</v>
      </c>
      <c r="AF11" s="14" t="s">
        <v>99</v>
      </c>
      <c r="AG11" s="14">
        <v>68.0</v>
      </c>
      <c r="AH11" s="14">
        <v>131.0</v>
      </c>
      <c r="AI11" s="14">
        <v>155.0</v>
      </c>
      <c r="AJ11" s="14">
        <v>0.0</v>
      </c>
      <c r="AK11" s="14">
        <v>154.0</v>
      </c>
      <c r="AL11" s="14" t="s">
        <v>1544</v>
      </c>
      <c r="AM11" s="14" t="s">
        <v>274</v>
      </c>
      <c r="AN11" s="14" t="s">
        <v>1545</v>
      </c>
      <c r="AO11" s="14" t="s">
        <v>4079</v>
      </c>
      <c r="AP11" s="14" t="s">
        <v>4080</v>
      </c>
      <c r="AQ11" s="14" t="s">
        <v>99</v>
      </c>
      <c r="AR11" s="14" t="s">
        <v>4081</v>
      </c>
      <c r="AS11" s="14" t="s">
        <v>4082</v>
      </c>
      <c r="AT11" s="14" t="s">
        <v>4083</v>
      </c>
      <c r="AU11" s="14">
        <v>2013.0</v>
      </c>
      <c r="AV11" s="14">
        <v>280.0</v>
      </c>
      <c r="AW11" s="14">
        <v>1759.0</v>
      </c>
      <c r="AX11" s="14" t="s">
        <v>99</v>
      </c>
      <c r="AY11" s="14" t="s">
        <v>99</v>
      </c>
      <c r="AZ11" s="14" t="s">
        <v>99</v>
      </c>
      <c r="BA11" s="14" t="s">
        <v>99</v>
      </c>
      <c r="BB11" s="14" t="s">
        <v>99</v>
      </c>
      <c r="BC11" s="14" t="s">
        <v>99</v>
      </c>
      <c r="BD11" s="14">
        <v>2.0130246E7</v>
      </c>
      <c r="BE11" s="14" t="s">
        <v>4084</v>
      </c>
      <c r="BF11" s="15" t="str">
        <f>HYPERLINK("http://dx.doi.org/10.1098/rspb.2013.0246","http://dx.doi.org/10.1098/rspb.2013.0246")</f>
        <v>http://dx.doi.org/10.1098/rspb.2013.0246</v>
      </c>
      <c r="BG11" s="14" t="s">
        <v>99</v>
      </c>
      <c r="BH11" s="14" t="s">
        <v>99</v>
      </c>
      <c r="BI11" s="14">
        <v>8.0</v>
      </c>
      <c r="BJ11" s="14" t="s">
        <v>1552</v>
      </c>
      <c r="BK11" s="14" t="s">
        <v>122</v>
      </c>
      <c r="BL11" s="14" t="s">
        <v>1553</v>
      </c>
      <c r="BM11" s="14" t="s">
        <v>4085</v>
      </c>
      <c r="BN11" s="14">
        <v>2.3516245E7</v>
      </c>
      <c r="BO11" s="14" t="s">
        <v>373</v>
      </c>
      <c r="BP11" s="14" t="s">
        <v>99</v>
      </c>
      <c r="BQ11" s="14" t="s">
        <v>99</v>
      </c>
      <c r="BR11" s="14" t="s">
        <v>124</v>
      </c>
      <c r="BS11" s="14" t="s">
        <v>4086</v>
      </c>
      <c r="BT11" s="14" t="str">
        <f>HYPERLINK("https%3A%2F%2Fwww.webofscience.com%2Fwos%2Fwoscc%2Ffull-record%2FWOS:000317482100017","View Full Record in Web of Science")</f>
        <v>View Full Record in Web of Science</v>
      </c>
    </row>
    <row r="12" ht="12.75" customHeight="1">
      <c r="A12" s="14" t="s">
        <v>97</v>
      </c>
      <c r="B12" s="14" t="s">
        <v>4265</v>
      </c>
      <c r="C12" s="14" t="s">
        <v>99</v>
      </c>
      <c r="D12" s="14" t="s">
        <v>99</v>
      </c>
      <c r="E12" s="14" t="s">
        <v>99</v>
      </c>
      <c r="F12" s="14" t="s">
        <v>4266</v>
      </c>
      <c r="G12" s="14" t="s">
        <v>99</v>
      </c>
      <c r="H12" s="14" t="s">
        <v>99</v>
      </c>
      <c r="I12" s="14" t="s">
        <v>4267</v>
      </c>
      <c r="J12" s="14" t="s">
        <v>4268</v>
      </c>
      <c r="K12" s="14" t="s">
        <v>99</v>
      </c>
      <c r="L12" s="14" t="s">
        <v>99</v>
      </c>
      <c r="M12" s="14" t="s">
        <v>103</v>
      </c>
      <c r="N12" s="14" t="s">
        <v>104</v>
      </c>
      <c r="O12" s="14" t="s">
        <v>99</v>
      </c>
      <c r="P12" s="14" t="s">
        <v>99</v>
      </c>
      <c r="Q12" s="14" t="s">
        <v>99</v>
      </c>
      <c r="R12" s="14" t="s">
        <v>99</v>
      </c>
      <c r="S12" s="14" t="s">
        <v>99</v>
      </c>
      <c r="T12" s="14" t="s">
        <v>4269</v>
      </c>
      <c r="U12" s="14" t="s">
        <v>4270</v>
      </c>
      <c r="V12" s="14" t="s">
        <v>4271</v>
      </c>
      <c r="W12" s="14" t="s">
        <v>4272</v>
      </c>
      <c r="X12" s="14" t="s">
        <v>4273</v>
      </c>
      <c r="Y12" s="14" t="s">
        <v>4274</v>
      </c>
      <c r="Z12" s="14" t="s">
        <v>4275</v>
      </c>
      <c r="AA12" s="14" t="s">
        <v>4276</v>
      </c>
      <c r="AB12" s="14" t="s">
        <v>4277</v>
      </c>
      <c r="AC12" s="14" t="s">
        <v>4278</v>
      </c>
      <c r="AD12" s="14" t="s">
        <v>4279</v>
      </c>
      <c r="AE12" s="14" t="s">
        <v>4280</v>
      </c>
      <c r="AF12" s="14" t="s">
        <v>99</v>
      </c>
      <c r="AG12" s="14">
        <v>52.0</v>
      </c>
      <c r="AH12" s="14">
        <v>12.0</v>
      </c>
      <c r="AI12" s="14">
        <v>15.0</v>
      </c>
      <c r="AJ12" s="14">
        <v>0.0</v>
      </c>
      <c r="AK12" s="14">
        <v>43.0</v>
      </c>
      <c r="AL12" s="14" t="s">
        <v>2073</v>
      </c>
      <c r="AM12" s="14" t="s">
        <v>274</v>
      </c>
      <c r="AN12" s="14" t="s">
        <v>2074</v>
      </c>
      <c r="AO12" s="14" t="s">
        <v>4281</v>
      </c>
      <c r="AP12" s="14" t="s">
        <v>4282</v>
      </c>
      <c r="AQ12" s="14" t="s">
        <v>99</v>
      </c>
      <c r="AR12" s="14" t="s">
        <v>4283</v>
      </c>
      <c r="AS12" s="14" t="s">
        <v>4284</v>
      </c>
      <c r="AT12" s="14" t="s">
        <v>718</v>
      </c>
      <c r="AU12" s="14">
        <v>2013.0</v>
      </c>
      <c r="AV12" s="14">
        <v>91.0</v>
      </c>
      <c r="AW12" s="14" t="s">
        <v>99</v>
      </c>
      <c r="AX12" s="14" t="s">
        <v>99</v>
      </c>
      <c r="AY12" s="14" t="s">
        <v>99</v>
      </c>
      <c r="AZ12" s="14" t="s">
        <v>99</v>
      </c>
      <c r="BA12" s="14" t="s">
        <v>99</v>
      </c>
      <c r="BB12" s="14">
        <v>31.0</v>
      </c>
      <c r="BC12" s="14">
        <v>37.0</v>
      </c>
      <c r="BD12" s="14" t="s">
        <v>99</v>
      </c>
      <c r="BE12" s="14" t="s">
        <v>4285</v>
      </c>
      <c r="BF12" s="15" t="str">
        <f>HYPERLINK("http://dx.doi.org/10.1016/j.jaridenv.2012.11.004","http://dx.doi.org/10.1016/j.jaridenv.2012.11.004")</f>
        <v>http://dx.doi.org/10.1016/j.jaridenv.2012.11.004</v>
      </c>
      <c r="BG12" s="14" t="s">
        <v>99</v>
      </c>
      <c r="BH12" s="14" t="s">
        <v>99</v>
      </c>
      <c r="BI12" s="14">
        <v>7.0</v>
      </c>
      <c r="BJ12" s="14" t="s">
        <v>423</v>
      </c>
      <c r="BK12" s="14" t="s">
        <v>122</v>
      </c>
      <c r="BL12" s="14" t="s">
        <v>260</v>
      </c>
      <c r="BM12" s="14" t="s">
        <v>4286</v>
      </c>
      <c r="BN12" s="14" t="s">
        <v>99</v>
      </c>
      <c r="BO12" s="14" t="s">
        <v>238</v>
      </c>
      <c r="BP12" s="14" t="s">
        <v>99</v>
      </c>
      <c r="BQ12" s="14" t="s">
        <v>99</v>
      </c>
      <c r="BR12" s="14" t="s">
        <v>124</v>
      </c>
      <c r="BS12" s="14" t="s">
        <v>4287</v>
      </c>
      <c r="BT12" s="14" t="str">
        <f>HYPERLINK("https%3A%2F%2Fwww.webofscience.com%2Fwos%2Fwoscc%2Ffull-record%2FWOS:000318056100005","View Full Record in Web of Science")</f>
        <v>View Full Record in Web of Science</v>
      </c>
    </row>
    <row r="13" ht="12.75" customHeight="1">
      <c r="A13" s="14" t="s">
        <v>97</v>
      </c>
      <c r="B13" s="14" t="s">
        <v>5198</v>
      </c>
      <c r="C13" s="14" t="s">
        <v>99</v>
      </c>
      <c r="D13" s="14" t="s">
        <v>99</v>
      </c>
      <c r="E13" s="14" t="s">
        <v>99</v>
      </c>
      <c r="F13" s="14" t="s">
        <v>5199</v>
      </c>
      <c r="G13" s="14" t="s">
        <v>99</v>
      </c>
      <c r="H13" s="14" t="s">
        <v>99</v>
      </c>
      <c r="I13" s="14" t="s">
        <v>5200</v>
      </c>
      <c r="J13" s="14" t="s">
        <v>1102</v>
      </c>
      <c r="K13" s="14" t="s">
        <v>99</v>
      </c>
      <c r="L13" s="14" t="s">
        <v>99</v>
      </c>
      <c r="M13" s="14" t="s">
        <v>103</v>
      </c>
      <c r="N13" s="14" t="s">
        <v>104</v>
      </c>
      <c r="O13" s="14" t="s">
        <v>99</v>
      </c>
      <c r="P13" s="14" t="s">
        <v>99</v>
      </c>
      <c r="Q13" s="14" t="s">
        <v>99</v>
      </c>
      <c r="R13" s="14" t="s">
        <v>99</v>
      </c>
      <c r="S13" s="14" t="s">
        <v>99</v>
      </c>
      <c r="T13" s="14" t="s">
        <v>5201</v>
      </c>
      <c r="U13" s="14" t="s">
        <v>5202</v>
      </c>
      <c r="V13" s="14" t="s">
        <v>5203</v>
      </c>
      <c r="W13" s="14" t="s">
        <v>5204</v>
      </c>
      <c r="X13" s="14" t="s">
        <v>5205</v>
      </c>
      <c r="Y13" s="14" t="s">
        <v>5206</v>
      </c>
      <c r="Z13" s="14" t="s">
        <v>5207</v>
      </c>
      <c r="AA13" s="14" t="s">
        <v>5208</v>
      </c>
      <c r="AB13" s="14" t="s">
        <v>5209</v>
      </c>
      <c r="AC13" s="14" t="s">
        <v>5210</v>
      </c>
      <c r="AD13" s="14" t="s">
        <v>5210</v>
      </c>
      <c r="AE13" s="14" t="s">
        <v>5211</v>
      </c>
      <c r="AF13" s="14" t="s">
        <v>99</v>
      </c>
      <c r="AG13" s="14">
        <v>63.0</v>
      </c>
      <c r="AH13" s="14">
        <v>67.0</v>
      </c>
      <c r="AI13" s="14">
        <v>84.0</v>
      </c>
      <c r="AJ13" s="14">
        <v>1.0</v>
      </c>
      <c r="AK13" s="14">
        <v>89.0</v>
      </c>
      <c r="AL13" s="14" t="s">
        <v>493</v>
      </c>
      <c r="AM13" s="14" t="s">
        <v>468</v>
      </c>
      <c r="AN13" s="14" t="s">
        <v>635</v>
      </c>
      <c r="AO13" s="14" t="s">
        <v>1112</v>
      </c>
      <c r="AP13" s="14" t="s">
        <v>1113</v>
      </c>
      <c r="AQ13" s="14" t="s">
        <v>99</v>
      </c>
      <c r="AR13" s="14" t="s">
        <v>1114</v>
      </c>
      <c r="AS13" s="14" t="s">
        <v>1115</v>
      </c>
      <c r="AT13" s="14" t="s">
        <v>280</v>
      </c>
      <c r="AU13" s="14">
        <v>2012.0</v>
      </c>
      <c r="AV13" s="14">
        <v>146.0</v>
      </c>
      <c r="AW13" s="14">
        <v>1.0</v>
      </c>
      <c r="AX13" s="14" t="s">
        <v>99</v>
      </c>
      <c r="AY13" s="14" t="s">
        <v>99</v>
      </c>
      <c r="AZ13" s="14" t="s">
        <v>99</v>
      </c>
      <c r="BA13" s="14" t="s">
        <v>99</v>
      </c>
      <c r="BB13" s="14">
        <v>89.0</v>
      </c>
      <c r="BC13" s="14">
        <v>96.0</v>
      </c>
      <c r="BD13" s="14" t="s">
        <v>99</v>
      </c>
      <c r="BE13" s="14" t="s">
        <v>5212</v>
      </c>
      <c r="BF13" s="15" t="str">
        <f>HYPERLINK("http://dx.doi.org/10.1016/j.biocon.2011.09.017","http://dx.doi.org/10.1016/j.biocon.2011.09.017")</f>
        <v>http://dx.doi.org/10.1016/j.biocon.2011.09.017</v>
      </c>
      <c r="BG13" s="14" t="s">
        <v>99</v>
      </c>
      <c r="BH13" s="14" t="s">
        <v>99</v>
      </c>
      <c r="BI13" s="14">
        <v>8.0</v>
      </c>
      <c r="BJ13" s="14" t="s">
        <v>351</v>
      </c>
      <c r="BK13" s="14" t="s">
        <v>122</v>
      </c>
      <c r="BL13" s="14" t="s">
        <v>352</v>
      </c>
      <c r="BM13" s="14" t="s">
        <v>5213</v>
      </c>
      <c r="BN13" s="14" t="s">
        <v>99</v>
      </c>
      <c r="BO13" s="14" t="s">
        <v>99</v>
      </c>
      <c r="BP13" s="14" t="s">
        <v>99</v>
      </c>
      <c r="BQ13" s="14" t="s">
        <v>99</v>
      </c>
      <c r="BR13" s="14" t="s">
        <v>124</v>
      </c>
      <c r="BS13" s="14" t="s">
        <v>5214</v>
      </c>
      <c r="BT13" s="14" t="str">
        <f>HYPERLINK("https%3A%2F%2Fwww.webofscience.com%2Fwos%2Fwoscc%2Ffull-record%2FWOS:000301814300010","View Full Record in Web of Science")</f>
        <v>View Full Record in Web of Science</v>
      </c>
    </row>
    <row r="14" ht="12.75" customHeight="1">
      <c r="A14" s="14" t="s">
        <v>97</v>
      </c>
      <c r="B14" s="14" t="s">
        <v>5525</v>
      </c>
      <c r="C14" s="14" t="s">
        <v>99</v>
      </c>
      <c r="D14" s="14" t="s">
        <v>99</v>
      </c>
      <c r="E14" s="14" t="s">
        <v>99</v>
      </c>
      <c r="F14" s="14" t="s">
        <v>5526</v>
      </c>
      <c r="G14" s="14" t="s">
        <v>99</v>
      </c>
      <c r="H14" s="14" t="s">
        <v>99</v>
      </c>
      <c r="I14" s="14" t="s">
        <v>5527</v>
      </c>
      <c r="J14" s="14" t="s">
        <v>5528</v>
      </c>
      <c r="K14" s="14" t="s">
        <v>99</v>
      </c>
      <c r="L14" s="14" t="s">
        <v>99</v>
      </c>
      <c r="M14" s="14" t="s">
        <v>103</v>
      </c>
      <c r="N14" s="14" t="s">
        <v>104</v>
      </c>
      <c r="O14" s="14" t="s">
        <v>99</v>
      </c>
      <c r="P14" s="14" t="s">
        <v>99</v>
      </c>
      <c r="Q14" s="14" t="s">
        <v>99</v>
      </c>
      <c r="R14" s="14" t="s">
        <v>99</v>
      </c>
      <c r="S14" s="14" t="s">
        <v>99</v>
      </c>
      <c r="T14" s="14" t="s">
        <v>5529</v>
      </c>
      <c r="U14" s="14" t="s">
        <v>5530</v>
      </c>
      <c r="V14" s="14" t="s">
        <v>5531</v>
      </c>
      <c r="W14" s="14" t="s">
        <v>5532</v>
      </c>
      <c r="X14" s="14" t="s">
        <v>5533</v>
      </c>
      <c r="Y14" s="14" t="s">
        <v>5534</v>
      </c>
      <c r="Z14" s="14" t="s">
        <v>5535</v>
      </c>
      <c r="AA14" s="14" t="s">
        <v>5536</v>
      </c>
      <c r="AB14" s="14" t="s">
        <v>5537</v>
      </c>
      <c r="AC14" s="14" t="s">
        <v>5538</v>
      </c>
      <c r="AD14" s="14" t="s">
        <v>5539</v>
      </c>
      <c r="AE14" s="14" t="s">
        <v>5540</v>
      </c>
      <c r="AF14" s="14" t="s">
        <v>99</v>
      </c>
      <c r="AG14" s="14">
        <v>54.0</v>
      </c>
      <c r="AH14" s="14">
        <v>112.0</v>
      </c>
      <c r="AI14" s="14">
        <v>127.0</v>
      </c>
      <c r="AJ14" s="14">
        <v>7.0</v>
      </c>
      <c r="AK14" s="14">
        <v>128.0</v>
      </c>
      <c r="AL14" s="14" t="s">
        <v>1822</v>
      </c>
      <c r="AM14" s="14" t="s">
        <v>342</v>
      </c>
      <c r="AN14" s="14" t="s">
        <v>343</v>
      </c>
      <c r="AO14" s="14" t="s">
        <v>5541</v>
      </c>
      <c r="AP14" s="14" t="s">
        <v>5542</v>
      </c>
      <c r="AQ14" s="14" t="s">
        <v>99</v>
      </c>
      <c r="AR14" s="14" t="s">
        <v>5543</v>
      </c>
      <c r="AS14" s="14" t="s">
        <v>5544</v>
      </c>
      <c r="AT14" s="14" t="s">
        <v>421</v>
      </c>
      <c r="AU14" s="14">
        <v>2011.0</v>
      </c>
      <c r="AV14" s="14">
        <v>285.0</v>
      </c>
      <c r="AW14" s="14">
        <v>1.0</v>
      </c>
      <c r="AX14" s="14" t="s">
        <v>99</v>
      </c>
      <c r="AY14" s="14" t="s">
        <v>99</v>
      </c>
      <c r="AZ14" s="14" t="s">
        <v>99</v>
      </c>
      <c r="BA14" s="14" t="s">
        <v>99</v>
      </c>
      <c r="BB14" s="14">
        <v>11.0</v>
      </c>
      <c r="BC14" s="14">
        <v>20.0</v>
      </c>
      <c r="BD14" s="14" t="s">
        <v>99</v>
      </c>
      <c r="BE14" s="14" t="s">
        <v>5545</v>
      </c>
      <c r="BF14" s="15" t="str">
        <f>HYPERLINK("http://dx.doi.org/10.1111/j.1469-7998.2011.00826.x","http://dx.doi.org/10.1111/j.1469-7998.2011.00826.x")</f>
        <v>http://dx.doi.org/10.1111/j.1469-7998.2011.00826.x</v>
      </c>
      <c r="BG14" s="14" t="s">
        <v>99</v>
      </c>
      <c r="BH14" s="14" t="s">
        <v>99</v>
      </c>
      <c r="BI14" s="14">
        <v>10.0</v>
      </c>
      <c r="BJ14" s="14" t="s">
        <v>121</v>
      </c>
      <c r="BK14" s="14" t="s">
        <v>122</v>
      </c>
      <c r="BL14" s="14" t="s">
        <v>121</v>
      </c>
      <c r="BM14" s="14" t="s">
        <v>5546</v>
      </c>
      <c r="BN14" s="14" t="s">
        <v>99</v>
      </c>
      <c r="BO14" s="14" t="s">
        <v>99</v>
      </c>
      <c r="BP14" s="14" t="s">
        <v>99</v>
      </c>
      <c r="BQ14" s="14" t="s">
        <v>99</v>
      </c>
      <c r="BR14" s="14" t="s">
        <v>124</v>
      </c>
      <c r="BS14" s="14" t="s">
        <v>5547</v>
      </c>
      <c r="BT14" s="14" t="str">
        <f>HYPERLINK("https%3A%2F%2Fwww.webofscience.com%2Fwos%2Fwoscc%2Ffull-record%2FWOS:000294170500002","View Full Record in Web of Science")</f>
        <v>View Full Record in Web of Science</v>
      </c>
    </row>
    <row r="15" ht="12.75" customHeight="1">
      <c r="A15" s="14" t="s">
        <v>97</v>
      </c>
      <c r="B15" s="14" t="s">
        <v>5566</v>
      </c>
      <c r="C15" s="14" t="s">
        <v>99</v>
      </c>
      <c r="D15" s="14" t="s">
        <v>99</v>
      </c>
      <c r="E15" s="14" t="s">
        <v>99</v>
      </c>
      <c r="F15" s="14" t="s">
        <v>5567</v>
      </c>
      <c r="G15" s="14" t="s">
        <v>99</v>
      </c>
      <c r="H15" s="14" t="s">
        <v>99</v>
      </c>
      <c r="I15" s="14" t="s">
        <v>5568</v>
      </c>
      <c r="J15" s="14" t="s">
        <v>3842</v>
      </c>
      <c r="K15" s="14" t="s">
        <v>99</v>
      </c>
      <c r="L15" s="14" t="s">
        <v>99</v>
      </c>
      <c r="M15" s="14" t="s">
        <v>103</v>
      </c>
      <c r="N15" s="14" t="s">
        <v>104</v>
      </c>
      <c r="O15" s="14" t="s">
        <v>99</v>
      </c>
      <c r="P15" s="14" t="s">
        <v>99</v>
      </c>
      <c r="Q15" s="14" t="s">
        <v>99</v>
      </c>
      <c r="R15" s="14" t="s">
        <v>99</v>
      </c>
      <c r="S15" s="14" t="s">
        <v>99</v>
      </c>
      <c r="T15" s="14" t="s">
        <v>5569</v>
      </c>
      <c r="U15" s="14" t="s">
        <v>5570</v>
      </c>
      <c r="V15" s="14" t="s">
        <v>5571</v>
      </c>
      <c r="W15" s="14" t="s">
        <v>5572</v>
      </c>
      <c r="X15" s="14" t="s">
        <v>5573</v>
      </c>
      <c r="Y15" s="14" t="s">
        <v>5574</v>
      </c>
      <c r="Z15" s="14" t="s">
        <v>5575</v>
      </c>
      <c r="AA15" s="14" t="s">
        <v>5576</v>
      </c>
      <c r="AB15" s="14" t="s">
        <v>5577</v>
      </c>
      <c r="AC15" s="14" t="s">
        <v>5578</v>
      </c>
      <c r="AD15" s="14" t="s">
        <v>5578</v>
      </c>
      <c r="AE15" s="14" t="s">
        <v>5579</v>
      </c>
      <c r="AF15" s="14" t="s">
        <v>99</v>
      </c>
      <c r="AG15" s="14">
        <v>49.0</v>
      </c>
      <c r="AH15" s="14">
        <v>18.0</v>
      </c>
      <c r="AI15" s="14">
        <v>24.0</v>
      </c>
      <c r="AJ15" s="14">
        <v>0.0</v>
      </c>
      <c r="AK15" s="14">
        <v>35.0</v>
      </c>
      <c r="AL15" s="14" t="s">
        <v>341</v>
      </c>
      <c r="AM15" s="14" t="s">
        <v>342</v>
      </c>
      <c r="AN15" s="14" t="s">
        <v>343</v>
      </c>
      <c r="AO15" s="14" t="s">
        <v>3853</v>
      </c>
      <c r="AP15" s="14" t="s">
        <v>3854</v>
      </c>
      <c r="AQ15" s="14" t="s">
        <v>99</v>
      </c>
      <c r="AR15" s="14" t="s">
        <v>3855</v>
      </c>
      <c r="AS15" s="14" t="s">
        <v>3856</v>
      </c>
      <c r="AT15" s="14" t="s">
        <v>474</v>
      </c>
      <c r="AU15" s="14">
        <v>2011.0</v>
      </c>
      <c r="AV15" s="14">
        <v>14.0</v>
      </c>
      <c r="AW15" s="14">
        <v>4.0</v>
      </c>
      <c r="AX15" s="14" t="s">
        <v>99</v>
      </c>
      <c r="AY15" s="14" t="s">
        <v>99</v>
      </c>
      <c r="AZ15" s="14" t="s">
        <v>99</v>
      </c>
      <c r="BA15" s="14" t="s">
        <v>99</v>
      </c>
      <c r="BB15" s="14">
        <v>409.0</v>
      </c>
      <c r="BC15" s="14">
        <v>418.0</v>
      </c>
      <c r="BD15" s="14" t="s">
        <v>99</v>
      </c>
      <c r="BE15" s="14" t="s">
        <v>5580</v>
      </c>
      <c r="BF15" s="15" t="str">
        <f>HYPERLINK("http://dx.doi.org/10.1111/j.1469-1795.2011.00437.x","http://dx.doi.org/10.1111/j.1469-1795.2011.00437.x")</f>
        <v>http://dx.doi.org/10.1111/j.1469-1795.2011.00437.x</v>
      </c>
      <c r="BG15" s="14" t="s">
        <v>99</v>
      </c>
      <c r="BH15" s="14" t="s">
        <v>99</v>
      </c>
      <c r="BI15" s="14">
        <v>10.0</v>
      </c>
      <c r="BJ15" s="14" t="s">
        <v>550</v>
      </c>
      <c r="BK15" s="14" t="s">
        <v>122</v>
      </c>
      <c r="BL15" s="14" t="s">
        <v>352</v>
      </c>
      <c r="BM15" s="14" t="s">
        <v>5581</v>
      </c>
      <c r="BN15" s="14" t="s">
        <v>99</v>
      </c>
      <c r="BO15" s="14" t="s">
        <v>238</v>
      </c>
      <c r="BP15" s="14" t="s">
        <v>99</v>
      </c>
      <c r="BQ15" s="14" t="s">
        <v>99</v>
      </c>
      <c r="BR15" s="14" t="s">
        <v>124</v>
      </c>
      <c r="BS15" s="14" t="s">
        <v>5582</v>
      </c>
      <c r="BT15" s="14" t="str">
        <f>HYPERLINK("https%3A%2F%2Fwww.webofscience.com%2Fwos%2Fwoscc%2Ffull-record%2FWOS:000293173900014","View Full Record in Web of Science")</f>
        <v>View Full Record in Web of Science</v>
      </c>
    </row>
    <row r="16" ht="12.75" customHeight="1">
      <c r="A16" s="14" t="s">
        <v>97</v>
      </c>
      <c r="B16" s="14" t="s">
        <v>5705</v>
      </c>
      <c r="C16" s="14" t="s">
        <v>99</v>
      </c>
      <c r="D16" s="14" t="s">
        <v>99</v>
      </c>
      <c r="E16" s="14" t="s">
        <v>99</v>
      </c>
      <c r="F16" s="14" t="s">
        <v>5706</v>
      </c>
      <c r="G16" s="14" t="s">
        <v>99</v>
      </c>
      <c r="H16" s="14" t="s">
        <v>99</v>
      </c>
      <c r="I16" s="14" t="s">
        <v>5707</v>
      </c>
      <c r="J16" s="14" t="s">
        <v>5708</v>
      </c>
      <c r="K16" s="14" t="s">
        <v>99</v>
      </c>
      <c r="L16" s="14" t="s">
        <v>99</v>
      </c>
      <c r="M16" s="14" t="s">
        <v>103</v>
      </c>
      <c r="N16" s="14" t="s">
        <v>104</v>
      </c>
      <c r="O16" s="14" t="s">
        <v>99</v>
      </c>
      <c r="P16" s="14" t="s">
        <v>99</v>
      </c>
      <c r="Q16" s="14" t="s">
        <v>99</v>
      </c>
      <c r="R16" s="14" t="s">
        <v>99</v>
      </c>
      <c r="S16" s="14" t="s">
        <v>99</v>
      </c>
      <c r="T16" s="14" t="s">
        <v>5709</v>
      </c>
      <c r="U16" s="14" t="s">
        <v>5710</v>
      </c>
      <c r="V16" s="14" t="s">
        <v>5711</v>
      </c>
      <c r="W16" s="14" t="s">
        <v>5712</v>
      </c>
      <c r="X16" s="14" t="s">
        <v>5713</v>
      </c>
      <c r="Y16" s="14" t="s">
        <v>5714</v>
      </c>
      <c r="Z16" s="14" t="s">
        <v>5715</v>
      </c>
      <c r="AA16" s="14" t="s">
        <v>5716</v>
      </c>
      <c r="AB16" s="14" t="s">
        <v>99</v>
      </c>
      <c r="AC16" s="14" t="s">
        <v>5717</v>
      </c>
      <c r="AD16" s="14" t="s">
        <v>5717</v>
      </c>
      <c r="AE16" s="14" t="s">
        <v>5718</v>
      </c>
      <c r="AF16" s="14" t="s">
        <v>99</v>
      </c>
      <c r="AG16" s="14">
        <v>41.0</v>
      </c>
      <c r="AH16" s="14">
        <v>20.0</v>
      </c>
      <c r="AI16" s="14">
        <v>22.0</v>
      </c>
      <c r="AJ16" s="14">
        <v>0.0</v>
      </c>
      <c r="AK16" s="14">
        <v>35.0</v>
      </c>
      <c r="AL16" s="14" t="s">
        <v>341</v>
      </c>
      <c r="AM16" s="14" t="s">
        <v>342</v>
      </c>
      <c r="AN16" s="14" t="s">
        <v>343</v>
      </c>
      <c r="AO16" s="14" t="s">
        <v>5719</v>
      </c>
      <c r="AP16" s="14" t="s">
        <v>5720</v>
      </c>
      <c r="AQ16" s="14" t="s">
        <v>99</v>
      </c>
      <c r="AR16" s="14" t="s">
        <v>5721</v>
      </c>
      <c r="AS16" s="14" t="s">
        <v>5722</v>
      </c>
      <c r="AT16" s="14" t="s">
        <v>616</v>
      </c>
      <c r="AU16" s="14">
        <v>2011.0</v>
      </c>
      <c r="AV16" s="14">
        <v>49.0</v>
      </c>
      <c r="AW16" s="14">
        <v>2.0</v>
      </c>
      <c r="AX16" s="14" t="s">
        <v>99</v>
      </c>
      <c r="AY16" s="14" t="s">
        <v>99</v>
      </c>
      <c r="AZ16" s="14" t="s">
        <v>99</v>
      </c>
      <c r="BA16" s="14" t="s">
        <v>99</v>
      </c>
      <c r="BB16" s="14">
        <v>141.0</v>
      </c>
      <c r="BC16" s="14">
        <v>149.0</v>
      </c>
      <c r="BD16" s="14" t="s">
        <v>99</v>
      </c>
      <c r="BE16" s="14" t="s">
        <v>5723</v>
      </c>
      <c r="BF16" s="15" t="str">
        <f>HYPERLINK("http://dx.doi.org/10.1111/j.1365-2028.2010.01239.x","http://dx.doi.org/10.1111/j.1365-2028.2010.01239.x")</f>
        <v>http://dx.doi.org/10.1111/j.1365-2028.2010.01239.x</v>
      </c>
      <c r="BG16" s="14" t="s">
        <v>99</v>
      </c>
      <c r="BH16" s="14" t="s">
        <v>99</v>
      </c>
      <c r="BI16" s="14">
        <v>9.0</v>
      </c>
      <c r="BJ16" s="14" t="s">
        <v>259</v>
      </c>
      <c r="BK16" s="14" t="s">
        <v>122</v>
      </c>
      <c r="BL16" s="14" t="s">
        <v>260</v>
      </c>
      <c r="BM16" s="14" t="s">
        <v>5724</v>
      </c>
      <c r="BN16" s="14" t="s">
        <v>99</v>
      </c>
      <c r="BO16" s="14" t="s">
        <v>238</v>
      </c>
      <c r="BP16" s="14" t="s">
        <v>99</v>
      </c>
      <c r="BQ16" s="14" t="s">
        <v>99</v>
      </c>
      <c r="BR16" s="14" t="s">
        <v>124</v>
      </c>
      <c r="BS16" s="14" t="s">
        <v>5725</v>
      </c>
      <c r="BT16" s="14" t="str">
        <f>HYPERLINK("https%3A%2F%2Fwww.webofscience.com%2Fwos%2Fwoscc%2Ffull-record%2FWOS:000290171900002","View Full Record in Web of Science")</f>
        <v>View Full Record in Web of Science</v>
      </c>
    </row>
    <row r="17" ht="12.75" customHeight="1">
      <c r="A17" s="14" t="s">
        <v>97</v>
      </c>
      <c r="B17" s="14" t="s">
        <v>5726</v>
      </c>
      <c r="C17" s="14" t="s">
        <v>99</v>
      </c>
      <c r="D17" s="14" t="s">
        <v>99</v>
      </c>
      <c r="E17" s="14" t="s">
        <v>99</v>
      </c>
      <c r="F17" s="14" t="s">
        <v>5727</v>
      </c>
      <c r="G17" s="14" t="s">
        <v>99</v>
      </c>
      <c r="H17" s="14" t="s">
        <v>99</v>
      </c>
      <c r="I17" s="14" t="s">
        <v>5728</v>
      </c>
      <c r="J17" s="14" t="s">
        <v>3842</v>
      </c>
      <c r="K17" s="14" t="s">
        <v>99</v>
      </c>
      <c r="L17" s="14" t="s">
        <v>99</v>
      </c>
      <c r="M17" s="14" t="s">
        <v>103</v>
      </c>
      <c r="N17" s="14" t="s">
        <v>104</v>
      </c>
      <c r="O17" s="14" t="s">
        <v>99</v>
      </c>
      <c r="P17" s="14" t="s">
        <v>99</v>
      </c>
      <c r="Q17" s="14" t="s">
        <v>99</v>
      </c>
      <c r="R17" s="14" t="s">
        <v>99</v>
      </c>
      <c r="S17" s="14" t="s">
        <v>99</v>
      </c>
      <c r="T17" s="14" t="s">
        <v>5729</v>
      </c>
      <c r="U17" s="14" t="s">
        <v>5730</v>
      </c>
      <c r="V17" s="14" t="s">
        <v>5731</v>
      </c>
      <c r="W17" s="14" t="s">
        <v>5732</v>
      </c>
      <c r="X17" s="14" t="s">
        <v>5733</v>
      </c>
      <c r="Y17" s="14" t="s">
        <v>5734</v>
      </c>
      <c r="Z17" s="14" t="s">
        <v>5735</v>
      </c>
      <c r="AA17" s="14" t="s">
        <v>5736</v>
      </c>
      <c r="AB17" s="14" t="s">
        <v>5737</v>
      </c>
      <c r="AC17" s="14" t="s">
        <v>5738</v>
      </c>
      <c r="AD17" s="14" t="s">
        <v>5739</v>
      </c>
      <c r="AE17" s="14" t="s">
        <v>5740</v>
      </c>
      <c r="AF17" s="14" t="s">
        <v>99</v>
      </c>
      <c r="AG17" s="14">
        <v>74.0</v>
      </c>
      <c r="AH17" s="14">
        <v>41.0</v>
      </c>
      <c r="AI17" s="14">
        <v>45.0</v>
      </c>
      <c r="AJ17" s="14">
        <v>2.0</v>
      </c>
      <c r="AK17" s="14">
        <v>75.0</v>
      </c>
      <c r="AL17" s="14" t="s">
        <v>341</v>
      </c>
      <c r="AM17" s="14" t="s">
        <v>342</v>
      </c>
      <c r="AN17" s="14" t="s">
        <v>343</v>
      </c>
      <c r="AO17" s="14" t="s">
        <v>3853</v>
      </c>
      <c r="AP17" s="14" t="s">
        <v>3854</v>
      </c>
      <c r="AQ17" s="14" t="s">
        <v>99</v>
      </c>
      <c r="AR17" s="14" t="s">
        <v>3855</v>
      </c>
      <c r="AS17" s="14" t="s">
        <v>3856</v>
      </c>
      <c r="AT17" s="14" t="s">
        <v>616</v>
      </c>
      <c r="AU17" s="14">
        <v>2011.0</v>
      </c>
      <c r="AV17" s="14">
        <v>14.0</v>
      </c>
      <c r="AW17" s="14">
        <v>3.0</v>
      </c>
      <c r="AX17" s="14" t="s">
        <v>99</v>
      </c>
      <c r="AY17" s="14" t="s">
        <v>99</v>
      </c>
      <c r="AZ17" s="14" t="s">
        <v>99</v>
      </c>
      <c r="BA17" s="14" t="s">
        <v>99</v>
      </c>
      <c r="BB17" s="14">
        <v>271.0</v>
      </c>
      <c r="BC17" s="14">
        <v>282.0</v>
      </c>
      <c r="BD17" s="14" t="s">
        <v>99</v>
      </c>
      <c r="BE17" s="14" t="s">
        <v>5741</v>
      </c>
      <c r="BF17" s="15" t="str">
        <f>HYPERLINK("http://dx.doi.org/10.1111/j.1469-1795.2010.00426.x","http://dx.doi.org/10.1111/j.1469-1795.2010.00426.x")</f>
        <v>http://dx.doi.org/10.1111/j.1469-1795.2010.00426.x</v>
      </c>
      <c r="BG17" s="14" t="s">
        <v>99</v>
      </c>
      <c r="BH17" s="14" t="s">
        <v>99</v>
      </c>
      <c r="BI17" s="14">
        <v>12.0</v>
      </c>
      <c r="BJ17" s="14" t="s">
        <v>550</v>
      </c>
      <c r="BK17" s="14" t="s">
        <v>800</v>
      </c>
      <c r="BL17" s="14" t="s">
        <v>352</v>
      </c>
      <c r="BM17" s="14" t="s">
        <v>5742</v>
      </c>
      <c r="BN17" s="14" t="s">
        <v>99</v>
      </c>
      <c r="BO17" s="14" t="s">
        <v>238</v>
      </c>
      <c r="BP17" s="14" t="s">
        <v>99</v>
      </c>
      <c r="BQ17" s="14" t="s">
        <v>99</v>
      </c>
      <c r="BR17" s="14" t="s">
        <v>124</v>
      </c>
      <c r="BS17" s="14" t="s">
        <v>5743</v>
      </c>
      <c r="BT17" s="14" t="str">
        <f>HYPERLINK("https%3A%2F%2Fwww.webofscience.com%2Fwos%2Fwoscc%2Ffull-record%2FWOS:000291040800011","View Full Record in Web of Science")</f>
        <v>View Full Record in Web of Science</v>
      </c>
    </row>
    <row r="18" ht="12.75" customHeight="1">
      <c r="A18" s="14" t="s">
        <v>97</v>
      </c>
      <c r="B18" s="14" t="s">
        <v>5821</v>
      </c>
      <c r="C18" s="14" t="s">
        <v>99</v>
      </c>
      <c r="D18" s="14" t="s">
        <v>99</v>
      </c>
      <c r="E18" s="14" t="s">
        <v>99</v>
      </c>
      <c r="F18" s="14" t="s">
        <v>5822</v>
      </c>
      <c r="G18" s="14" t="s">
        <v>99</v>
      </c>
      <c r="H18" s="14" t="s">
        <v>99</v>
      </c>
      <c r="I18" s="14" t="s">
        <v>5823</v>
      </c>
      <c r="J18" s="14" t="s">
        <v>5708</v>
      </c>
      <c r="K18" s="14" t="s">
        <v>99</v>
      </c>
      <c r="L18" s="14" t="s">
        <v>99</v>
      </c>
      <c r="M18" s="14" t="s">
        <v>103</v>
      </c>
      <c r="N18" s="14" t="s">
        <v>104</v>
      </c>
      <c r="O18" s="14" t="s">
        <v>99</v>
      </c>
      <c r="P18" s="14" t="s">
        <v>99</v>
      </c>
      <c r="Q18" s="14" t="s">
        <v>99</v>
      </c>
      <c r="R18" s="14" t="s">
        <v>99</v>
      </c>
      <c r="S18" s="14" t="s">
        <v>99</v>
      </c>
      <c r="T18" s="14" t="s">
        <v>5824</v>
      </c>
      <c r="U18" s="14" t="s">
        <v>5825</v>
      </c>
      <c r="V18" s="14" t="s">
        <v>5826</v>
      </c>
      <c r="W18" s="14" t="s">
        <v>5827</v>
      </c>
      <c r="X18" s="14" t="s">
        <v>5828</v>
      </c>
      <c r="Y18" s="14" t="s">
        <v>5829</v>
      </c>
      <c r="Z18" s="14" t="s">
        <v>5830</v>
      </c>
      <c r="AA18" s="14" t="s">
        <v>99</v>
      </c>
      <c r="AB18" s="14" t="s">
        <v>99</v>
      </c>
      <c r="AC18" s="14" t="s">
        <v>5831</v>
      </c>
      <c r="AD18" s="14" t="s">
        <v>5832</v>
      </c>
      <c r="AE18" s="14" t="s">
        <v>5833</v>
      </c>
      <c r="AF18" s="14" t="s">
        <v>99</v>
      </c>
      <c r="AG18" s="14">
        <v>61.0</v>
      </c>
      <c r="AH18" s="14">
        <v>32.0</v>
      </c>
      <c r="AI18" s="14">
        <v>36.0</v>
      </c>
      <c r="AJ18" s="14">
        <v>0.0</v>
      </c>
      <c r="AK18" s="14">
        <v>49.0</v>
      </c>
      <c r="AL18" s="14" t="s">
        <v>341</v>
      </c>
      <c r="AM18" s="14" t="s">
        <v>342</v>
      </c>
      <c r="AN18" s="14" t="s">
        <v>343</v>
      </c>
      <c r="AO18" s="14" t="s">
        <v>5719</v>
      </c>
      <c r="AP18" s="14" t="s">
        <v>5720</v>
      </c>
      <c r="AQ18" s="14" t="s">
        <v>99</v>
      </c>
      <c r="AR18" s="14" t="s">
        <v>5721</v>
      </c>
      <c r="AS18" s="14" t="s">
        <v>5722</v>
      </c>
      <c r="AT18" s="14" t="s">
        <v>1485</v>
      </c>
      <c r="AU18" s="14">
        <v>2011.0</v>
      </c>
      <c r="AV18" s="14">
        <v>49.0</v>
      </c>
      <c r="AW18" s="14">
        <v>1.0</v>
      </c>
      <c r="AX18" s="14" t="s">
        <v>99</v>
      </c>
      <c r="AY18" s="14" t="s">
        <v>99</v>
      </c>
      <c r="AZ18" s="14" t="s">
        <v>99</v>
      </c>
      <c r="BA18" s="14" t="s">
        <v>99</v>
      </c>
      <c r="BB18" s="14">
        <v>70.0</v>
      </c>
      <c r="BC18" s="14">
        <v>80.0</v>
      </c>
      <c r="BD18" s="14" t="s">
        <v>99</v>
      </c>
      <c r="BE18" s="14" t="s">
        <v>5834</v>
      </c>
      <c r="BF18" s="15" t="str">
        <f>HYPERLINK("http://dx.doi.org/10.1111/j.1365-2028.2010.01229.x","http://dx.doi.org/10.1111/j.1365-2028.2010.01229.x")</f>
        <v>http://dx.doi.org/10.1111/j.1365-2028.2010.01229.x</v>
      </c>
      <c r="BG18" s="14" t="s">
        <v>99</v>
      </c>
      <c r="BH18" s="14" t="s">
        <v>99</v>
      </c>
      <c r="BI18" s="14">
        <v>11.0</v>
      </c>
      <c r="BJ18" s="14" t="s">
        <v>259</v>
      </c>
      <c r="BK18" s="14" t="s">
        <v>122</v>
      </c>
      <c r="BL18" s="14" t="s">
        <v>260</v>
      </c>
      <c r="BM18" s="14" t="s">
        <v>5835</v>
      </c>
      <c r="BN18" s="14" t="s">
        <v>99</v>
      </c>
      <c r="BO18" s="14" t="s">
        <v>99</v>
      </c>
      <c r="BP18" s="14" t="s">
        <v>99</v>
      </c>
      <c r="BQ18" s="14" t="s">
        <v>99</v>
      </c>
      <c r="BR18" s="14" t="s">
        <v>124</v>
      </c>
      <c r="BS18" s="14" t="s">
        <v>5836</v>
      </c>
      <c r="BT18" s="14" t="str">
        <f>HYPERLINK("https%3A%2F%2Fwww.webofscience.com%2Fwos%2Fwoscc%2Ffull-record%2FWOS:000287094000009","View Full Record in Web of Science")</f>
        <v>View Full Record in Web of Science</v>
      </c>
    </row>
    <row r="19" ht="12.75" customHeight="1">
      <c r="A19" s="14" t="s">
        <v>97</v>
      </c>
      <c r="B19" s="14" t="s">
        <v>5860</v>
      </c>
      <c r="C19" s="14" t="s">
        <v>99</v>
      </c>
      <c r="D19" s="14" t="s">
        <v>99</v>
      </c>
      <c r="E19" s="14" t="s">
        <v>99</v>
      </c>
      <c r="F19" s="14" t="s">
        <v>5861</v>
      </c>
      <c r="G19" s="14" t="s">
        <v>99</v>
      </c>
      <c r="H19" s="14" t="s">
        <v>99</v>
      </c>
      <c r="I19" s="14" t="s">
        <v>5862</v>
      </c>
      <c r="J19" s="14" t="s">
        <v>1102</v>
      </c>
      <c r="K19" s="14" t="s">
        <v>99</v>
      </c>
      <c r="L19" s="14" t="s">
        <v>99</v>
      </c>
      <c r="M19" s="14" t="s">
        <v>103</v>
      </c>
      <c r="N19" s="14" t="s">
        <v>104</v>
      </c>
      <c r="O19" s="14" t="s">
        <v>99</v>
      </c>
      <c r="P19" s="14" t="s">
        <v>99</v>
      </c>
      <c r="Q19" s="14" t="s">
        <v>99</v>
      </c>
      <c r="R19" s="14" t="s">
        <v>99</v>
      </c>
      <c r="S19" s="14" t="s">
        <v>99</v>
      </c>
      <c r="T19" s="14" t="s">
        <v>5863</v>
      </c>
      <c r="U19" s="14" t="s">
        <v>5864</v>
      </c>
      <c r="V19" s="14" t="s">
        <v>5865</v>
      </c>
      <c r="W19" s="14" t="s">
        <v>5866</v>
      </c>
      <c r="X19" s="14" t="s">
        <v>5867</v>
      </c>
      <c r="Y19" s="14" t="s">
        <v>5868</v>
      </c>
      <c r="Z19" s="14" t="s">
        <v>5869</v>
      </c>
      <c r="AA19" s="14" t="s">
        <v>99</v>
      </c>
      <c r="AB19" s="14" t="s">
        <v>99</v>
      </c>
      <c r="AC19" s="14" t="s">
        <v>5870</v>
      </c>
      <c r="AD19" s="14" t="s">
        <v>5870</v>
      </c>
      <c r="AE19" s="14" t="s">
        <v>5871</v>
      </c>
      <c r="AF19" s="14" t="s">
        <v>99</v>
      </c>
      <c r="AG19" s="14">
        <v>68.0</v>
      </c>
      <c r="AH19" s="14">
        <v>73.0</v>
      </c>
      <c r="AI19" s="14">
        <v>92.0</v>
      </c>
      <c r="AJ19" s="14">
        <v>0.0</v>
      </c>
      <c r="AK19" s="14">
        <v>92.0</v>
      </c>
      <c r="AL19" s="14" t="s">
        <v>493</v>
      </c>
      <c r="AM19" s="14" t="s">
        <v>468</v>
      </c>
      <c r="AN19" s="14" t="s">
        <v>635</v>
      </c>
      <c r="AO19" s="14" t="s">
        <v>1112</v>
      </c>
      <c r="AP19" s="14" t="s">
        <v>1113</v>
      </c>
      <c r="AQ19" s="14" t="s">
        <v>99</v>
      </c>
      <c r="AR19" s="14" t="s">
        <v>1114</v>
      </c>
      <c r="AS19" s="14" t="s">
        <v>1115</v>
      </c>
      <c r="AT19" s="14" t="s">
        <v>280</v>
      </c>
      <c r="AU19" s="14">
        <v>2011.0</v>
      </c>
      <c r="AV19" s="14">
        <v>144.0</v>
      </c>
      <c r="AW19" s="14">
        <v>2.0</v>
      </c>
      <c r="AX19" s="14" t="s">
        <v>99</v>
      </c>
      <c r="AY19" s="14" t="s">
        <v>99</v>
      </c>
      <c r="AZ19" s="14" t="s">
        <v>99</v>
      </c>
      <c r="BA19" s="14" t="s">
        <v>99</v>
      </c>
      <c r="BB19" s="14">
        <v>738.0</v>
      </c>
      <c r="BC19" s="14">
        <v>745.0</v>
      </c>
      <c r="BD19" s="14" t="s">
        <v>99</v>
      </c>
      <c r="BE19" s="14" t="s">
        <v>5872</v>
      </c>
      <c r="BF19" s="15" t="str">
        <f>HYPERLINK("http://dx.doi.org/10.1016/j.biocon.2010.10.023","http://dx.doi.org/10.1016/j.biocon.2010.10.023")</f>
        <v>http://dx.doi.org/10.1016/j.biocon.2010.10.023</v>
      </c>
      <c r="BG19" s="14" t="s">
        <v>99</v>
      </c>
      <c r="BH19" s="14" t="s">
        <v>99</v>
      </c>
      <c r="BI19" s="14">
        <v>8.0</v>
      </c>
      <c r="BJ19" s="14" t="s">
        <v>351</v>
      </c>
      <c r="BK19" s="14" t="s">
        <v>122</v>
      </c>
      <c r="BL19" s="14" t="s">
        <v>352</v>
      </c>
      <c r="BM19" s="14" t="s">
        <v>5873</v>
      </c>
      <c r="BN19" s="14" t="s">
        <v>99</v>
      </c>
      <c r="BO19" s="14" t="s">
        <v>99</v>
      </c>
      <c r="BP19" s="14" t="s">
        <v>99</v>
      </c>
      <c r="BQ19" s="14" t="s">
        <v>99</v>
      </c>
      <c r="BR19" s="14" t="s">
        <v>124</v>
      </c>
      <c r="BS19" s="14" t="s">
        <v>5874</v>
      </c>
      <c r="BT19" s="14" t="str">
        <f>HYPERLINK("https%3A%2F%2Fwww.webofscience.com%2Fwos%2Fwoscc%2Ffull-record%2FWOS:000287897100013","View Full Record in Web of Science")</f>
        <v>View Full Record in Web of Science</v>
      </c>
    </row>
    <row r="20" ht="12.75" customHeight="1">
      <c r="A20" s="14" t="s">
        <v>97</v>
      </c>
      <c r="B20" s="14" t="s">
        <v>6400</v>
      </c>
      <c r="C20" s="14" t="s">
        <v>99</v>
      </c>
      <c r="D20" s="14" t="s">
        <v>99</v>
      </c>
      <c r="E20" s="14" t="s">
        <v>99</v>
      </c>
      <c r="F20" s="14" t="s">
        <v>6401</v>
      </c>
      <c r="G20" s="14" t="s">
        <v>99</v>
      </c>
      <c r="H20" s="14" t="s">
        <v>99</v>
      </c>
      <c r="I20" s="14" t="s">
        <v>6402</v>
      </c>
      <c r="J20" s="14" t="s">
        <v>2500</v>
      </c>
      <c r="K20" s="14" t="s">
        <v>99</v>
      </c>
      <c r="L20" s="14" t="s">
        <v>99</v>
      </c>
      <c r="M20" s="14" t="s">
        <v>103</v>
      </c>
      <c r="N20" s="14" t="s">
        <v>104</v>
      </c>
      <c r="O20" s="14" t="s">
        <v>99</v>
      </c>
      <c r="P20" s="14" t="s">
        <v>99</v>
      </c>
      <c r="Q20" s="14" t="s">
        <v>99</v>
      </c>
      <c r="R20" s="14" t="s">
        <v>99</v>
      </c>
      <c r="S20" s="14" t="s">
        <v>99</v>
      </c>
      <c r="T20" s="14" t="s">
        <v>99</v>
      </c>
      <c r="U20" s="14" t="s">
        <v>6403</v>
      </c>
      <c r="V20" s="14" t="s">
        <v>6404</v>
      </c>
      <c r="W20" s="14" t="s">
        <v>6405</v>
      </c>
      <c r="X20" s="14" t="s">
        <v>6406</v>
      </c>
      <c r="Y20" s="14" t="s">
        <v>6407</v>
      </c>
      <c r="Z20" s="14" t="s">
        <v>6408</v>
      </c>
      <c r="AA20" s="14" t="s">
        <v>6409</v>
      </c>
      <c r="AB20" s="14" t="s">
        <v>99</v>
      </c>
      <c r="AC20" s="14" t="s">
        <v>6410</v>
      </c>
      <c r="AD20" s="14" t="s">
        <v>6411</v>
      </c>
      <c r="AE20" s="14" t="s">
        <v>6412</v>
      </c>
      <c r="AF20" s="14" t="s">
        <v>99</v>
      </c>
      <c r="AG20" s="14">
        <v>86.0</v>
      </c>
      <c r="AH20" s="14">
        <v>132.0</v>
      </c>
      <c r="AI20" s="14">
        <v>149.0</v>
      </c>
      <c r="AJ20" s="14">
        <v>2.0</v>
      </c>
      <c r="AK20" s="14">
        <v>102.0</v>
      </c>
      <c r="AL20" s="14" t="s">
        <v>2512</v>
      </c>
      <c r="AM20" s="14" t="s">
        <v>2513</v>
      </c>
      <c r="AN20" s="14" t="s">
        <v>2514</v>
      </c>
      <c r="AO20" s="14" t="s">
        <v>2515</v>
      </c>
      <c r="AP20" s="14" t="s">
        <v>99</v>
      </c>
      <c r="AQ20" s="14" t="s">
        <v>99</v>
      </c>
      <c r="AR20" s="14" t="s">
        <v>2500</v>
      </c>
      <c r="AS20" s="14" t="s">
        <v>2516</v>
      </c>
      <c r="AT20" s="14" t="s">
        <v>6413</v>
      </c>
      <c r="AU20" s="14">
        <v>2010.0</v>
      </c>
      <c r="AV20" s="14">
        <v>5.0</v>
      </c>
      <c r="AW20" s="14">
        <v>4.0</v>
      </c>
      <c r="AX20" s="14" t="s">
        <v>99</v>
      </c>
      <c r="AY20" s="14" t="s">
        <v>99</v>
      </c>
      <c r="AZ20" s="14" t="s">
        <v>99</v>
      </c>
      <c r="BA20" s="14" t="s">
        <v>99</v>
      </c>
      <c r="BB20" s="14" t="s">
        <v>99</v>
      </c>
      <c r="BC20" s="14" t="s">
        <v>99</v>
      </c>
      <c r="BD20" s="14" t="s">
        <v>6414</v>
      </c>
      <c r="BE20" s="14" t="s">
        <v>6415</v>
      </c>
      <c r="BF20" s="15" t="str">
        <f>HYPERLINK("http://dx.doi.org/10.1371/journal.pone.0010294","http://dx.doi.org/10.1371/journal.pone.0010294")</f>
        <v>http://dx.doi.org/10.1371/journal.pone.0010294</v>
      </c>
      <c r="BG20" s="14" t="s">
        <v>99</v>
      </c>
      <c r="BH20" s="14" t="s">
        <v>99</v>
      </c>
      <c r="BI20" s="14">
        <v>18.0</v>
      </c>
      <c r="BJ20" s="14" t="s">
        <v>799</v>
      </c>
      <c r="BK20" s="14" t="s">
        <v>122</v>
      </c>
      <c r="BL20" s="14" t="s">
        <v>801</v>
      </c>
      <c r="BM20" s="14" t="s">
        <v>6416</v>
      </c>
      <c r="BN20" s="14">
        <v>2.0428233E7</v>
      </c>
      <c r="BO20" s="14" t="s">
        <v>1251</v>
      </c>
      <c r="BP20" s="14" t="s">
        <v>99</v>
      </c>
      <c r="BQ20" s="14" t="s">
        <v>99</v>
      </c>
      <c r="BR20" s="14" t="s">
        <v>124</v>
      </c>
      <c r="BS20" s="14" t="s">
        <v>6417</v>
      </c>
      <c r="BT20" s="14" t="str">
        <f>HYPERLINK("https%3A%2F%2Fwww.webofscience.com%2Fwos%2Fwoscc%2Ffull-record%2FWOS:000277079300006","View Full Record in Web of Science")</f>
        <v>View Full Record in Web of Science</v>
      </c>
    </row>
    <row r="21" ht="12.75" customHeight="1">
      <c r="A21" s="14" t="s">
        <v>97</v>
      </c>
      <c r="B21" s="14" t="s">
        <v>6452</v>
      </c>
      <c r="C21" s="14" t="s">
        <v>99</v>
      </c>
      <c r="D21" s="14" t="s">
        <v>99</v>
      </c>
      <c r="E21" s="14" t="s">
        <v>99</v>
      </c>
      <c r="F21" s="14" t="s">
        <v>6453</v>
      </c>
      <c r="G21" s="14" t="s">
        <v>99</v>
      </c>
      <c r="H21" s="14" t="s">
        <v>99</v>
      </c>
      <c r="I21" s="14" t="s">
        <v>6454</v>
      </c>
      <c r="J21" s="14" t="s">
        <v>6455</v>
      </c>
      <c r="K21" s="14" t="s">
        <v>99</v>
      </c>
      <c r="L21" s="14" t="s">
        <v>99</v>
      </c>
      <c r="M21" s="14" t="s">
        <v>103</v>
      </c>
      <c r="N21" s="14" t="s">
        <v>104</v>
      </c>
      <c r="O21" s="14" t="s">
        <v>99</v>
      </c>
      <c r="P21" s="14" t="s">
        <v>99</v>
      </c>
      <c r="Q21" s="14" t="s">
        <v>99</v>
      </c>
      <c r="R21" s="14" t="s">
        <v>99</v>
      </c>
      <c r="S21" s="14" t="s">
        <v>99</v>
      </c>
      <c r="T21" s="14" t="s">
        <v>6456</v>
      </c>
      <c r="U21" s="14" t="s">
        <v>6457</v>
      </c>
      <c r="V21" s="14" t="s">
        <v>6458</v>
      </c>
      <c r="W21" s="14" t="s">
        <v>6459</v>
      </c>
      <c r="X21" s="14" t="s">
        <v>6460</v>
      </c>
      <c r="Y21" s="14" t="s">
        <v>6461</v>
      </c>
      <c r="Z21" s="14" t="s">
        <v>6462</v>
      </c>
      <c r="AA21" s="14" t="s">
        <v>6463</v>
      </c>
      <c r="AB21" s="14" t="s">
        <v>6464</v>
      </c>
      <c r="AC21" s="14" t="s">
        <v>6465</v>
      </c>
      <c r="AD21" s="14" t="s">
        <v>6466</v>
      </c>
      <c r="AE21" s="14" t="s">
        <v>6467</v>
      </c>
      <c r="AF21" s="14" t="s">
        <v>99</v>
      </c>
      <c r="AG21" s="14">
        <v>66.0</v>
      </c>
      <c r="AH21" s="14">
        <v>68.0</v>
      </c>
      <c r="AI21" s="14">
        <v>84.0</v>
      </c>
      <c r="AJ21" s="14">
        <v>0.0</v>
      </c>
      <c r="AK21" s="14">
        <v>91.0</v>
      </c>
      <c r="AL21" s="14" t="s">
        <v>341</v>
      </c>
      <c r="AM21" s="14" t="s">
        <v>342</v>
      </c>
      <c r="AN21" s="14" t="s">
        <v>343</v>
      </c>
      <c r="AO21" s="14" t="s">
        <v>6468</v>
      </c>
      <c r="AP21" s="14" t="s">
        <v>6469</v>
      </c>
      <c r="AQ21" s="14" t="s">
        <v>99</v>
      </c>
      <c r="AR21" s="14" t="s">
        <v>6455</v>
      </c>
      <c r="AS21" s="14" t="s">
        <v>6470</v>
      </c>
      <c r="AT21" s="14" t="s">
        <v>1485</v>
      </c>
      <c r="AU21" s="14">
        <v>2010.0</v>
      </c>
      <c r="AV21" s="14">
        <v>42.0</v>
      </c>
      <c r="AW21" s="14">
        <v>2.0</v>
      </c>
      <c r="AX21" s="14" t="s">
        <v>99</v>
      </c>
      <c r="AY21" s="14" t="s">
        <v>99</v>
      </c>
      <c r="AZ21" s="14" t="s">
        <v>99</v>
      </c>
      <c r="BA21" s="14" t="s">
        <v>99</v>
      </c>
      <c r="BB21" s="14">
        <v>251.0</v>
      </c>
      <c r="BC21" s="14">
        <v>261.0</v>
      </c>
      <c r="BD21" s="14" t="s">
        <v>99</v>
      </c>
      <c r="BE21" s="14" t="s">
        <v>6471</v>
      </c>
      <c r="BF21" s="15" t="str">
        <f>HYPERLINK("http://dx.doi.org/10.1111/j.1744-7429.2009.00546.x","http://dx.doi.org/10.1111/j.1744-7429.2009.00546.x")</f>
        <v>http://dx.doi.org/10.1111/j.1744-7429.2009.00546.x</v>
      </c>
      <c r="BG21" s="14" t="s">
        <v>99</v>
      </c>
      <c r="BH21" s="14" t="s">
        <v>99</v>
      </c>
      <c r="BI21" s="14">
        <v>11.0</v>
      </c>
      <c r="BJ21" s="14" t="s">
        <v>259</v>
      </c>
      <c r="BK21" s="14" t="s">
        <v>122</v>
      </c>
      <c r="BL21" s="14" t="s">
        <v>260</v>
      </c>
      <c r="BM21" s="14" t="s">
        <v>6472</v>
      </c>
      <c r="BN21" s="14" t="s">
        <v>99</v>
      </c>
      <c r="BO21" s="14" t="s">
        <v>238</v>
      </c>
      <c r="BP21" s="14" t="s">
        <v>99</v>
      </c>
      <c r="BQ21" s="14" t="s">
        <v>99</v>
      </c>
      <c r="BR21" s="14" t="s">
        <v>124</v>
      </c>
      <c r="BS21" s="14" t="s">
        <v>6473</v>
      </c>
      <c r="BT21" s="14" t="str">
        <f>HYPERLINK("https%3A%2F%2Fwww.webofscience.com%2Fwos%2Fwoscc%2Ffull-record%2FWOS:000275215700017","View Full Record in Web of Science")</f>
        <v>View Full Record in Web of Science</v>
      </c>
    </row>
    <row r="22" ht="12.75" customHeight="1">
      <c r="A22" s="14" t="s">
        <v>97</v>
      </c>
      <c r="B22" s="14" t="s">
        <v>6677</v>
      </c>
      <c r="C22" s="14" t="s">
        <v>99</v>
      </c>
      <c r="D22" s="14" t="s">
        <v>99</v>
      </c>
      <c r="E22" s="14" t="s">
        <v>99</v>
      </c>
      <c r="F22" s="14" t="s">
        <v>6678</v>
      </c>
      <c r="G22" s="14" t="s">
        <v>99</v>
      </c>
      <c r="H22" s="14" t="s">
        <v>99</v>
      </c>
      <c r="I22" s="14" t="s">
        <v>6679</v>
      </c>
      <c r="J22" s="14" t="s">
        <v>2142</v>
      </c>
      <c r="K22" s="14" t="s">
        <v>99</v>
      </c>
      <c r="L22" s="14" t="s">
        <v>99</v>
      </c>
      <c r="M22" s="14" t="s">
        <v>103</v>
      </c>
      <c r="N22" s="14" t="s">
        <v>104</v>
      </c>
      <c r="O22" s="14" t="s">
        <v>99</v>
      </c>
      <c r="P22" s="14" t="s">
        <v>99</v>
      </c>
      <c r="Q22" s="14" t="s">
        <v>99</v>
      </c>
      <c r="R22" s="14" t="s">
        <v>99</v>
      </c>
      <c r="S22" s="14" t="s">
        <v>99</v>
      </c>
      <c r="T22" s="14" t="s">
        <v>6680</v>
      </c>
      <c r="U22" s="14" t="s">
        <v>6681</v>
      </c>
      <c r="V22" s="14" t="s">
        <v>6682</v>
      </c>
      <c r="W22" s="14" t="s">
        <v>6683</v>
      </c>
      <c r="X22" s="14" t="s">
        <v>6684</v>
      </c>
      <c r="Y22" s="14" t="s">
        <v>6685</v>
      </c>
      <c r="Z22" s="14" t="s">
        <v>6686</v>
      </c>
      <c r="AA22" s="14" t="s">
        <v>6687</v>
      </c>
      <c r="AB22" s="14" t="s">
        <v>6688</v>
      </c>
      <c r="AC22" s="14" t="s">
        <v>6689</v>
      </c>
      <c r="AD22" s="14" t="s">
        <v>6690</v>
      </c>
      <c r="AE22" s="14" t="s">
        <v>6691</v>
      </c>
      <c r="AF22" s="14" t="s">
        <v>99</v>
      </c>
      <c r="AG22" s="14">
        <v>52.0</v>
      </c>
      <c r="AH22" s="14">
        <v>59.0</v>
      </c>
      <c r="AI22" s="14">
        <v>70.0</v>
      </c>
      <c r="AJ22" s="14">
        <v>0.0</v>
      </c>
      <c r="AK22" s="14">
        <v>91.0</v>
      </c>
      <c r="AL22" s="14" t="s">
        <v>341</v>
      </c>
      <c r="AM22" s="14" t="s">
        <v>342</v>
      </c>
      <c r="AN22" s="14" t="s">
        <v>343</v>
      </c>
      <c r="AO22" s="14" t="s">
        <v>2155</v>
      </c>
      <c r="AP22" s="14" t="s">
        <v>2156</v>
      </c>
      <c r="AQ22" s="14" t="s">
        <v>99</v>
      </c>
      <c r="AR22" s="14" t="s">
        <v>2157</v>
      </c>
      <c r="AS22" s="14" t="s">
        <v>2158</v>
      </c>
      <c r="AT22" s="14" t="s">
        <v>2372</v>
      </c>
      <c r="AU22" s="14">
        <v>2009.0</v>
      </c>
      <c r="AV22" s="14">
        <v>23.0</v>
      </c>
      <c r="AW22" s="14">
        <v>5.0</v>
      </c>
      <c r="AX22" s="14" t="s">
        <v>99</v>
      </c>
      <c r="AY22" s="14" t="s">
        <v>99</v>
      </c>
      <c r="AZ22" s="14" t="s">
        <v>99</v>
      </c>
      <c r="BA22" s="14" t="s">
        <v>99</v>
      </c>
      <c r="BB22" s="14">
        <v>1270.0</v>
      </c>
      <c r="BC22" s="14">
        <v>1280.0</v>
      </c>
      <c r="BD22" s="14" t="s">
        <v>99</v>
      </c>
      <c r="BE22" s="14" t="s">
        <v>6692</v>
      </c>
      <c r="BF22" s="15" t="str">
        <f>HYPERLINK("http://dx.doi.org/10.1111/j.1523-1739.2009.01224.x","http://dx.doi.org/10.1111/j.1523-1739.2009.01224.x")</f>
        <v>http://dx.doi.org/10.1111/j.1523-1739.2009.01224.x</v>
      </c>
      <c r="BG22" s="14" t="s">
        <v>99</v>
      </c>
      <c r="BH22" s="14" t="s">
        <v>99</v>
      </c>
      <c r="BI22" s="14">
        <v>11.0</v>
      </c>
      <c r="BJ22" s="14" t="s">
        <v>351</v>
      </c>
      <c r="BK22" s="14" t="s">
        <v>122</v>
      </c>
      <c r="BL22" s="14" t="s">
        <v>352</v>
      </c>
      <c r="BM22" s="14" t="s">
        <v>6693</v>
      </c>
      <c r="BN22" s="14">
        <v>1.9765039E7</v>
      </c>
      <c r="BO22" s="14" t="s">
        <v>99</v>
      </c>
      <c r="BP22" s="14" t="s">
        <v>99</v>
      </c>
      <c r="BQ22" s="14" t="s">
        <v>99</v>
      </c>
      <c r="BR22" s="14" t="s">
        <v>124</v>
      </c>
      <c r="BS22" s="14" t="s">
        <v>6694</v>
      </c>
      <c r="BT22" s="14" t="str">
        <f>HYPERLINK("https%3A%2F%2Fwww.webofscience.com%2Fwos%2Fwoscc%2Ffull-record%2FWOS:000269802200030","View Full Record in Web of Science")</f>
        <v>View Full Record in Web of Science</v>
      </c>
    </row>
    <row r="23" ht="12.75" customHeight="1">
      <c r="A23" s="14" t="s">
        <v>97</v>
      </c>
      <c r="B23" s="14" t="s">
        <v>6781</v>
      </c>
      <c r="C23" s="14" t="s">
        <v>99</v>
      </c>
      <c r="D23" s="14" t="s">
        <v>99</v>
      </c>
      <c r="E23" s="14" t="s">
        <v>99</v>
      </c>
      <c r="F23" s="14" t="s">
        <v>6782</v>
      </c>
      <c r="G23" s="14" t="s">
        <v>99</v>
      </c>
      <c r="H23" s="14" t="s">
        <v>99</v>
      </c>
      <c r="I23" s="14" t="s">
        <v>6783</v>
      </c>
      <c r="J23" s="14" t="s">
        <v>1102</v>
      </c>
      <c r="K23" s="14" t="s">
        <v>99</v>
      </c>
      <c r="L23" s="14" t="s">
        <v>99</v>
      </c>
      <c r="M23" s="14" t="s">
        <v>103</v>
      </c>
      <c r="N23" s="14" t="s">
        <v>104</v>
      </c>
      <c r="O23" s="14" t="s">
        <v>99</v>
      </c>
      <c r="P23" s="14" t="s">
        <v>99</v>
      </c>
      <c r="Q23" s="14" t="s">
        <v>99</v>
      </c>
      <c r="R23" s="14" t="s">
        <v>99</v>
      </c>
      <c r="S23" s="14" t="s">
        <v>99</v>
      </c>
      <c r="T23" s="14" t="s">
        <v>6784</v>
      </c>
      <c r="U23" s="14" t="s">
        <v>6785</v>
      </c>
      <c r="V23" s="14" t="s">
        <v>6786</v>
      </c>
      <c r="W23" s="14" t="s">
        <v>6787</v>
      </c>
      <c r="X23" s="14" t="s">
        <v>6788</v>
      </c>
      <c r="Y23" s="14" t="s">
        <v>6789</v>
      </c>
      <c r="Z23" s="14" t="s">
        <v>6790</v>
      </c>
      <c r="AA23" s="14" t="s">
        <v>99</v>
      </c>
      <c r="AB23" s="14" t="s">
        <v>99</v>
      </c>
      <c r="AC23" s="14" t="s">
        <v>6791</v>
      </c>
      <c r="AD23" s="14" t="s">
        <v>6792</v>
      </c>
      <c r="AE23" s="14" t="s">
        <v>6793</v>
      </c>
      <c r="AF23" s="14" t="s">
        <v>99</v>
      </c>
      <c r="AG23" s="14">
        <v>38.0</v>
      </c>
      <c r="AH23" s="14">
        <v>36.0</v>
      </c>
      <c r="AI23" s="14">
        <v>39.0</v>
      </c>
      <c r="AJ23" s="14">
        <v>0.0</v>
      </c>
      <c r="AK23" s="14">
        <v>29.0</v>
      </c>
      <c r="AL23" s="14" t="s">
        <v>493</v>
      </c>
      <c r="AM23" s="14" t="s">
        <v>468</v>
      </c>
      <c r="AN23" s="14" t="s">
        <v>635</v>
      </c>
      <c r="AO23" s="14" t="s">
        <v>1112</v>
      </c>
      <c r="AP23" s="14" t="s">
        <v>1113</v>
      </c>
      <c r="AQ23" s="14" t="s">
        <v>99</v>
      </c>
      <c r="AR23" s="14" t="s">
        <v>1114</v>
      </c>
      <c r="AS23" s="14" t="s">
        <v>1115</v>
      </c>
      <c r="AT23" s="14" t="s">
        <v>525</v>
      </c>
      <c r="AU23" s="14">
        <v>2009.0</v>
      </c>
      <c r="AV23" s="14">
        <v>142.0</v>
      </c>
      <c r="AW23" s="14">
        <v>7.0</v>
      </c>
      <c r="AX23" s="14" t="s">
        <v>99</v>
      </c>
      <c r="AY23" s="14" t="s">
        <v>99</v>
      </c>
      <c r="AZ23" s="14" t="s">
        <v>99</v>
      </c>
      <c r="BA23" s="14" t="s">
        <v>99</v>
      </c>
      <c r="BB23" s="14">
        <v>1500.0</v>
      </c>
      <c r="BC23" s="14">
        <v>1506.0</v>
      </c>
      <c r="BD23" s="14" t="s">
        <v>99</v>
      </c>
      <c r="BE23" s="14" t="s">
        <v>6794</v>
      </c>
      <c r="BF23" s="15" t="str">
        <f>HYPERLINK("http://dx.doi.org/10.1016/j.biocon.2009.02.032","http://dx.doi.org/10.1016/j.biocon.2009.02.032")</f>
        <v>http://dx.doi.org/10.1016/j.biocon.2009.02.032</v>
      </c>
      <c r="BG23" s="14" t="s">
        <v>99</v>
      </c>
      <c r="BH23" s="14" t="s">
        <v>99</v>
      </c>
      <c r="BI23" s="14">
        <v>7.0</v>
      </c>
      <c r="BJ23" s="14" t="s">
        <v>351</v>
      </c>
      <c r="BK23" s="14" t="s">
        <v>122</v>
      </c>
      <c r="BL23" s="14" t="s">
        <v>352</v>
      </c>
      <c r="BM23" s="14" t="s">
        <v>6795</v>
      </c>
      <c r="BN23" s="14" t="s">
        <v>99</v>
      </c>
      <c r="BO23" s="14" t="s">
        <v>99</v>
      </c>
      <c r="BP23" s="14" t="s">
        <v>99</v>
      </c>
      <c r="BQ23" s="14" t="s">
        <v>99</v>
      </c>
      <c r="BR23" s="14" t="s">
        <v>124</v>
      </c>
      <c r="BS23" s="14" t="s">
        <v>6796</v>
      </c>
      <c r="BT23" s="14" t="str">
        <f>HYPERLINK("https%3A%2F%2Fwww.webofscience.com%2Fwos%2Fwoscc%2Ffull-record%2FWOS:000266752500026","View Full Record in Web of Science")</f>
        <v>View Full Record in Web of Science</v>
      </c>
    </row>
    <row r="24" ht="12.75" customHeight="1">
      <c r="A24" s="14" t="s">
        <v>97</v>
      </c>
      <c r="B24" s="14" t="s">
        <v>6853</v>
      </c>
      <c r="C24" s="14" t="s">
        <v>99</v>
      </c>
      <c r="D24" s="14" t="s">
        <v>99</v>
      </c>
      <c r="E24" s="14" t="s">
        <v>99</v>
      </c>
      <c r="F24" s="14" t="s">
        <v>6854</v>
      </c>
      <c r="G24" s="14" t="s">
        <v>99</v>
      </c>
      <c r="H24" s="14" t="s">
        <v>99</v>
      </c>
      <c r="I24" s="14" t="s">
        <v>6855</v>
      </c>
      <c r="J24" s="14" t="s">
        <v>1721</v>
      </c>
      <c r="K24" s="14" t="s">
        <v>99</v>
      </c>
      <c r="L24" s="14" t="s">
        <v>99</v>
      </c>
      <c r="M24" s="14" t="s">
        <v>103</v>
      </c>
      <c r="N24" s="14" t="s">
        <v>104</v>
      </c>
      <c r="O24" s="14" t="s">
        <v>99</v>
      </c>
      <c r="P24" s="14" t="s">
        <v>99</v>
      </c>
      <c r="Q24" s="14" t="s">
        <v>99</v>
      </c>
      <c r="R24" s="14" t="s">
        <v>99</v>
      </c>
      <c r="S24" s="14" t="s">
        <v>99</v>
      </c>
      <c r="T24" s="14" t="s">
        <v>6856</v>
      </c>
      <c r="U24" s="14" t="s">
        <v>6857</v>
      </c>
      <c r="V24" s="14" t="s">
        <v>6858</v>
      </c>
      <c r="W24" s="14" t="s">
        <v>6859</v>
      </c>
      <c r="X24" s="14" t="s">
        <v>6860</v>
      </c>
      <c r="Y24" s="14" t="s">
        <v>6861</v>
      </c>
      <c r="Z24" s="14" t="s">
        <v>6862</v>
      </c>
      <c r="AA24" s="14" t="s">
        <v>6863</v>
      </c>
      <c r="AB24" s="14" t="s">
        <v>99</v>
      </c>
      <c r="AC24" s="14" t="s">
        <v>6864</v>
      </c>
      <c r="AD24" s="14" t="s">
        <v>6864</v>
      </c>
      <c r="AE24" s="14" t="s">
        <v>6865</v>
      </c>
      <c r="AF24" s="14" t="s">
        <v>99</v>
      </c>
      <c r="AG24" s="14">
        <v>53.0</v>
      </c>
      <c r="AH24" s="14">
        <v>31.0</v>
      </c>
      <c r="AI24" s="14">
        <v>35.0</v>
      </c>
      <c r="AJ24" s="14">
        <v>1.0</v>
      </c>
      <c r="AK24" s="14">
        <v>50.0</v>
      </c>
      <c r="AL24" s="14" t="s">
        <v>1731</v>
      </c>
      <c r="AM24" s="14" t="s">
        <v>1732</v>
      </c>
      <c r="AN24" s="14" t="s">
        <v>1733</v>
      </c>
      <c r="AO24" s="14" t="s">
        <v>1734</v>
      </c>
      <c r="AP24" s="14" t="s">
        <v>1735</v>
      </c>
      <c r="AQ24" s="14" t="s">
        <v>99</v>
      </c>
      <c r="AR24" s="14" t="s">
        <v>1736</v>
      </c>
      <c r="AS24" s="14" t="s">
        <v>1737</v>
      </c>
      <c r="AT24" s="14" t="s">
        <v>640</v>
      </c>
      <c r="AU24" s="14">
        <v>2009.0</v>
      </c>
      <c r="AV24" s="14">
        <v>18.0</v>
      </c>
      <c r="AW24" s="14">
        <v>5.0</v>
      </c>
      <c r="AX24" s="14" t="s">
        <v>99</v>
      </c>
      <c r="AY24" s="14" t="s">
        <v>99</v>
      </c>
      <c r="AZ24" s="14" t="s">
        <v>99</v>
      </c>
      <c r="BA24" s="14" t="s">
        <v>99</v>
      </c>
      <c r="BB24" s="14">
        <v>1361.0</v>
      </c>
      <c r="BC24" s="14">
        <v>1373.0</v>
      </c>
      <c r="BD24" s="14" t="s">
        <v>99</v>
      </c>
      <c r="BE24" s="14" t="s">
        <v>6866</v>
      </c>
      <c r="BF24" s="15" t="str">
        <f>HYPERLINK("http://dx.doi.org/10.1007/s10531-008-9481-6","http://dx.doi.org/10.1007/s10531-008-9481-6")</f>
        <v>http://dx.doi.org/10.1007/s10531-008-9481-6</v>
      </c>
      <c r="BG24" s="14" t="s">
        <v>99</v>
      </c>
      <c r="BH24" s="14" t="s">
        <v>99</v>
      </c>
      <c r="BI24" s="14">
        <v>13.0</v>
      </c>
      <c r="BJ24" s="14" t="s">
        <v>351</v>
      </c>
      <c r="BK24" s="14" t="s">
        <v>122</v>
      </c>
      <c r="BL24" s="14" t="s">
        <v>352</v>
      </c>
      <c r="BM24" s="14" t="s">
        <v>6867</v>
      </c>
      <c r="BN24" s="14" t="s">
        <v>99</v>
      </c>
      <c r="BO24" s="14" t="s">
        <v>99</v>
      </c>
      <c r="BP24" s="14" t="s">
        <v>99</v>
      </c>
      <c r="BQ24" s="14" t="s">
        <v>99</v>
      </c>
      <c r="BR24" s="14" t="s">
        <v>124</v>
      </c>
      <c r="BS24" s="14" t="s">
        <v>6868</v>
      </c>
      <c r="BT24" s="14" t="str">
        <f>HYPERLINK("https%3A%2F%2Fwww.webofscience.com%2Fwos%2Fwoscc%2Ffull-record%2FWOS:000265939700017","View Full Record in Web of Science")</f>
        <v>View Full Record in Web of Science</v>
      </c>
    </row>
    <row r="25" ht="12.75" customHeight="1">
      <c r="A25" s="14" t="s">
        <v>97</v>
      </c>
      <c r="B25" s="14" t="s">
        <v>6908</v>
      </c>
      <c r="C25" s="14" t="s">
        <v>99</v>
      </c>
      <c r="D25" s="14" t="s">
        <v>99</v>
      </c>
      <c r="E25" s="14" t="s">
        <v>99</v>
      </c>
      <c r="F25" s="14" t="s">
        <v>6909</v>
      </c>
      <c r="G25" s="14" t="s">
        <v>99</v>
      </c>
      <c r="H25" s="14" t="s">
        <v>99</v>
      </c>
      <c r="I25" s="14" t="s">
        <v>6910</v>
      </c>
      <c r="J25" s="14" t="s">
        <v>6911</v>
      </c>
      <c r="K25" s="14" t="s">
        <v>99</v>
      </c>
      <c r="L25" s="14" t="s">
        <v>99</v>
      </c>
      <c r="M25" s="14" t="s">
        <v>103</v>
      </c>
      <c r="N25" s="14" t="s">
        <v>104</v>
      </c>
      <c r="O25" s="14" t="s">
        <v>99</v>
      </c>
      <c r="P25" s="14" t="s">
        <v>99</v>
      </c>
      <c r="Q25" s="14" t="s">
        <v>99</v>
      </c>
      <c r="R25" s="14" t="s">
        <v>99</v>
      </c>
      <c r="S25" s="14" t="s">
        <v>99</v>
      </c>
      <c r="T25" s="14" t="s">
        <v>6912</v>
      </c>
      <c r="U25" s="14" t="s">
        <v>6913</v>
      </c>
      <c r="V25" s="14" t="s">
        <v>6914</v>
      </c>
      <c r="W25" s="14" t="s">
        <v>6915</v>
      </c>
      <c r="X25" s="14" t="s">
        <v>6916</v>
      </c>
      <c r="Y25" s="14" t="s">
        <v>6917</v>
      </c>
      <c r="Z25" s="14" t="s">
        <v>6918</v>
      </c>
      <c r="AA25" s="14" t="s">
        <v>6919</v>
      </c>
      <c r="AB25" s="14" t="s">
        <v>6920</v>
      </c>
      <c r="AC25" s="14" t="s">
        <v>6921</v>
      </c>
      <c r="AD25" s="14" t="s">
        <v>6921</v>
      </c>
      <c r="AE25" s="14" t="s">
        <v>6922</v>
      </c>
      <c r="AF25" s="14" t="s">
        <v>99</v>
      </c>
      <c r="AG25" s="14">
        <v>25.0</v>
      </c>
      <c r="AH25" s="14">
        <v>35.0</v>
      </c>
      <c r="AI25" s="14">
        <v>38.0</v>
      </c>
      <c r="AJ25" s="14">
        <v>1.0</v>
      </c>
      <c r="AK25" s="14">
        <v>63.0</v>
      </c>
      <c r="AL25" s="14" t="s">
        <v>6923</v>
      </c>
      <c r="AM25" s="14" t="s">
        <v>6924</v>
      </c>
      <c r="AN25" s="14" t="s">
        <v>6925</v>
      </c>
      <c r="AO25" s="14" t="s">
        <v>6926</v>
      </c>
      <c r="AP25" s="14" t="s">
        <v>6927</v>
      </c>
      <c r="AQ25" s="14" t="s">
        <v>99</v>
      </c>
      <c r="AR25" s="14" t="s">
        <v>6928</v>
      </c>
      <c r="AS25" s="14" t="s">
        <v>6929</v>
      </c>
      <c r="AT25" s="14" t="s">
        <v>718</v>
      </c>
      <c r="AU25" s="14">
        <v>2009.0</v>
      </c>
      <c r="AV25" s="14">
        <v>39.0</v>
      </c>
      <c r="AW25" s="14">
        <v>1.0</v>
      </c>
      <c r="AX25" s="14" t="s">
        <v>99</v>
      </c>
      <c r="AY25" s="14" t="s">
        <v>99</v>
      </c>
      <c r="AZ25" s="14" t="s">
        <v>99</v>
      </c>
      <c r="BA25" s="14" t="s">
        <v>99</v>
      </c>
      <c r="BB25" s="14">
        <v>70.0</v>
      </c>
      <c r="BC25" s="14">
        <v>84.0</v>
      </c>
      <c r="BD25" s="14" t="s">
        <v>99</v>
      </c>
      <c r="BE25" s="14" t="s">
        <v>6930</v>
      </c>
      <c r="BF25" s="15" t="str">
        <f>HYPERLINK("http://dx.doi.org/10.3957/056.039.0108","http://dx.doi.org/10.3957/056.039.0108")</f>
        <v>http://dx.doi.org/10.3957/056.039.0108</v>
      </c>
      <c r="BG25" s="14" t="s">
        <v>99</v>
      </c>
      <c r="BH25" s="14" t="s">
        <v>99</v>
      </c>
      <c r="BI25" s="14">
        <v>15.0</v>
      </c>
      <c r="BJ25" s="14" t="s">
        <v>189</v>
      </c>
      <c r="BK25" s="14" t="s">
        <v>122</v>
      </c>
      <c r="BL25" s="14" t="s">
        <v>190</v>
      </c>
      <c r="BM25" s="14" t="s">
        <v>6931</v>
      </c>
      <c r="BN25" s="14" t="s">
        <v>99</v>
      </c>
      <c r="BO25" s="14" t="s">
        <v>99</v>
      </c>
      <c r="BP25" s="14" t="s">
        <v>99</v>
      </c>
      <c r="BQ25" s="14" t="s">
        <v>99</v>
      </c>
      <c r="BR25" s="14" t="s">
        <v>124</v>
      </c>
      <c r="BS25" s="14" t="s">
        <v>6932</v>
      </c>
      <c r="BT25" s="14" t="str">
        <f>HYPERLINK("https%3A%2F%2Fwww.webofscience.com%2Fwos%2Fwoscc%2Ffull-record%2FWOS:000269692700008","View Full Record in Web of Science")</f>
        <v>View Full Record in Web of Science</v>
      </c>
    </row>
    <row r="26" ht="12.75" customHeight="1">
      <c r="A26" s="14" t="s">
        <v>97</v>
      </c>
      <c r="B26" s="14" t="s">
        <v>7042</v>
      </c>
      <c r="C26" s="14" t="s">
        <v>99</v>
      </c>
      <c r="D26" s="14" t="s">
        <v>99</v>
      </c>
      <c r="E26" s="14" t="s">
        <v>99</v>
      </c>
      <c r="F26" s="14" t="s">
        <v>7043</v>
      </c>
      <c r="G26" s="14" t="s">
        <v>99</v>
      </c>
      <c r="H26" s="14" t="s">
        <v>99</v>
      </c>
      <c r="I26" s="14" t="s">
        <v>7044</v>
      </c>
      <c r="J26" s="14" t="s">
        <v>673</v>
      </c>
      <c r="K26" s="14" t="s">
        <v>99</v>
      </c>
      <c r="L26" s="14" t="s">
        <v>99</v>
      </c>
      <c r="M26" s="14" t="s">
        <v>103</v>
      </c>
      <c r="N26" s="14" t="s">
        <v>104</v>
      </c>
      <c r="O26" s="14" t="s">
        <v>99</v>
      </c>
      <c r="P26" s="14" t="s">
        <v>99</v>
      </c>
      <c r="Q26" s="14" t="s">
        <v>99</v>
      </c>
      <c r="R26" s="14" t="s">
        <v>99</v>
      </c>
      <c r="S26" s="14" t="s">
        <v>99</v>
      </c>
      <c r="T26" s="14" t="s">
        <v>99</v>
      </c>
      <c r="U26" s="14" t="s">
        <v>7045</v>
      </c>
      <c r="V26" s="14" t="s">
        <v>7046</v>
      </c>
      <c r="W26" s="14" t="s">
        <v>7047</v>
      </c>
      <c r="X26" s="14" t="s">
        <v>7048</v>
      </c>
      <c r="Y26" s="14" t="s">
        <v>7049</v>
      </c>
      <c r="Z26" s="14" t="s">
        <v>7050</v>
      </c>
      <c r="AA26" s="14" t="s">
        <v>7051</v>
      </c>
      <c r="AB26" s="14" t="s">
        <v>7052</v>
      </c>
      <c r="AC26" s="14" t="s">
        <v>7053</v>
      </c>
      <c r="AD26" s="14" t="s">
        <v>7053</v>
      </c>
      <c r="AE26" s="14" t="s">
        <v>7054</v>
      </c>
      <c r="AF26" s="14" t="s">
        <v>99</v>
      </c>
      <c r="AG26" s="14">
        <v>72.0</v>
      </c>
      <c r="AH26" s="14">
        <v>35.0</v>
      </c>
      <c r="AI26" s="14">
        <v>37.0</v>
      </c>
      <c r="AJ26" s="14">
        <v>0.0</v>
      </c>
      <c r="AK26" s="14">
        <v>48.0</v>
      </c>
      <c r="AL26" s="14" t="s">
        <v>685</v>
      </c>
      <c r="AM26" s="14" t="s">
        <v>686</v>
      </c>
      <c r="AN26" s="14" t="s">
        <v>687</v>
      </c>
      <c r="AO26" s="14" t="s">
        <v>688</v>
      </c>
      <c r="AP26" s="14" t="s">
        <v>99</v>
      </c>
      <c r="AQ26" s="14" t="s">
        <v>99</v>
      </c>
      <c r="AR26" s="14" t="s">
        <v>689</v>
      </c>
      <c r="AS26" s="14" t="s">
        <v>690</v>
      </c>
      <c r="AT26" s="14" t="s">
        <v>99</v>
      </c>
      <c r="AU26" s="14">
        <v>2009.0</v>
      </c>
      <c r="AV26" s="14">
        <v>2.0</v>
      </c>
      <c r="AW26" s="14">
        <v>1.0</v>
      </c>
      <c r="AX26" s="14" t="s">
        <v>99</v>
      </c>
      <c r="AY26" s="14" t="s">
        <v>99</v>
      </c>
      <c r="AZ26" s="14" t="s">
        <v>99</v>
      </c>
      <c r="BA26" s="14" t="s">
        <v>99</v>
      </c>
      <c r="BB26" s="14">
        <v>70.0</v>
      </c>
      <c r="BC26" s="14">
        <v>87.0</v>
      </c>
      <c r="BD26" s="14" t="s">
        <v>99</v>
      </c>
      <c r="BE26" s="14" t="s">
        <v>7055</v>
      </c>
      <c r="BF26" s="15" t="str">
        <f>HYPERLINK("http://dx.doi.org/10.1177/194008290900200108","http://dx.doi.org/10.1177/194008290900200108")</f>
        <v>http://dx.doi.org/10.1177/194008290900200108</v>
      </c>
      <c r="BG26" s="14" t="s">
        <v>99</v>
      </c>
      <c r="BH26" s="14" t="s">
        <v>99</v>
      </c>
      <c r="BI26" s="14">
        <v>18.0</v>
      </c>
      <c r="BJ26" s="14" t="s">
        <v>693</v>
      </c>
      <c r="BK26" s="14" t="s">
        <v>122</v>
      </c>
      <c r="BL26" s="14" t="s">
        <v>694</v>
      </c>
      <c r="BM26" s="14" t="s">
        <v>7056</v>
      </c>
      <c r="BN26" s="14" t="s">
        <v>99</v>
      </c>
      <c r="BO26" s="14" t="s">
        <v>99</v>
      </c>
      <c r="BP26" s="14" t="s">
        <v>99</v>
      </c>
      <c r="BQ26" s="14" t="s">
        <v>99</v>
      </c>
      <c r="BR26" s="14" t="s">
        <v>124</v>
      </c>
      <c r="BS26" s="14" t="s">
        <v>7057</v>
      </c>
      <c r="BT26" s="14" t="str">
        <f>HYPERLINK("https%3A%2F%2Fwww.webofscience.com%2Fwos%2Fwoscc%2Ffull-record%2FWOS:000208241500007","View Full Record in Web of Science")</f>
        <v>View Full Record in Web of Science</v>
      </c>
    </row>
    <row r="27" ht="12.75" customHeight="1">
      <c r="A27" s="14" t="s">
        <v>97</v>
      </c>
      <c r="B27" s="14" t="s">
        <v>7058</v>
      </c>
      <c r="C27" s="14" t="s">
        <v>99</v>
      </c>
      <c r="D27" s="14" t="s">
        <v>99</v>
      </c>
      <c r="E27" s="14" t="s">
        <v>99</v>
      </c>
      <c r="F27" s="14" t="s">
        <v>7059</v>
      </c>
      <c r="G27" s="14" t="s">
        <v>99</v>
      </c>
      <c r="H27" s="14" t="s">
        <v>99</v>
      </c>
      <c r="I27" s="14" t="s">
        <v>7060</v>
      </c>
      <c r="J27" s="14" t="s">
        <v>5708</v>
      </c>
      <c r="K27" s="14" t="s">
        <v>99</v>
      </c>
      <c r="L27" s="14" t="s">
        <v>99</v>
      </c>
      <c r="M27" s="14" t="s">
        <v>103</v>
      </c>
      <c r="N27" s="14" t="s">
        <v>104</v>
      </c>
      <c r="O27" s="14" t="s">
        <v>99</v>
      </c>
      <c r="P27" s="14" t="s">
        <v>99</v>
      </c>
      <c r="Q27" s="14" t="s">
        <v>99</v>
      </c>
      <c r="R27" s="14" t="s">
        <v>99</v>
      </c>
      <c r="S27" s="14" t="s">
        <v>99</v>
      </c>
      <c r="T27" s="14" t="s">
        <v>7061</v>
      </c>
      <c r="U27" s="14" t="s">
        <v>7062</v>
      </c>
      <c r="V27" s="14" t="s">
        <v>7063</v>
      </c>
      <c r="W27" s="14" t="s">
        <v>7064</v>
      </c>
      <c r="X27" s="14" t="s">
        <v>7065</v>
      </c>
      <c r="Y27" s="14" t="s">
        <v>7066</v>
      </c>
      <c r="Z27" s="14" t="s">
        <v>7067</v>
      </c>
      <c r="AA27" s="14" t="s">
        <v>7068</v>
      </c>
      <c r="AB27" s="14" t="s">
        <v>7069</v>
      </c>
      <c r="AC27" s="14" t="s">
        <v>7070</v>
      </c>
      <c r="AD27" s="14" t="s">
        <v>7071</v>
      </c>
      <c r="AE27" s="14" t="s">
        <v>7072</v>
      </c>
      <c r="AF27" s="14" t="s">
        <v>99</v>
      </c>
      <c r="AG27" s="14">
        <v>52.0</v>
      </c>
      <c r="AH27" s="14">
        <v>93.0</v>
      </c>
      <c r="AI27" s="14">
        <v>127.0</v>
      </c>
      <c r="AJ27" s="14">
        <v>1.0</v>
      </c>
      <c r="AK27" s="14">
        <v>59.0</v>
      </c>
      <c r="AL27" s="14" t="s">
        <v>341</v>
      </c>
      <c r="AM27" s="14" t="s">
        <v>342</v>
      </c>
      <c r="AN27" s="14" t="s">
        <v>343</v>
      </c>
      <c r="AO27" s="14" t="s">
        <v>5719</v>
      </c>
      <c r="AP27" s="14" t="s">
        <v>5720</v>
      </c>
      <c r="AQ27" s="14" t="s">
        <v>99</v>
      </c>
      <c r="AR27" s="14" t="s">
        <v>5721</v>
      </c>
      <c r="AS27" s="14" t="s">
        <v>5722</v>
      </c>
      <c r="AT27" s="14" t="s">
        <v>1058</v>
      </c>
      <c r="AU27" s="14">
        <v>2008.0</v>
      </c>
      <c r="AV27" s="14">
        <v>46.0</v>
      </c>
      <c r="AW27" s="14">
        <v>4.0</v>
      </c>
      <c r="AX27" s="14" t="s">
        <v>99</v>
      </c>
      <c r="AY27" s="14" t="s">
        <v>99</v>
      </c>
      <c r="AZ27" s="14" t="s">
        <v>99</v>
      </c>
      <c r="BA27" s="14" t="s">
        <v>99</v>
      </c>
      <c r="BB27" s="14">
        <v>479.0</v>
      </c>
      <c r="BC27" s="14">
        <v>487.0</v>
      </c>
      <c r="BD27" s="14" t="s">
        <v>99</v>
      </c>
      <c r="BE27" s="14" t="s">
        <v>7073</v>
      </c>
      <c r="BF27" s="15" t="str">
        <f>HYPERLINK("http://dx.doi.org/10.1111/j.1365-2028.2007.00881.x","http://dx.doi.org/10.1111/j.1365-2028.2007.00881.x")</f>
        <v>http://dx.doi.org/10.1111/j.1365-2028.2007.00881.x</v>
      </c>
      <c r="BG27" s="14" t="s">
        <v>99</v>
      </c>
      <c r="BH27" s="14" t="s">
        <v>99</v>
      </c>
      <c r="BI27" s="14">
        <v>9.0</v>
      </c>
      <c r="BJ27" s="14" t="s">
        <v>259</v>
      </c>
      <c r="BK27" s="14" t="s">
        <v>122</v>
      </c>
      <c r="BL27" s="14" t="s">
        <v>260</v>
      </c>
      <c r="BM27" s="14" t="s">
        <v>7074</v>
      </c>
      <c r="BN27" s="14" t="s">
        <v>99</v>
      </c>
      <c r="BO27" s="14" t="s">
        <v>99</v>
      </c>
      <c r="BP27" s="14" t="s">
        <v>99</v>
      </c>
      <c r="BQ27" s="14" t="s">
        <v>99</v>
      </c>
      <c r="BR27" s="14" t="s">
        <v>124</v>
      </c>
      <c r="BS27" s="14" t="s">
        <v>7075</v>
      </c>
      <c r="BT27" s="14" t="str">
        <f>HYPERLINK("https%3A%2F%2Fwww.webofscience.com%2Fwos%2Fwoscc%2Ffull-record%2FWOS:000261243500004","View Full Record in Web of Science")</f>
        <v>View Full Record in Web of Science</v>
      </c>
    </row>
    <row r="28" ht="12.75" customHeight="1">
      <c r="A28" s="14" t="s">
        <v>97</v>
      </c>
      <c r="B28" s="14" t="s">
        <v>7256</v>
      </c>
      <c r="C28" s="14" t="s">
        <v>99</v>
      </c>
      <c r="D28" s="14" t="s">
        <v>99</v>
      </c>
      <c r="E28" s="14" t="s">
        <v>99</v>
      </c>
      <c r="F28" s="14" t="s">
        <v>7257</v>
      </c>
      <c r="G28" s="14" t="s">
        <v>99</v>
      </c>
      <c r="H28" s="14" t="s">
        <v>99</v>
      </c>
      <c r="I28" s="14" t="s">
        <v>7258</v>
      </c>
      <c r="J28" s="14" t="s">
        <v>7259</v>
      </c>
      <c r="K28" s="14" t="s">
        <v>99</v>
      </c>
      <c r="L28" s="14" t="s">
        <v>99</v>
      </c>
      <c r="M28" s="14" t="s">
        <v>103</v>
      </c>
      <c r="N28" s="14" t="s">
        <v>104</v>
      </c>
      <c r="O28" s="14" t="s">
        <v>99</v>
      </c>
      <c r="P28" s="14" t="s">
        <v>99</v>
      </c>
      <c r="Q28" s="14" t="s">
        <v>99</v>
      </c>
      <c r="R28" s="14" t="s">
        <v>99</v>
      </c>
      <c r="S28" s="14" t="s">
        <v>99</v>
      </c>
      <c r="T28" s="14" t="s">
        <v>7260</v>
      </c>
      <c r="U28" s="14" t="s">
        <v>7261</v>
      </c>
      <c r="V28" s="14" t="s">
        <v>7262</v>
      </c>
      <c r="W28" s="14" t="s">
        <v>7263</v>
      </c>
      <c r="X28" s="14" t="s">
        <v>7264</v>
      </c>
      <c r="Y28" s="14" t="s">
        <v>7265</v>
      </c>
      <c r="Z28" s="14" t="s">
        <v>7266</v>
      </c>
      <c r="AA28" s="14" t="s">
        <v>7267</v>
      </c>
      <c r="AB28" s="14" t="s">
        <v>7268</v>
      </c>
      <c r="AC28" s="14" t="s">
        <v>7269</v>
      </c>
      <c r="AD28" s="14" t="s">
        <v>7270</v>
      </c>
      <c r="AE28" s="14" t="s">
        <v>7271</v>
      </c>
      <c r="AF28" s="14" t="s">
        <v>99</v>
      </c>
      <c r="AG28" s="14">
        <v>47.0</v>
      </c>
      <c r="AH28" s="14">
        <v>25.0</v>
      </c>
      <c r="AI28" s="14">
        <v>33.0</v>
      </c>
      <c r="AJ28" s="14">
        <v>1.0</v>
      </c>
      <c r="AK28" s="14">
        <v>62.0</v>
      </c>
      <c r="AL28" s="14" t="s">
        <v>2301</v>
      </c>
      <c r="AM28" s="14" t="s">
        <v>2302</v>
      </c>
      <c r="AN28" s="14" t="s">
        <v>2303</v>
      </c>
      <c r="AO28" s="14" t="s">
        <v>7272</v>
      </c>
      <c r="AP28" s="14" t="s">
        <v>7273</v>
      </c>
      <c r="AQ28" s="14" t="s">
        <v>99</v>
      </c>
      <c r="AR28" s="14" t="s">
        <v>7274</v>
      </c>
      <c r="AS28" s="14" t="s">
        <v>7275</v>
      </c>
      <c r="AT28" s="14" t="s">
        <v>2372</v>
      </c>
      <c r="AU28" s="14">
        <v>2008.0</v>
      </c>
      <c r="AV28" s="14">
        <v>53.0</v>
      </c>
      <c r="AW28" s="14">
        <v>4.0</v>
      </c>
      <c r="AX28" s="14" t="s">
        <v>99</v>
      </c>
      <c r="AY28" s="14" t="s">
        <v>99</v>
      </c>
      <c r="AZ28" s="14" t="s">
        <v>99</v>
      </c>
      <c r="BA28" s="14" t="s">
        <v>99</v>
      </c>
      <c r="BB28" s="14">
        <v>365.0</v>
      </c>
      <c r="BC28" s="14">
        <v>374.0</v>
      </c>
      <c r="BD28" s="14" t="s">
        <v>99</v>
      </c>
      <c r="BE28" s="14" t="s">
        <v>7276</v>
      </c>
      <c r="BF28" s="15" t="str">
        <f>HYPERLINK("http://dx.doi.org/10.1007/BF03195197","http://dx.doi.org/10.1007/BF03195197")</f>
        <v>http://dx.doi.org/10.1007/BF03195197</v>
      </c>
      <c r="BG28" s="14" t="s">
        <v>99</v>
      </c>
      <c r="BH28" s="14" t="s">
        <v>99</v>
      </c>
      <c r="BI28" s="14">
        <v>10.0</v>
      </c>
      <c r="BJ28" s="14" t="s">
        <v>121</v>
      </c>
      <c r="BK28" s="14" t="s">
        <v>122</v>
      </c>
      <c r="BL28" s="14" t="s">
        <v>121</v>
      </c>
      <c r="BM28" s="14" t="s">
        <v>7277</v>
      </c>
      <c r="BN28" s="14" t="s">
        <v>99</v>
      </c>
      <c r="BO28" s="14" t="s">
        <v>99</v>
      </c>
      <c r="BP28" s="14" t="s">
        <v>99</v>
      </c>
      <c r="BQ28" s="14" t="s">
        <v>99</v>
      </c>
      <c r="BR28" s="14" t="s">
        <v>124</v>
      </c>
      <c r="BS28" s="14" t="s">
        <v>7278</v>
      </c>
      <c r="BT28" s="14" t="str">
        <f>HYPERLINK("https%3A%2F%2Fwww.webofscience.com%2Fwos%2Fwoscc%2Ffull-record%2FWOS:000260556500005","View Full Record in Web of Science")</f>
        <v>View Full Record in Web of Science</v>
      </c>
    </row>
    <row r="29" ht="12.75" customHeight="1">
      <c r="A29" s="14" t="s">
        <v>97</v>
      </c>
      <c r="B29" s="14" t="s">
        <v>7332</v>
      </c>
      <c r="C29" s="14" t="s">
        <v>99</v>
      </c>
      <c r="D29" s="14" t="s">
        <v>99</v>
      </c>
      <c r="E29" s="14" t="s">
        <v>99</v>
      </c>
      <c r="F29" s="14" t="s">
        <v>7333</v>
      </c>
      <c r="G29" s="14" t="s">
        <v>99</v>
      </c>
      <c r="H29" s="14" t="s">
        <v>99</v>
      </c>
      <c r="I29" s="14" t="s">
        <v>7334</v>
      </c>
      <c r="J29" s="14" t="s">
        <v>7335</v>
      </c>
      <c r="K29" s="14" t="s">
        <v>99</v>
      </c>
      <c r="L29" s="14" t="s">
        <v>99</v>
      </c>
      <c r="M29" s="14" t="s">
        <v>103</v>
      </c>
      <c r="N29" s="14" t="s">
        <v>2284</v>
      </c>
      <c r="O29" s="14" t="s">
        <v>7336</v>
      </c>
      <c r="P29" s="14" t="s">
        <v>7337</v>
      </c>
      <c r="Q29" s="14" t="s">
        <v>7338</v>
      </c>
      <c r="R29" s="14" t="s">
        <v>7339</v>
      </c>
      <c r="S29" s="14" t="s">
        <v>99</v>
      </c>
      <c r="T29" s="14" t="s">
        <v>7340</v>
      </c>
      <c r="U29" s="14" t="s">
        <v>7341</v>
      </c>
      <c r="V29" s="14" t="s">
        <v>7342</v>
      </c>
      <c r="W29" s="14" t="s">
        <v>7343</v>
      </c>
      <c r="X29" s="14" t="s">
        <v>7344</v>
      </c>
      <c r="Y29" s="14" t="s">
        <v>7345</v>
      </c>
      <c r="Z29" s="14" t="s">
        <v>7346</v>
      </c>
      <c r="AA29" s="14" t="s">
        <v>7347</v>
      </c>
      <c r="AB29" s="14" t="s">
        <v>7348</v>
      </c>
      <c r="AC29" s="14" t="s">
        <v>7349</v>
      </c>
      <c r="AD29" s="14" t="s">
        <v>7350</v>
      </c>
      <c r="AE29" s="14" t="s">
        <v>99</v>
      </c>
      <c r="AF29" s="14" t="s">
        <v>99</v>
      </c>
      <c r="AG29" s="14">
        <v>61.0</v>
      </c>
      <c r="AH29" s="14">
        <v>60.0</v>
      </c>
      <c r="AI29" s="14">
        <v>70.0</v>
      </c>
      <c r="AJ29" s="14">
        <v>2.0</v>
      </c>
      <c r="AK29" s="14">
        <v>30.0</v>
      </c>
      <c r="AL29" s="14" t="s">
        <v>1731</v>
      </c>
      <c r="AM29" s="14" t="s">
        <v>1594</v>
      </c>
      <c r="AN29" s="14" t="s">
        <v>3585</v>
      </c>
      <c r="AO29" s="14" t="s">
        <v>7351</v>
      </c>
      <c r="AP29" s="14" t="s">
        <v>7352</v>
      </c>
      <c r="AQ29" s="14" t="s">
        <v>99</v>
      </c>
      <c r="AR29" s="14" t="s">
        <v>7353</v>
      </c>
      <c r="AS29" s="14" t="s">
        <v>7354</v>
      </c>
      <c r="AT29" s="14" t="s">
        <v>474</v>
      </c>
      <c r="AU29" s="14">
        <v>2008.0</v>
      </c>
      <c r="AV29" s="14">
        <v>29.0</v>
      </c>
      <c r="AW29" s="14">
        <v>4.0</v>
      </c>
      <c r="AX29" s="14" t="s">
        <v>99</v>
      </c>
      <c r="AY29" s="14" t="s">
        <v>99</v>
      </c>
      <c r="AZ29" s="14" t="s">
        <v>99</v>
      </c>
      <c r="BA29" s="14" t="s">
        <v>99</v>
      </c>
      <c r="BB29" s="14">
        <v>1065.0</v>
      </c>
      <c r="BC29" s="14">
        <v>1082.0</v>
      </c>
      <c r="BD29" s="14" t="s">
        <v>99</v>
      </c>
      <c r="BE29" s="14" t="s">
        <v>7355</v>
      </c>
      <c r="BF29" s="15" t="str">
        <f>HYPERLINK("http://dx.doi.org/10.1007/s10764-008-9254-9","http://dx.doi.org/10.1007/s10764-008-9254-9")</f>
        <v>http://dx.doi.org/10.1007/s10764-008-9254-9</v>
      </c>
      <c r="BG29" s="14" t="s">
        <v>99</v>
      </c>
      <c r="BH29" s="14" t="s">
        <v>99</v>
      </c>
      <c r="BI29" s="14">
        <v>18.0</v>
      </c>
      <c r="BJ29" s="14" t="s">
        <v>121</v>
      </c>
      <c r="BK29" s="14" t="s">
        <v>2311</v>
      </c>
      <c r="BL29" s="14" t="s">
        <v>121</v>
      </c>
      <c r="BM29" s="14" t="s">
        <v>7356</v>
      </c>
      <c r="BN29" s="14" t="s">
        <v>99</v>
      </c>
      <c r="BO29" s="14" t="s">
        <v>99</v>
      </c>
      <c r="BP29" s="14" t="s">
        <v>99</v>
      </c>
      <c r="BQ29" s="14" t="s">
        <v>99</v>
      </c>
      <c r="BR29" s="14" t="s">
        <v>124</v>
      </c>
      <c r="BS29" s="14" t="s">
        <v>7357</v>
      </c>
      <c r="BT29" s="14" t="str">
        <f>HYPERLINK("https%3A%2F%2Fwww.webofscience.com%2Fwos%2Fwoscc%2Ffull-record%2FWOS:000258959800015","View Full Record in Web of Science")</f>
        <v>View Full Record in Web of Science</v>
      </c>
    </row>
    <row r="30" ht="12.75" customHeight="1">
      <c r="A30" s="14" t="s">
        <v>97</v>
      </c>
      <c r="B30" s="14" t="s">
        <v>7523</v>
      </c>
      <c r="C30" s="14" t="s">
        <v>99</v>
      </c>
      <c r="D30" s="14" t="s">
        <v>99</v>
      </c>
      <c r="E30" s="14" t="s">
        <v>99</v>
      </c>
      <c r="F30" s="14" t="s">
        <v>7524</v>
      </c>
      <c r="G30" s="14" t="s">
        <v>99</v>
      </c>
      <c r="H30" s="14" t="s">
        <v>99</v>
      </c>
      <c r="I30" s="14" t="s">
        <v>7525</v>
      </c>
      <c r="J30" s="14" t="s">
        <v>1102</v>
      </c>
      <c r="K30" s="14" t="s">
        <v>99</v>
      </c>
      <c r="L30" s="14" t="s">
        <v>99</v>
      </c>
      <c r="M30" s="14" t="s">
        <v>103</v>
      </c>
      <c r="N30" s="14" t="s">
        <v>104</v>
      </c>
      <c r="O30" s="14" t="s">
        <v>99</v>
      </c>
      <c r="P30" s="14" t="s">
        <v>99</v>
      </c>
      <c r="Q30" s="14" t="s">
        <v>99</v>
      </c>
      <c r="R30" s="14" t="s">
        <v>99</v>
      </c>
      <c r="S30" s="14" t="s">
        <v>99</v>
      </c>
      <c r="T30" s="14" t="s">
        <v>7526</v>
      </c>
      <c r="U30" s="14" t="s">
        <v>7527</v>
      </c>
      <c r="V30" s="14" t="s">
        <v>7528</v>
      </c>
      <c r="W30" s="14" t="s">
        <v>7529</v>
      </c>
      <c r="X30" s="14" t="s">
        <v>7530</v>
      </c>
      <c r="Y30" s="14" t="s">
        <v>7531</v>
      </c>
      <c r="Z30" s="14" t="s">
        <v>7532</v>
      </c>
      <c r="AA30" s="14" t="s">
        <v>7533</v>
      </c>
      <c r="AB30" s="14" t="s">
        <v>7534</v>
      </c>
      <c r="AC30" s="14" t="s">
        <v>99</v>
      </c>
      <c r="AD30" s="14" t="s">
        <v>99</v>
      </c>
      <c r="AE30" s="14" t="s">
        <v>99</v>
      </c>
      <c r="AF30" s="14" t="s">
        <v>99</v>
      </c>
      <c r="AG30" s="14">
        <v>77.0</v>
      </c>
      <c r="AH30" s="14">
        <v>103.0</v>
      </c>
      <c r="AI30" s="14">
        <v>120.0</v>
      </c>
      <c r="AJ30" s="14">
        <v>0.0</v>
      </c>
      <c r="AK30" s="14">
        <v>66.0</v>
      </c>
      <c r="AL30" s="14" t="s">
        <v>493</v>
      </c>
      <c r="AM30" s="14" t="s">
        <v>468</v>
      </c>
      <c r="AN30" s="14" t="s">
        <v>635</v>
      </c>
      <c r="AO30" s="14" t="s">
        <v>1112</v>
      </c>
      <c r="AP30" s="14" t="s">
        <v>1113</v>
      </c>
      <c r="AQ30" s="14" t="s">
        <v>99</v>
      </c>
      <c r="AR30" s="14" t="s">
        <v>1114</v>
      </c>
      <c r="AS30" s="14" t="s">
        <v>1115</v>
      </c>
      <c r="AT30" s="14" t="s">
        <v>616</v>
      </c>
      <c r="AU30" s="14">
        <v>2008.0</v>
      </c>
      <c r="AV30" s="14">
        <v>141.0</v>
      </c>
      <c r="AW30" s="14">
        <v>6.0</v>
      </c>
      <c r="AX30" s="14" t="s">
        <v>99</v>
      </c>
      <c r="AY30" s="14" t="s">
        <v>99</v>
      </c>
      <c r="AZ30" s="14" t="s">
        <v>99</v>
      </c>
      <c r="BA30" s="14" t="s">
        <v>99</v>
      </c>
      <c r="BB30" s="14">
        <v>1536.0</v>
      </c>
      <c r="BC30" s="14">
        <v>1546.0</v>
      </c>
      <c r="BD30" s="14" t="s">
        <v>99</v>
      </c>
      <c r="BE30" s="14" t="s">
        <v>7535</v>
      </c>
      <c r="BF30" s="15" t="str">
        <f>HYPERLINK("http://dx.doi.org/10.1016/j.biocon.2008.03.020","http://dx.doi.org/10.1016/j.biocon.2008.03.020")</f>
        <v>http://dx.doi.org/10.1016/j.biocon.2008.03.020</v>
      </c>
      <c r="BG30" s="14" t="s">
        <v>99</v>
      </c>
      <c r="BH30" s="14" t="s">
        <v>99</v>
      </c>
      <c r="BI30" s="14">
        <v>11.0</v>
      </c>
      <c r="BJ30" s="14" t="s">
        <v>351</v>
      </c>
      <c r="BK30" s="14" t="s">
        <v>122</v>
      </c>
      <c r="BL30" s="14" t="s">
        <v>352</v>
      </c>
      <c r="BM30" s="14" t="s">
        <v>7536</v>
      </c>
      <c r="BN30" s="14" t="s">
        <v>99</v>
      </c>
      <c r="BO30" s="14" t="s">
        <v>99</v>
      </c>
      <c r="BP30" s="14" t="s">
        <v>99</v>
      </c>
      <c r="BQ30" s="14" t="s">
        <v>99</v>
      </c>
      <c r="BR30" s="14" t="s">
        <v>124</v>
      </c>
      <c r="BS30" s="14" t="s">
        <v>7537</v>
      </c>
      <c r="BT30" s="14" t="str">
        <f>HYPERLINK("https%3A%2F%2Fwww.webofscience.com%2Fwos%2Fwoscc%2Ffull-record%2FWOS:000257536100009","View Full Record in Web of Science")</f>
        <v>View Full Record in Web of Science</v>
      </c>
    </row>
    <row r="31" ht="12.75" customHeight="1">
      <c r="A31" s="14" t="s">
        <v>97</v>
      </c>
      <c r="B31" s="14" t="s">
        <v>7585</v>
      </c>
      <c r="C31" s="14" t="s">
        <v>99</v>
      </c>
      <c r="D31" s="14" t="s">
        <v>99</v>
      </c>
      <c r="E31" s="14" t="s">
        <v>99</v>
      </c>
      <c r="F31" s="14" t="s">
        <v>7586</v>
      </c>
      <c r="G31" s="14" t="s">
        <v>99</v>
      </c>
      <c r="H31" s="14" t="s">
        <v>99</v>
      </c>
      <c r="I31" s="14" t="s">
        <v>7587</v>
      </c>
      <c r="J31" s="14" t="s">
        <v>1721</v>
      </c>
      <c r="K31" s="14" t="s">
        <v>99</v>
      </c>
      <c r="L31" s="14" t="s">
        <v>99</v>
      </c>
      <c r="M31" s="14" t="s">
        <v>103</v>
      </c>
      <c r="N31" s="14" t="s">
        <v>104</v>
      </c>
      <c r="O31" s="14" t="s">
        <v>99</v>
      </c>
      <c r="P31" s="14" t="s">
        <v>99</v>
      </c>
      <c r="Q31" s="14" t="s">
        <v>99</v>
      </c>
      <c r="R31" s="14" t="s">
        <v>99</v>
      </c>
      <c r="S31" s="14" t="s">
        <v>99</v>
      </c>
      <c r="T31" s="14" t="s">
        <v>7588</v>
      </c>
      <c r="U31" s="14" t="s">
        <v>7589</v>
      </c>
      <c r="V31" s="14" t="s">
        <v>7590</v>
      </c>
      <c r="W31" s="14" t="s">
        <v>7591</v>
      </c>
      <c r="X31" s="14" t="s">
        <v>7592</v>
      </c>
      <c r="Y31" s="14" t="s">
        <v>7593</v>
      </c>
      <c r="Z31" s="14" t="s">
        <v>7594</v>
      </c>
      <c r="AA31" s="14" t="s">
        <v>7595</v>
      </c>
      <c r="AB31" s="14" t="s">
        <v>7596</v>
      </c>
      <c r="AC31" s="14" t="s">
        <v>99</v>
      </c>
      <c r="AD31" s="14" t="s">
        <v>99</v>
      </c>
      <c r="AE31" s="14" t="s">
        <v>99</v>
      </c>
      <c r="AF31" s="14" t="s">
        <v>99</v>
      </c>
      <c r="AG31" s="14">
        <v>14.0</v>
      </c>
      <c r="AH31" s="14">
        <v>32.0</v>
      </c>
      <c r="AI31" s="14">
        <v>35.0</v>
      </c>
      <c r="AJ31" s="14">
        <v>0.0</v>
      </c>
      <c r="AK31" s="14">
        <v>35.0</v>
      </c>
      <c r="AL31" s="14" t="s">
        <v>1731</v>
      </c>
      <c r="AM31" s="14" t="s">
        <v>1732</v>
      </c>
      <c r="AN31" s="14" t="s">
        <v>1733</v>
      </c>
      <c r="AO31" s="14" t="s">
        <v>1734</v>
      </c>
      <c r="AP31" s="14" t="s">
        <v>99</v>
      </c>
      <c r="AQ31" s="14" t="s">
        <v>99</v>
      </c>
      <c r="AR31" s="14" t="s">
        <v>1736</v>
      </c>
      <c r="AS31" s="14" t="s">
        <v>1737</v>
      </c>
      <c r="AT31" s="14" t="s">
        <v>640</v>
      </c>
      <c r="AU31" s="14">
        <v>2008.0</v>
      </c>
      <c r="AV31" s="14">
        <v>17.0</v>
      </c>
      <c r="AW31" s="14">
        <v>5.0</v>
      </c>
      <c r="AX31" s="14" t="s">
        <v>99</v>
      </c>
      <c r="AY31" s="14" t="s">
        <v>99</v>
      </c>
      <c r="AZ31" s="14" t="s">
        <v>99</v>
      </c>
      <c r="BA31" s="14" t="s">
        <v>99</v>
      </c>
      <c r="BB31" s="14">
        <v>1241.0</v>
      </c>
      <c r="BC31" s="14">
        <v>1249.0</v>
      </c>
      <c r="BD31" s="14" t="s">
        <v>99</v>
      </c>
      <c r="BE31" s="14" t="s">
        <v>7597</v>
      </c>
      <c r="BF31" s="15" t="str">
        <f>HYPERLINK("http://dx.doi.org/10.1007/s10531-007-9300-5","http://dx.doi.org/10.1007/s10531-007-9300-5")</f>
        <v>http://dx.doi.org/10.1007/s10531-007-9300-5</v>
      </c>
      <c r="BG31" s="14" t="s">
        <v>99</v>
      </c>
      <c r="BH31" s="14" t="s">
        <v>99</v>
      </c>
      <c r="BI31" s="14">
        <v>9.0</v>
      </c>
      <c r="BJ31" s="14" t="s">
        <v>351</v>
      </c>
      <c r="BK31" s="14" t="s">
        <v>122</v>
      </c>
      <c r="BL31" s="14" t="s">
        <v>352</v>
      </c>
      <c r="BM31" s="14" t="s">
        <v>7598</v>
      </c>
      <c r="BN31" s="14" t="s">
        <v>99</v>
      </c>
      <c r="BO31" s="14" t="s">
        <v>99</v>
      </c>
      <c r="BP31" s="14" t="s">
        <v>99</v>
      </c>
      <c r="BQ31" s="14" t="s">
        <v>99</v>
      </c>
      <c r="BR31" s="14" t="s">
        <v>124</v>
      </c>
      <c r="BS31" s="14" t="s">
        <v>7599</v>
      </c>
      <c r="BT31" s="14" t="str">
        <f>HYPERLINK("https%3A%2F%2Fwww.webofscience.com%2Fwos%2Fwoscc%2Ffull-record%2FWOS:000255998100017","View Full Record in Web of Science")</f>
        <v>View Full Record in Web of Science</v>
      </c>
    </row>
    <row r="32" ht="12.75" customHeight="1">
      <c r="A32" s="14" t="s">
        <v>97</v>
      </c>
      <c r="B32" s="14" t="s">
        <v>8031</v>
      </c>
      <c r="C32" s="14" t="s">
        <v>99</v>
      </c>
      <c r="D32" s="14" t="s">
        <v>99</v>
      </c>
      <c r="E32" s="14" t="s">
        <v>99</v>
      </c>
      <c r="F32" s="14" t="s">
        <v>8032</v>
      </c>
      <c r="G32" s="14" t="s">
        <v>99</v>
      </c>
      <c r="H32" s="14" t="s">
        <v>99</v>
      </c>
      <c r="I32" s="14" t="s">
        <v>8033</v>
      </c>
      <c r="J32" s="14" t="s">
        <v>6455</v>
      </c>
      <c r="K32" s="14" t="s">
        <v>99</v>
      </c>
      <c r="L32" s="14" t="s">
        <v>99</v>
      </c>
      <c r="M32" s="14" t="s">
        <v>103</v>
      </c>
      <c r="N32" s="14" t="s">
        <v>2284</v>
      </c>
      <c r="O32" s="14" t="s">
        <v>8034</v>
      </c>
      <c r="P32" s="14">
        <v>2005.0</v>
      </c>
      <c r="Q32" s="14" t="s">
        <v>8035</v>
      </c>
      <c r="R32" s="14" t="s">
        <v>8036</v>
      </c>
      <c r="S32" s="14" t="s">
        <v>99</v>
      </c>
      <c r="T32" s="14" t="s">
        <v>8037</v>
      </c>
      <c r="U32" s="14" t="s">
        <v>8038</v>
      </c>
      <c r="V32" s="14" t="s">
        <v>8039</v>
      </c>
      <c r="W32" s="14" t="s">
        <v>8040</v>
      </c>
      <c r="X32" s="14" t="s">
        <v>8041</v>
      </c>
      <c r="Y32" s="14" t="s">
        <v>10524</v>
      </c>
      <c r="Z32" s="14" t="s">
        <v>8043</v>
      </c>
      <c r="AA32" s="14" t="s">
        <v>8044</v>
      </c>
      <c r="AB32" s="14" t="s">
        <v>99</v>
      </c>
      <c r="AC32" s="14" t="s">
        <v>99</v>
      </c>
      <c r="AD32" s="14" t="s">
        <v>99</v>
      </c>
      <c r="AE32" s="14" t="s">
        <v>99</v>
      </c>
      <c r="AF32" s="14" t="s">
        <v>99</v>
      </c>
      <c r="AG32" s="14">
        <v>56.0</v>
      </c>
      <c r="AH32" s="14">
        <v>122.0</v>
      </c>
      <c r="AI32" s="14">
        <v>144.0</v>
      </c>
      <c r="AJ32" s="14">
        <v>1.0</v>
      </c>
      <c r="AK32" s="14">
        <v>69.0</v>
      </c>
      <c r="AL32" s="14" t="s">
        <v>341</v>
      </c>
      <c r="AM32" s="14" t="s">
        <v>342</v>
      </c>
      <c r="AN32" s="14" t="s">
        <v>343</v>
      </c>
      <c r="AO32" s="14" t="s">
        <v>6468</v>
      </c>
      <c r="AP32" s="14" t="s">
        <v>6469</v>
      </c>
      <c r="AQ32" s="14" t="s">
        <v>99</v>
      </c>
      <c r="AR32" s="14" t="s">
        <v>6455</v>
      </c>
      <c r="AS32" s="14" t="s">
        <v>6470</v>
      </c>
      <c r="AT32" s="14" t="s">
        <v>640</v>
      </c>
      <c r="AU32" s="14">
        <v>2007.0</v>
      </c>
      <c r="AV32" s="14">
        <v>39.0</v>
      </c>
      <c r="AW32" s="14">
        <v>3.0</v>
      </c>
      <c r="AX32" s="14" t="s">
        <v>99</v>
      </c>
      <c r="AY32" s="14" t="s">
        <v>99</v>
      </c>
      <c r="AZ32" s="14" t="s">
        <v>99</v>
      </c>
      <c r="BA32" s="14" t="s">
        <v>99</v>
      </c>
      <c r="BB32" s="14">
        <v>348.0</v>
      </c>
      <c r="BC32" s="14">
        <v>354.0</v>
      </c>
      <c r="BD32" s="14" t="s">
        <v>99</v>
      </c>
      <c r="BE32" s="14" t="s">
        <v>8045</v>
      </c>
      <c r="BF32" s="15" t="str">
        <f>HYPERLINK("http://dx.doi.org/10.1111/j.1744-7429.2007.00276.x","http://dx.doi.org/10.1111/j.1744-7429.2007.00276.x")</f>
        <v>http://dx.doi.org/10.1111/j.1744-7429.2007.00276.x</v>
      </c>
      <c r="BG32" s="14" t="s">
        <v>99</v>
      </c>
      <c r="BH32" s="14" t="s">
        <v>99</v>
      </c>
      <c r="BI32" s="14">
        <v>7.0</v>
      </c>
      <c r="BJ32" s="14" t="s">
        <v>259</v>
      </c>
      <c r="BK32" s="14" t="s">
        <v>2311</v>
      </c>
      <c r="BL32" s="14" t="s">
        <v>260</v>
      </c>
      <c r="BM32" s="14" t="s">
        <v>8046</v>
      </c>
      <c r="BN32" s="14" t="s">
        <v>99</v>
      </c>
      <c r="BO32" s="14" t="s">
        <v>99</v>
      </c>
      <c r="BP32" s="14" t="s">
        <v>99</v>
      </c>
      <c r="BQ32" s="14" t="s">
        <v>99</v>
      </c>
      <c r="BR32" s="14" t="s">
        <v>124</v>
      </c>
      <c r="BS32" s="14" t="s">
        <v>8047</v>
      </c>
      <c r="BT32" s="14" t="str">
        <f>HYPERLINK("https%3A%2F%2Fwww.webofscience.com%2Fwos%2Fwoscc%2Ffull-record%2FWOS:000245939300007","View Full Record in Web of Science")</f>
        <v>View Full Record in Web of Science</v>
      </c>
    </row>
    <row r="33" ht="12.75" customHeight="1">
      <c r="A33" s="14" t="s">
        <v>97</v>
      </c>
      <c r="B33" s="14" t="s">
        <v>8048</v>
      </c>
      <c r="C33" s="14" t="s">
        <v>99</v>
      </c>
      <c r="D33" s="14" t="s">
        <v>99</v>
      </c>
      <c r="E33" s="14" t="s">
        <v>99</v>
      </c>
      <c r="F33" s="14" t="s">
        <v>8049</v>
      </c>
      <c r="G33" s="14" t="s">
        <v>99</v>
      </c>
      <c r="H33" s="14" t="s">
        <v>99</v>
      </c>
      <c r="I33" s="14" t="s">
        <v>8050</v>
      </c>
      <c r="J33" s="14" t="s">
        <v>6455</v>
      </c>
      <c r="K33" s="14" t="s">
        <v>99</v>
      </c>
      <c r="L33" s="14" t="s">
        <v>99</v>
      </c>
      <c r="M33" s="14" t="s">
        <v>103</v>
      </c>
      <c r="N33" s="14" t="s">
        <v>2284</v>
      </c>
      <c r="O33" s="14" t="s">
        <v>8034</v>
      </c>
      <c r="P33" s="14">
        <v>2005.0</v>
      </c>
      <c r="Q33" s="14" t="s">
        <v>8035</v>
      </c>
      <c r="R33" s="14" t="s">
        <v>8036</v>
      </c>
      <c r="S33" s="14" t="s">
        <v>99</v>
      </c>
      <c r="T33" s="14" t="s">
        <v>8051</v>
      </c>
      <c r="U33" s="14" t="s">
        <v>8052</v>
      </c>
      <c r="V33" s="14" t="s">
        <v>8053</v>
      </c>
      <c r="W33" s="14" t="s">
        <v>8054</v>
      </c>
      <c r="X33" s="14" t="s">
        <v>8055</v>
      </c>
      <c r="Y33" s="14" t="s">
        <v>8056</v>
      </c>
      <c r="Z33" s="14" t="s">
        <v>8057</v>
      </c>
      <c r="AA33" s="14" t="s">
        <v>8058</v>
      </c>
      <c r="AB33" s="14" t="s">
        <v>99</v>
      </c>
      <c r="AC33" s="14" t="s">
        <v>99</v>
      </c>
      <c r="AD33" s="14" t="s">
        <v>99</v>
      </c>
      <c r="AE33" s="14" t="s">
        <v>99</v>
      </c>
      <c r="AF33" s="14" t="s">
        <v>99</v>
      </c>
      <c r="AG33" s="14">
        <v>62.0</v>
      </c>
      <c r="AH33" s="14">
        <v>83.0</v>
      </c>
      <c r="AI33" s="14">
        <v>100.0</v>
      </c>
      <c r="AJ33" s="14">
        <v>1.0</v>
      </c>
      <c r="AK33" s="14">
        <v>45.0</v>
      </c>
      <c r="AL33" s="14" t="s">
        <v>341</v>
      </c>
      <c r="AM33" s="14" t="s">
        <v>342</v>
      </c>
      <c r="AN33" s="14" t="s">
        <v>343</v>
      </c>
      <c r="AO33" s="14" t="s">
        <v>6468</v>
      </c>
      <c r="AP33" s="14" t="s">
        <v>6469</v>
      </c>
      <c r="AQ33" s="14" t="s">
        <v>99</v>
      </c>
      <c r="AR33" s="14" t="s">
        <v>6455</v>
      </c>
      <c r="AS33" s="14" t="s">
        <v>6470</v>
      </c>
      <c r="AT33" s="14" t="s">
        <v>640</v>
      </c>
      <c r="AU33" s="14">
        <v>2007.0</v>
      </c>
      <c r="AV33" s="14">
        <v>39.0</v>
      </c>
      <c r="AW33" s="14">
        <v>3.0</v>
      </c>
      <c r="AX33" s="14" t="s">
        <v>99</v>
      </c>
      <c r="AY33" s="14" t="s">
        <v>99</v>
      </c>
      <c r="AZ33" s="14" t="s">
        <v>99</v>
      </c>
      <c r="BA33" s="14" t="s">
        <v>99</v>
      </c>
      <c r="BB33" s="14">
        <v>340.0</v>
      </c>
      <c r="BC33" s="14">
        <v>347.0</v>
      </c>
      <c r="BD33" s="14" t="s">
        <v>99</v>
      </c>
      <c r="BE33" s="14" t="s">
        <v>8059</v>
      </c>
      <c r="BF33" s="15" t="str">
        <f>HYPERLINK("http://dx.doi.org/10.1111/j.1744-7429.2007.00275.x","http://dx.doi.org/10.1111/j.1744-7429.2007.00275.x")</f>
        <v>http://dx.doi.org/10.1111/j.1744-7429.2007.00275.x</v>
      </c>
      <c r="BG33" s="14" t="s">
        <v>99</v>
      </c>
      <c r="BH33" s="14" t="s">
        <v>99</v>
      </c>
      <c r="BI33" s="14">
        <v>8.0</v>
      </c>
      <c r="BJ33" s="14" t="s">
        <v>259</v>
      </c>
      <c r="BK33" s="14" t="s">
        <v>2311</v>
      </c>
      <c r="BL33" s="14" t="s">
        <v>260</v>
      </c>
      <c r="BM33" s="14" t="s">
        <v>8046</v>
      </c>
      <c r="BN33" s="14" t="s">
        <v>99</v>
      </c>
      <c r="BO33" s="14" t="s">
        <v>99</v>
      </c>
      <c r="BP33" s="14" t="s">
        <v>99</v>
      </c>
      <c r="BQ33" s="14" t="s">
        <v>99</v>
      </c>
      <c r="BR33" s="14" t="s">
        <v>124</v>
      </c>
      <c r="BS33" s="14" t="s">
        <v>8060</v>
      </c>
      <c r="BT33" s="14" t="str">
        <f>HYPERLINK("https%3A%2F%2Fwww.webofscience.com%2Fwos%2Fwoscc%2Ffull-record%2FWOS:000245939300006","View Full Record in Web of Science")</f>
        <v>View Full Record in Web of Science</v>
      </c>
    </row>
    <row r="34" ht="12.75" customHeight="1">
      <c r="A34" s="14" t="s">
        <v>97</v>
      </c>
      <c r="B34" s="14" t="s">
        <v>8061</v>
      </c>
      <c r="C34" s="14" t="s">
        <v>99</v>
      </c>
      <c r="D34" s="14" t="s">
        <v>99</v>
      </c>
      <c r="E34" s="14" t="s">
        <v>99</v>
      </c>
      <c r="F34" s="14" t="s">
        <v>8062</v>
      </c>
      <c r="G34" s="14" t="s">
        <v>99</v>
      </c>
      <c r="H34" s="14" t="s">
        <v>99</v>
      </c>
      <c r="I34" s="14" t="s">
        <v>8063</v>
      </c>
      <c r="J34" s="14" t="s">
        <v>7984</v>
      </c>
      <c r="K34" s="14" t="s">
        <v>99</v>
      </c>
      <c r="L34" s="14" t="s">
        <v>99</v>
      </c>
      <c r="M34" s="14" t="s">
        <v>103</v>
      </c>
      <c r="N34" s="14" t="s">
        <v>104</v>
      </c>
      <c r="O34" s="14" t="s">
        <v>99</v>
      </c>
      <c r="P34" s="14" t="s">
        <v>99</v>
      </c>
      <c r="Q34" s="14" t="s">
        <v>99</v>
      </c>
      <c r="R34" s="14" t="s">
        <v>99</v>
      </c>
      <c r="S34" s="14" t="s">
        <v>99</v>
      </c>
      <c r="T34" s="14" t="s">
        <v>99</v>
      </c>
      <c r="U34" s="14" t="s">
        <v>8064</v>
      </c>
      <c r="V34" s="14" t="s">
        <v>8065</v>
      </c>
      <c r="W34" s="14" t="s">
        <v>8066</v>
      </c>
      <c r="X34" s="14" t="s">
        <v>8067</v>
      </c>
      <c r="Y34" s="14" t="s">
        <v>8068</v>
      </c>
      <c r="Z34" s="14" t="s">
        <v>8069</v>
      </c>
      <c r="AA34" s="14" t="s">
        <v>8070</v>
      </c>
      <c r="AB34" s="14" t="s">
        <v>8071</v>
      </c>
      <c r="AC34" s="14" t="s">
        <v>99</v>
      </c>
      <c r="AD34" s="14" t="s">
        <v>99</v>
      </c>
      <c r="AE34" s="14" t="s">
        <v>99</v>
      </c>
      <c r="AF34" s="14" t="s">
        <v>99</v>
      </c>
      <c r="AG34" s="14">
        <v>45.0</v>
      </c>
      <c r="AH34" s="14">
        <v>134.0</v>
      </c>
      <c r="AI34" s="14">
        <v>157.0</v>
      </c>
      <c r="AJ34" s="14">
        <v>0.0</v>
      </c>
      <c r="AK34" s="14">
        <v>97.0</v>
      </c>
      <c r="AL34" s="14" t="s">
        <v>2512</v>
      </c>
      <c r="AM34" s="14" t="s">
        <v>2513</v>
      </c>
      <c r="AN34" s="14" t="s">
        <v>2514</v>
      </c>
      <c r="AO34" s="14" t="s">
        <v>7993</v>
      </c>
      <c r="AP34" s="14" t="s">
        <v>7994</v>
      </c>
      <c r="AQ34" s="14" t="s">
        <v>99</v>
      </c>
      <c r="AR34" s="14" t="s">
        <v>7995</v>
      </c>
      <c r="AS34" s="14" t="s">
        <v>7996</v>
      </c>
      <c r="AT34" s="14" t="s">
        <v>718</v>
      </c>
      <c r="AU34" s="14">
        <v>2007.0</v>
      </c>
      <c r="AV34" s="14">
        <v>5.0</v>
      </c>
      <c r="AW34" s="14">
        <v>4.0</v>
      </c>
      <c r="AX34" s="14" t="s">
        <v>99</v>
      </c>
      <c r="AY34" s="14" t="s">
        <v>99</v>
      </c>
      <c r="AZ34" s="14" t="s">
        <v>99</v>
      </c>
      <c r="BA34" s="14" t="s">
        <v>99</v>
      </c>
      <c r="BB34" s="14">
        <v>945.0</v>
      </c>
      <c r="BC34" s="14">
        <v>953.0</v>
      </c>
      <c r="BD34" s="14" t="s">
        <v>8072</v>
      </c>
      <c r="BE34" s="14" t="s">
        <v>8073</v>
      </c>
      <c r="BF34" s="15" t="str">
        <f>HYPERLINK("http://dx.doi.org/10.1371/journal.pbio.0050111","http://dx.doi.org/10.1371/journal.pbio.0050111")</f>
        <v>http://dx.doi.org/10.1371/journal.pbio.0050111</v>
      </c>
      <c r="BG34" s="14" t="s">
        <v>99</v>
      </c>
      <c r="BH34" s="14" t="s">
        <v>99</v>
      </c>
      <c r="BI34" s="14">
        <v>9.0</v>
      </c>
      <c r="BJ34" s="14" t="s">
        <v>7999</v>
      </c>
      <c r="BK34" s="14" t="s">
        <v>122</v>
      </c>
      <c r="BL34" s="14" t="s">
        <v>8000</v>
      </c>
      <c r="BM34" s="14" t="s">
        <v>8074</v>
      </c>
      <c r="BN34" s="14">
        <v>1.7407383E7</v>
      </c>
      <c r="BO34" s="14" t="s">
        <v>3652</v>
      </c>
      <c r="BP34" s="14" t="s">
        <v>99</v>
      </c>
      <c r="BQ34" s="14" t="s">
        <v>99</v>
      </c>
      <c r="BR34" s="14" t="s">
        <v>124</v>
      </c>
      <c r="BS34" s="14" t="s">
        <v>8075</v>
      </c>
      <c r="BT34" s="14" t="str">
        <f>HYPERLINK("https%3A%2F%2Fwww.webofscience.com%2Fwos%2Fwoscc%2Ffull-record%2FWOS:000245901500025","View Full Record in Web of Science")</f>
        <v>View Full Record in Web of Science</v>
      </c>
    </row>
    <row r="35" ht="12.75" customHeight="1">
      <c r="A35" s="14" t="s">
        <v>97</v>
      </c>
      <c r="B35" s="14" t="s">
        <v>8142</v>
      </c>
      <c r="C35" s="14" t="s">
        <v>99</v>
      </c>
      <c r="D35" s="14" t="s">
        <v>99</v>
      </c>
      <c r="E35" s="14" t="s">
        <v>99</v>
      </c>
      <c r="F35" s="14" t="s">
        <v>8143</v>
      </c>
      <c r="G35" s="14" t="s">
        <v>99</v>
      </c>
      <c r="H35" s="14" t="s">
        <v>99</v>
      </c>
      <c r="I35" s="14" t="s">
        <v>8144</v>
      </c>
      <c r="J35" s="14" t="s">
        <v>1721</v>
      </c>
      <c r="K35" s="14" t="s">
        <v>99</v>
      </c>
      <c r="L35" s="14" t="s">
        <v>99</v>
      </c>
      <c r="M35" s="14" t="s">
        <v>103</v>
      </c>
      <c r="N35" s="14" t="s">
        <v>104</v>
      </c>
      <c r="O35" s="14" t="s">
        <v>99</v>
      </c>
      <c r="P35" s="14" t="s">
        <v>99</v>
      </c>
      <c r="Q35" s="14" t="s">
        <v>99</v>
      </c>
      <c r="R35" s="14" t="s">
        <v>99</v>
      </c>
      <c r="S35" s="14" t="s">
        <v>99</v>
      </c>
      <c r="T35" s="14" t="s">
        <v>8145</v>
      </c>
      <c r="U35" s="14" t="s">
        <v>8146</v>
      </c>
      <c r="V35" s="14" t="s">
        <v>8147</v>
      </c>
      <c r="W35" s="14" t="s">
        <v>8148</v>
      </c>
      <c r="X35" s="14" t="s">
        <v>8149</v>
      </c>
      <c r="Y35" s="14" t="s">
        <v>8150</v>
      </c>
      <c r="Z35" s="14" t="s">
        <v>8151</v>
      </c>
      <c r="AA35" s="14" t="s">
        <v>8152</v>
      </c>
      <c r="AB35" s="14" t="s">
        <v>8153</v>
      </c>
      <c r="AC35" s="14" t="s">
        <v>99</v>
      </c>
      <c r="AD35" s="14" t="s">
        <v>99</v>
      </c>
      <c r="AE35" s="14" t="s">
        <v>99</v>
      </c>
      <c r="AF35" s="14" t="s">
        <v>99</v>
      </c>
      <c r="AG35" s="14">
        <v>45.0</v>
      </c>
      <c r="AH35" s="14">
        <v>69.0</v>
      </c>
      <c r="AI35" s="14">
        <v>114.0</v>
      </c>
      <c r="AJ35" s="14">
        <v>0.0</v>
      </c>
      <c r="AK35" s="14">
        <v>35.0</v>
      </c>
      <c r="AL35" s="14" t="s">
        <v>1731</v>
      </c>
      <c r="AM35" s="14" t="s">
        <v>1732</v>
      </c>
      <c r="AN35" s="14" t="s">
        <v>1733</v>
      </c>
      <c r="AO35" s="14" t="s">
        <v>1734</v>
      </c>
      <c r="AP35" s="14" t="s">
        <v>1735</v>
      </c>
      <c r="AQ35" s="14" t="s">
        <v>99</v>
      </c>
      <c r="AR35" s="14" t="s">
        <v>1736</v>
      </c>
      <c r="AS35" s="14" t="s">
        <v>1737</v>
      </c>
      <c r="AT35" s="14" t="s">
        <v>1485</v>
      </c>
      <c r="AU35" s="14">
        <v>2007.0</v>
      </c>
      <c r="AV35" s="14">
        <v>16.0</v>
      </c>
      <c r="AW35" s="14">
        <v>3.0</v>
      </c>
      <c r="AX35" s="14" t="s">
        <v>99</v>
      </c>
      <c r="AY35" s="14" t="s">
        <v>99</v>
      </c>
      <c r="AZ35" s="14" t="s">
        <v>99</v>
      </c>
      <c r="BA35" s="14" t="s">
        <v>99</v>
      </c>
      <c r="BB35" s="14">
        <v>743.0</v>
      </c>
      <c r="BC35" s="14">
        <v>756.0</v>
      </c>
      <c r="BD35" s="14" t="s">
        <v>99</v>
      </c>
      <c r="BE35" s="14" t="s">
        <v>8154</v>
      </c>
      <c r="BF35" s="15" t="str">
        <f>HYPERLINK("http://dx.doi.org/10.1007/s10531-005-6198-7","http://dx.doi.org/10.1007/s10531-005-6198-7")</f>
        <v>http://dx.doi.org/10.1007/s10531-005-6198-7</v>
      </c>
      <c r="BG35" s="14" t="s">
        <v>99</v>
      </c>
      <c r="BH35" s="14" t="s">
        <v>99</v>
      </c>
      <c r="BI35" s="14">
        <v>14.0</v>
      </c>
      <c r="BJ35" s="14" t="s">
        <v>351</v>
      </c>
      <c r="BK35" s="14" t="s">
        <v>122</v>
      </c>
      <c r="BL35" s="14" t="s">
        <v>352</v>
      </c>
      <c r="BM35" s="14" t="s">
        <v>8155</v>
      </c>
      <c r="BN35" s="14" t="s">
        <v>99</v>
      </c>
      <c r="BO35" s="14" t="s">
        <v>99</v>
      </c>
      <c r="BP35" s="14" t="s">
        <v>99</v>
      </c>
      <c r="BQ35" s="14" t="s">
        <v>99</v>
      </c>
      <c r="BR35" s="14" t="s">
        <v>124</v>
      </c>
      <c r="BS35" s="14" t="s">
        <v>8156</v>
      </c>
      <c r="BT35" s="14" t="str">
        <f>HYPERLINK("https%3A%2F%2Fwww.webofscience.com%2Fwos%2Fwoscc%2Ffull-record%2FWOS:000244684700011","View Full Record in Web of Science")</f>
        <v>View Full Record in Web of Science</v>
      </c>
    </row>
    <row r="36" ht="12.75" customHeight="1">
      <c r="A36" s="14" t="s">
        <v>97</v>
      </c>
      <c r="B36" s="14" t="s">
        <v>8407</v>
      </c>
      <c r="C36" s="14" t="s">
        <v>99</v>
      </c>
      <c r="D36" s="14" t="s">
        <v>99</v>
      </c>
      <c r="E36" s="14" t="s">
        <v>99</v>
      </c>
      <c r="F36" s="14" t="s">
        <v>8408</v>
      </c>
      <c r="G36" s="14" t="s">
        <v>99</v>
      </c>
      <c r="H36" s="14" t="s">
        <v>99</v>
      </c>
      <c r="I36" s="14" t="s">
        <v>8409</v>
      </c>
      <c r="J36" s="14" t="s">
        <v>2142</v>
      </c>
      <c r="K36" s="14" t="s">
        <v>99</v>
      </c>
      <c r="L36" s="14" t="s">
        <v>99</v>
      </c>
      <c r="M36" s="14" t="s">
        <v>103</v>
      </c>
      <c r="N36" s="14" t="s">
        <v>104</v>
      </c>
      <c r="O36" s="14" t="s">
        <v>99</v>
      </c>
      <c r="P36" s="14" t="s">
        <v>99</v>
      </c>
      <c r="Q36" s="14" t="s">
        <v>99</v>
      </c>
      <c r="R36" s="14" t="s">
        <v>99</v>
      </c>
      <c r="S36" s="14" t="s">
        <v>99</v>
      </c>
      <c r="T36" s="14" t="s">
        <v>8410</v>
      </c>
      <c r="U36" s="14" t="s">
        <v>8411</v>
      </c>
      <c r="V36" s="14" t="s">
        <v>8412</v>
      </c>
      <c r="W36" s="14" t="s">
        <v>8413</v>
      </c>
      <c r="X36" s="14" t="s">
        <v>8414</v>
      </c>
      <c r="Y36" s="14" t="s">
        <v>8415</v>
      </c>
      <c r="Z36" s="14" t="s">
        <v>8416</v>
      </c>
      <c r="AA36" s="14" t="s">
        <v>8417</v>
      </c>
      <c r="AB36" s="14" t="s">
        <v>8418</v>
      </c>
      <c r="AC36" s="14" t="s">
        <v>99</v>
      </c>
      <c r="AD36" s="14" t="s">
        <v>99</v>
      </c>
      <c r="AE36" s="14" t="s">
        <v>99</v>
      </c>
      <c r="AF36" s="14" t="s">
        <v>99</v>
      </c>
      <c r="AG36" s="14">
        <v>59.0</v>
      </c>
      <c r="AH36" s="14">
        <v>286.0</v>
      </c>
      <c r="AI36" s="14">
        <v>343.0</v>
      </c>
      <c r="AJ36" s="14">
        <v>1.0</v>
      </c>
      <c r="AK36" s="14">
        <v>251.0</v>
      </c>
      <c r="AL36" s="14" t="s">
        <v>341</v>
      </c>
      <c r="AM36" s="14" t="s">
        <v>342</v>
      </c>
      <c r="AN36" s="14" t="s">
        <v>343</v>
      </c>
      <c r="AO36" s="14" t="s">
        <v>2155</v>
      </c>
      <c r="AP36" s="14" t="s">
        <v>2156</v>
      </c>
      <c r="AQ36" s="14" t="s">
        <v>99</v>
      </c>
      <c r="AR36" s="14" t="s">
        <v>2157</v>
      </c>
      <c r="AS36" s="14" t="s">
        <v>2158</v>
      </c>
      <c r="AT36" s="14" t="s">
        <v>474</v>
      </c>
      <c r="AU36" s="14">
        <v>2006.0</v>
      </c>
      <c r="AV36" s="14">
        <v>20.0</v>
      </c>
      <c r="AW36" s="14">
        <v>4.0</v>
      </c>
      <c r="AX36" s="14" t="s">
        <v>99</v>
      </c>
      <c r="AY36" s="14" t="s">
        <v>99</v>
      </c>
      <c r="AZ36" s="14" t="s">
        <v>99</v>
      </c>
      <c r="BA36" s="14" t="s">
        <v>99</v>
      </c>
      <c r="BB36" s="14">
        <v>1251.0</v>
      </c>
      <c r="BC36" s="14">
        <v>1261.0</v>
      </c>
      <c r="BD36" s="14" t="s">
        <v>99</v>
      </c>
      <c r="BE36" s="14" t="s">
        <v>8419</v>
      </c>
      <c r="BF36" s="15" t="str">
        <f>HYPERLINK("http://dx.doi.org/10.1111/j.1523-1739.2006.00420.x","http://dx.doi.org/10.1111/j.1523-1739.2006.00420.x")</f>
        <v>http://dx.doi.org/10.1111/j.1523-1739.2006.00420.x</v>
      </c>
      <c r="BG36" s="14" t="s">
        <v>99</v>
      </c>
      <c r="BH36" s="14" t="s">
        <v>99</v>
      </c>
      <c r="BI36" s="14">
        <v>11.0</v>
      </c>
      <c r="BJ36" s="14" t="s">
        <v>351</v>
      </c>
      <c r="BK36" s="14" t="s">
        <v>122</v>
      </c>
      <c r="BL36" s="14" t="s">
        <v>352</v>
      </c>
      <c r="BM36" s="14" t="s">
        <v>8420</v>
      </c>
      <c r="BN36" s="14">
        <v>1.6922241E7</v>
      </c>
      <c r="BO36" s="14" t="s">
        <v>99</v>
      </c>
      <c r="BP36" s="14" t="s">
        <v>99</v>
      </c>
      <c r="BQ36" s="14" t="s">
        <v>99</v>
      </c>
      <c r="BR36" s="14" t="s">
        <v>124</v>
      </c>
      <c r="BS36" s="14" t="s">
        <v>8421</v>
      </c>
      <c r="BT36" s="14" t="str">
        <f>HYPERLINK("https%3A%2F%2Fwww.webofscience.com%2Fwos%2Fwoscc%2Ffull-record%2FWOS:000239545500036","View Full Record in Web of Science")</f>
        <v>View Full Record in Web of Science</v>
      </c>
    </row>
    <row r="37" ht="12.75" customHeight="1">
      <c r="A37" s="14" t="s">
        <v>97</v>
      </c>
      <c r="B37" s="14" t="s">
        <v>8451</v>
      </c>
      <c r="C37" s="14" t="s">
        <v>99</v>
      </c>
      <c r="D37" s="14" t="s">
        <v>99</v>
      </c>
      <c r="E37" s="14" t="s">
        <v>99</v>
      </c>
      <c r="F37" s="14" t="s">
        <v>8452</v>
      </c>
      <c r="G37" s="14" t="s">
        <v>99</v>
      </c>
      <c r="H37" s="14" t="s">
        <v>99</v>
      </c>
      <c r="I37" s="14" t="s">
        <v>8453</v>
      </c>
      <c r="J37" s="14" t="s">
        <v>1721</v>
      </c>
      <c r="K37" s="14" t="s">
        <v>99</v>
      </c>
      <c r="L37" s="14" t="s">
        <v>99</v>
      </c>
      <c r="M37" s="14" t="s">
        <v>103</v>
      </c>
      <c r="N37" s="14" t="s">
        <v>104</v>
      </c>
      <c r="O37" s="14" t="s">
        <v>99</v>
      </c>
      <c r="P37" s="14" t="s">
        <v>99</v>
      </c>
      <c r="Q37" s="14" t="s">
        <v>99</v>
      </c>
      <c r="R37" s="14" t="s">
        <v>99</v>
      </c>
      <c r="S37" s="14" t="s">
        <v>99</v>
      </c>
      <c r="T37" s="14" t="s">
        <v>8454</v>
      </c>
      <c r="U37" s="14" t="s">
        <v>8455</v>
      </c>
      <c r="V37" s="14" t="s">
        <v>8456</v>
      </c>
      <c r="W37" s="14" t="s">
        <v>8457</v>
      </c>
      <c r="X37" s="14" t="s">
        <v>5733</v>
      </c>
      <c r="Y37" s="14" t="s">
        <v>8458</v>
      </c>
      <c r="Z37" s="14" t="s">
        <v>8459</v>
      </c>
      <c r="AA37" s="14" t="s">
        <v>8460</v>
      </c>
      <c r="AB37" s="14" t="s">
        <v>8461</v>
      </c>
      <c r="AC37" s="14" t="s">
        <v>99</v>
      </c>
      <c r="AD37" s="14" t="s">
        <v>99</v>
      </c>
      <c r="AE37" s="14" t="s">
        <v>99</v>
      </c>
      <c r="AF37" s="14" t="s">
        <v>99</v>
      </c>
      <c r="AG37" s="14">
        <v>51.0</v>
      </c>
      <c r="AH37" s="14">
        <v>109.0</v>
      </c>
      <c r="AI37" s="14">
        <v>134.0</v>
      </c>
      <c r="AJ37" s="14">
        <v>1.0</v>
      </c>
      <c r="AK37" s="14">
        <v>71.0</v>
      </c>
      <c r="AL37" s="14" t="s">
        <v>1731</v>
      </c>
      <c r="AM37" s="14" t="s">
        <v>1732</v>
      </c>
      <c r="AN37" s="14" t="s">
        <v>1733</v>
      </c>
      <c r="AO37" s="14" t="s">
        <v>1734</v>
      </c>
      <c r="AP37" s="14" t="s">
        <v>1735</v>
      </c>
      <c r="AQ37" s="14" t="s">
        <v>99</v>
      </c>
      <c r="AR37" s="14" t="s">
        <v>1736</v>
      </c>
      <c r="AS37" s="14" t="s">
        <v>1737</v>
      </c>
      <c r="AT37" s="14" t="s">
        <v>525</v>
      </c>
      <c r="AU37" s="14">
        <v>2006.0</v>
      </c>
      <c r="AV37" s="14">
        <v>15.0</v>
      </c>
      <c r="AW37" s="14">
        <v>8.0</v>
      </c>
      <c r="AX37" s="14" t="s">
        <v>99</v>
      </c>
      <c r="AY37" s="14" t="s">
        <v>99</v>
      </c>
      <c r="AZ37" s="14" t="s">
        <v>99</v>
      </c>
      <c r="BA37" s="14" t="s">
        <v>99</v>
      </c>
      <c r="BB37" s="14">
        <v>2627.0</v>
      </c>
      <c r="BC37" s="14">
        <v>2653.0</v>
      </c>
      <c r="BD37" s="14" t="s">
        <v>99</v>
      </c>
      <c r="BE37" s="14" t="s">
        <v>8462</v>
      </c>
      <c r="BF37" s="15" t="str">
        <f>HYPERLINK("http://dx.doi.org/10.1007/s10531-005-5406-9","http://dx.doi.org/10.1007/s10531-005-5406-9")</f>
        <v>http://dx.doi.org/10.1007/s10531-005-5406-9</v>
      </c>
      <c r="BG37" s="14" t="s">
        <v>99</v>
      </c>
      <c r="BH37" s="14" t="s">
        <v>99</v>
      </c>
      <c r="BI37" s="14">
        <v>27.0</v>
      </c>
      <c r="BJ37" s="14" t="s">
        <v>351</v>
      </c>
      <c r="BK37" s="14" t="s">
        <v>122</v>
      </c>
      <c r="BL37" s="14" t="s">
        <v>352</v>
      </c>
      <c r="BM37" s="14" t="s">
        <v>8463</v>
      </c>
      <c r="BN37" s="14" t="s">
        <v>99</v>
      </c>
      <c r="BO37" s="14" t="s">
        <v>99</v>
      </c>
      <c r="BP37" s="14" t="s">
        <v>99</v>
      </c>
      <c r="BQ37" s="14" t="s">
        <v>99</v>
      </c>
      <c r="BR37" s="14" t="s">
        <v>124</v>
      </c>
      <c r="BS37" s="14" t="s">
        <v>8464</v>
      </c>
      <c r="BT37" s="14" t="str">
        <f>HYPERLINK("https%3A%2F%2Fwww.webofscience.com%2Fwos%2Fwoscc%2Ffull-record%2FWOS:000241168900016","View Full Record in Web of Science")</f>
        <v>View Full Record in Web of Science</v>
      </c>
    </row>
    <row r="38" ht="12.75" customHeight="1">
      <c r="A38" s="14" t="s">
        <v>97</v>
      </c>
      <c r="B38" s="14" t="s">
        <v>8483</v>
      </c>
      <c r="C38" s="14" t="s">
        <v>99</v>
      </c>
      <c r="D38" s="14" t="s">
        <v>99</v>
      </c>
      <c r="E38" s="14" t="s">
        <v>99</v>
      </c>
      <c r="F38" s="14" t="s">
        <v>8484</v>
      </c>
      <c r="G38" s="14" t="s">
        <v>99</v>
      </c>
      <c r="H38" s="14" t="s">
        <v>99</v>
      </c>
      <c r="I38" s="14" t="s">
        <v>8485</v>
      </c>
      <c r="J38" s="14" t="s">
        <v>5708</v>
      </c>
      <c r="K38" s="14" t="s">
        <v>99</v>
      </c>
      <c r="L38" s="14" t="s">
        <v>99</v>
      </c>
      <c r="M38" s="14" t="s">
        <v>103</v>
      </c>
      <c r="N38" s="14" t="s">
        <v>104</v>
      </c>
      <c r="O38" s="14" t="s">
        <v>99</v>
      </c>
      <c r="P38" s="14" t="s">
        <v>99</v>
      </c>
      <c r="Q38" s="14" t="s">
        <v>99</v>
      </c>
      <c r="R38" s="14" t="s">
        <v>99</v>
      </c>
      <c r="S38" s="14" t="s">
        <v>99</v>
      </c>
      <c r="T38" s="14" t="s">
        <v>8486</v>
      </c>
      <c r="U38" s="14" t="s">
        <v>8487</v>
      </c>
      <c r="V38" s="14" t="s">
        <v>8488</v>
      </c>
      <c r="W38" s="14" t="s">
        <v>8489</v>
      </c>
      <c r="X38" s="14" t="s">
        <v>8490</v>
      </c>
      <c r="Y38" s="14" t="s">
        <v>8491</v>
      </c>
      <c r="Z38" s="14" t="s">
        <v>8492</v>
      </c>
      <c r="AA38" s="14" t="s">
        <v>99</v>
      </c>
      <c r="AB38" s="14" t="s">
        <v>99</v>
      </c>
      <c r="AC38" s="14" t="s">
        <v>99</v>
      </c>
      <c r="AD38" s="14" t="s">
        <v>99</v>
      </c>
      <c r="AE38" s="14" t="s">
        <v>99</v>
      </c>
      <c r="AF38" s="14" t="s">
        <v>99</v>
      </c>
      <c r="AG38" s="14">
        <v>37.0</v>
      </c>
      <c r="AH38" s="14">
        <v>26.0</v>
      </c>
      <c r="AI38" s="14">
        <v>34.0</v>
      </c>
      <c r="AJ38" s="14">
        <v>0.0</v>
      </c>
      <c r="AK38" s="14">
        <v>20.0</v>
      </c>
      <c r="AL38" s="14" t="s">
        <v>341</v>
      </c>
      <c r="AM38" s="14" t="s">
        <v>342</v>
      </c>
      <c r="AN38" s="14" t="s">
        <v>343</v>
      </c>
      <c r="AO38" s="14" t="s">
        <v>5719</v>
      </c>
      <c r="AP38" s="14" t="s">
        <v>5720</v>
      </c>
      <c r="AQ38" s="14" t="s">
        <v>99</v>
      </c>
      <c r="AR38" s="14" t="s">
        <v>5721</v>
      </c>
      <c r="AS38" s="14" t="s">
        <v>5722</v>
      </c>
      <c r="AT38" s="14" t="s">
        <v>616</v>
      </c>
      <c r="AU38" s="14">
        <v>2006.0</v>
      </c>
      <c r="AV38" s="14">
        <v>44.0</v>
      </c>
      <c r="AW38" s="14">
        <v>2.0</v>
      </c>
      <c r="AX38" s="14" t="s">
        <v>99</v>
      </c>
      <c r="AY38" s="14" t="s">
        <v>99</v>
      </c>
      <c r="AZ38" s="14" t="s">
        <v>99</v>
      </c>
      <c r="BA38" s="14" t="s">
        <v>99</v>
      </c>
      <c r="BB38" s="14">
        <v>209.0</v>
      </c>
      <c r="BC38" s="14">
        <v>218.0</v>
      </c>
      <c r="BD38" s="14" t="s">
        <v>99</v>
      </c>
      <c r="BE38" s="14" t="s">
        <v>8493</v>
      </c>
      <c r="BF38" s="15" t="str">
        <f>HYPERLINK("http://dx.doi.org/10.1111/j.1365-2028.2006.00629.x","http://dx.doi.org/10.1111/j.1365-2028.2006.00629.x")</f>
        <v>http://dx.doi.org/10.1111/j.1365-2028.2006.00629.x</v>
      </c>
      <c r="BG38" s="14" t="s">
        <v>99</v>
      </c>
      <c r="BH38" s="14" t="s">
        <v>99</v>
      </c>
      <c r="BI38" s="14">
        <v>10.0</v>
      </c>
      <c r="BJ38" s="14" t="s">
        <v>259</v>
      </c>
      <c r="BK38" s="14" t="s">
        <v>122</v>
      </c>
      <c r="BL38" s="14" t="s">
        <v>260</v>
      </c>
      <c r="BM38" s="14" t="s">
        <v>8494</v>
      </c>
      <c r="BN38" s="14" t="s">
        <v>99</v>
      </c>
      <c r="BO38" s="14" t="s">
        <v>99</v>
      </c>
      <c r="BP38" s="14" t="s">
        <v>99</v>
      </c>
      <c r="BQ38" s="14" t="s">
        <v>99</v>
      </c>
      <c r="BR38" s="14" t="s">
        <v>124</v>
      </c>
      <c r="BS38" s="14" t="s">
        <v>8495</v>
      </c>
      <c r="BT38" s="14" t="str">
        <f>HYPERLINK("https%3A%2F%2Fwww.webofscience.com%2Fwos%2Fwoscc%2Ffull-record%2FWOS:000237691500011","View Full Record in Web of Science")</f>
        <v>View Full Record in Web of Science</v>
      </c>
    </row>
    <row r="39" ht="12.75" customHeight="1">
      <c r="A39" s="14" t="s">
        <v>97</v>
      </c>
      <c r="B39" s="14" t="s">
        <v>8496</v>
      </c>
      <c r="C39" s="14" t="s">
        <v>99</v>
      </c>
      <c r="D39" s="14" t="s">
        <v>99</v>
      </c>
      <c r="E39" s="14" t="s">
        <v>99</v>
      </c>
      <c r="F39" s="14" t="s">
        <v>8497</v>
      </c>
      <c r="G39" s="14" t="s">
        <v>99</v>
      </c>
      <c r="H39" s="14" t="s">
        <v>99</v>
      </c>
      <c r="I39" s="14" t="s">
        <v>8498</v>
      </c>
      <c r="J39" s="14" t="s">
        <v>1102</v>
      </c>
      <c r="K39" s="14" t="s">
        <v>99</v>
      </c>
      <c r="L39" s="14" t="s">
        <v>99</v>
      </c>
      <c r="M39" s="14" t="s">
        <v>103</v>
      </c>
      <c r="N39" s="14" t="s">
        <v>104</v>
      </c>
      <c r="O39" s="14" t="s">
        <v>99</v>
      </c>
      <c r="P39" s="14" t="s">
        <v>99</v>
      </c>
      <c r="Q39" s="14" t="s">
        <v>99</v>
      </c>
      <c r="R39" s="14" t="s">
        <v>99</v>
      </c>
      <c r="S39" s="14" t="s">
        <v>99</v>
      </c>
      <c r="T39" s="14" t="s">
        <v>8499</v>
      </c>
      <c r="U39" s="14" t="s">
        <v>8500</v>
      </c>
      <c r="V39" s="14" t="s">
        <v>8501</v>
      </c>
      <c r="W39" s="14" t="s">
        <v>8502</v>
      </c>
      <c r="X39" s="14" t="s">
        <v>8503</v>
      </c>
      <c r="Y39" s="14" t="s">
        <v>8504</v>
      </c>
      <c r="Z39" s="14" t="s">
        <v>8505</v>
      </c>
      <c r="AA39" s="14" t="s">
        <v>8506</v>
      </c>
      <c r="AB39" s="14" t="s">
        <v>8507</v>
      </c>
      <c r="AC39" s="14" t="s">
        <v>99</v>
      </c>
      <c r="AD39" s="14" t="s">
        <v>99</v>
      </c>
      <c r="AE39" s="14" t="s">
        <v>99</v>
      </c>
      <c r="AF39" s="14" t="s">
        <v>99</v>
      </c>
      <c r="AG39" s="14">
        <v>48.0</v>
      </c>
      <c r="AH39" s="14">
        <v>88.0</v>
      </c>
      <c r="AI39" s="14">
        <v>99.0</v>
      </c>
      <c r="AJ39" s="14">
        <v>2.0</v>
      </c>
      <c r="AK39" s="14">
        <v>77.0</v>
      </c>
      <c r="AL39" s="14" t="s">
        <v>493</v>
      </c>
      <c r="AM39" s="14" t="s">
        <v>468</v>
      </c>
      <c r="AN39" s="14" t="s">
        <v>635</v>
      </c>
      <c r="AO39" s="14" t="s">
        <v>1112</v>
      </c>
      <c r="AP39" s="14" t="s">
        <v>1113</v>
      </c>
      <c r="AQ39" s="14" t="s">
        <v>99</v>
      </c>
      <c r="AR39" s="14" t="s">
        <v>1114</v>
      </c>
      <c r="AS39" s="14" t="s">
        <v>1115</v>
      </c>
      <c r="AT39" s="14" t="s">
        <v>640</v>
      </c>
      <c r="AU39" s="14">
        <v>2006.0</v>
      </c>
      <c r="AV39" s="14">
        <v>129.0</v>
      </c>
      <c r="AW39" s="14">
        <v>4.0</v>
      </c>
      <c r="AX39" s="14" t="s">
        <v>99</v>
      </c>
      <c r="AY39" s="14" t="s">
        <v>99</v>
      </c>
      <c r="AZ39" s="14" t="s">
        <v>99</v>
      </c>
      <c r="BA39" s="14" t="s">
        <v>99</v>
      </c>
      <c r="BB39" s="14">
        <v>566.0</v>
      </c>
      <c r="BC39" s="14">
        <v>578.0</v>
      </c>
      <c r="BD39" s="14" t="s">
        <v>99</v>
      </c>
      <c r="BE39" s="14" t="s">
        <v>8508</v>
      </c>
      <c r="BF39" s="15" t="str">
        <f>HYPERLINK("http://dx.doi.org/10.1016/j.biocon.2005.11.025","http://dx.doi.org/10.1016/j.biocon.2005.11.025")</f>
        <v>http://dx.doi.org/10.1016/j.biocon.2005.11.025</v>
      </c>
      <c r="BG39" s="14" t="s">
        <v>99</v>
      </c>
      <c r="BH39" s="14" t="s">
        <v>99</v>
      </c>
      <c r="BI39" s="14">
        <v>13.0</v>
      </c>
      <c r="BJ39" s="14" t="s">
        <v>351</v>
      </c>
      <c r="BK39" s="14" t="s">
        <v>122</v>
      </c>
      <c r="BL39" s="14" t="s">
        <v>352</v>
      </c>
      <c r="BM39" s="14" t="s">
        <v>8509</v>
      </c>
      <c r="BN39" s="14" t="s">
        <v>99</v>
      </c>
      <c r="BO39" s="14" t="s">
        <v>99</v>
      </c>
      <c r="BP39" s="14" t="s">
        <v>99</v>
      </c>
      <c r="BQ39" s="14" t="s">
        <v>99</v>
      </c>
      <c r="BR39" s="14" t="s">
        <v>124</v>
      </c>
      <c r="BS39" s="14" t="s">
        <v>8510</v>
      </c>
      <c r="BT39" s="14" t="str">
        <f>HYPERLINK("https%3A%2F%2Fwww.webofscience.com%2Fwos%2Fwoscc%2Ffull-record%2FWOS:000237878900014","View Full Record in Web of Science")</f>
        <v>View Full Record in Web of Science</v>
      </c>
    </row>
    <row r="40" ht="12.75" customHeight="1">
      <c r="A40" s="14" t="s">
        <v>97</v>
      </c>
      <c r="B40" s="14" t="s">
        <v>8551</v>
      </c>
      <c r="C40" s="14" t="s">
        <v>99</v>
      </c>
      <c r="D40" s="14" t="s">
        <v>99</v>
      </c>
      <c r="E40" s="14" t="s">
        <v>99</v>
      </c>
      <c r="F40" s="14" t="s">
        <v>8551</v>
      </c>
      <c r="G40" s="14" t="s">
        <v>99</v>
      </c>
      <c r="H40" s="14" t="s">
        <v>99</v>
      </c>
      <c r="I40" s="14" t="s">
        <v>8552</v>
      </c>
      <c r="J40" s="14" t="s">
        <v>1102</v>
      </c>
      <c r="K40" s="14" t="s">
        <v>99</v>
      </c>
      <c r="L40" s="14" t="s">
        <v>99</v>
      </c>
      <c r="M40" s="14" t="s">
        <v>103</v>
      </c>
      <c r="N40" s="14" t="s">
        <v>104</v>
      </c>
      <c r="O40" s="14" t="s">
        <v>99</v>
      </c>
      <c r="P40" s="14" t="s">
        <v>99</v>
      </c>
      <c r="Q40" s="14" t="s">
        <v>99</v>
      </c>
      <c r="R40" s="14" t="s">
        <v>99</v>
      </c>
      <c r="S40" s="14" t="s">
        <v>99</v>
      </c>
      <c r="T40" s="14" t="s">
        <v>8553</v>
      </c>
      <c r="U40" s="14" t="s">
        <v>8554</v>
      </c>
      <c r="V40" s="14" t="s">
        <v>8555</v>
      </c>
      <c r="W40" s="14" t="s">
        <v>8556</v>
      </c>
      <c r="X40" s="14" t="s">
        <v>8557</v>
      </c>
      <c r="Y40" s="14" t="s">
        <v>8558</v>
      </c>
      <c r="Z40" s="14" t="s">
        <v>8559</v>
      </c>
      <c r="AA40" s="14" t="s">
        <v>8560</v>
      </c>
      <c r="AB40" s="14" t="s">
        <v>8561</v>
      </c>
      <c r="AC40" s="14" t="s">
        <v>99</v>
      </c>
      <c r="AD40" s="14" t="s">
        <v>99</v>
      </c>
      <c r="AE40" s="14" t="s">
        <v>99</v>
      </c>
      <c r="AF40" s="14" t="s">
        <v>99</v>
      </c>
      <c r="AG40" s="14">
        <v>45.0</v>
      </c>
      <c r="AH40" s="14">
        <v>75.0</v>
      </c>
      <c r="AI40" s="14">
        <v>87.0</v>
      </c>
      <c r="AJ40" s="14">
        <v>0.0</v>
      </c>
      <c r="AK40" s="14">
        <v>48.0</v>
      </c>
      <c r="AL40" s="14" t="s">
        <v>493</v>
      </c>
      <c r="AM40" s="14" t="s">
        <v>494</v>
      </c>
      <c r="AN40" s="14" t="s">
        <v>495</v>
      </c>
      <c r="AO40" s="14" t="s">
        <v>1112</v>
      </c>
      <c r="AP40" s="14" t="s">
        <v>1113</v>
      </c>
      <c r="AQ40" s="14" t="s">
        <v>99</v>
      </c>
      <c r="AR40" s="14" t="s">
        <v>1114</v>
      </c>
      <c r="AS40" s="14" t="s">
        <v>1115</v>
      </c>
      <c r="AT40" s="14" t="s">
        <v>718</v>
      </c>
      <c r="AU40" s="14">
        <v>2006.0</v>
      </c>
      <c r="AV40" s="14">
        <v>128.0</v>
      </c>
      <c r="AW40" s="14">
        <v>4.0</v>
      </c>
      <c r="AX40" s="14" t="s">
        <v>99</v>
      </c>
      <c r="AY40" s="14" t="s">
        <v>99</v>
      </c>
      <c r="AZ40" s="14" t="s">
        <v>99</v>
      </c>
      <c r="BA40" s="14" t="s">
        <v>99</v>
      </c>
      <c r="BB40" s="14">
        <v>509.0</v>
      </c>
      <c r="BC40" s="14">
        <v>516.0</v>
      </c>
      <c r="BD40" s="14" t="s">
        <v>99</v>
      </c>
      <c r="BE40" s="14" t="s">
        <v>8562</v>
      </c>
      <c r="BF40" s="15" t="str">
        <f>HYPERLINK("http://dx.doi.org/10.1016/j.biocon.2005.10.017","http://dx.doi.org/10.1016/j.biocon.2005.10.017")</f>
        <v>http://dx.doi.org/10.1016/j.biocon.2005.10.017</v>
      </c>
      <c r="BG40" s="14" t="s">
        <v>99</v>
      </c>
      <c r="BH40" s="14" t="s">
        <v>99</v>
      </c>
      <c r="BI40" s="14">
        <v>8.0</v>
      </c>
      <c r="BJ40" s="14" t="s">
        <v>351</v>
      </c>
      <c r="BK40" s="14" t="s">
        <v>122</v>
      </c>
      <c r="BL40" s="14" t="s">
        <v>352</v>
      </c>
      <c r="BM40" s="14" t="s">
        <v>8563</v>
      </c>
      <c r="BN40" s="14" t="s">
        <v>99</v>
      </c>
      <c r="BO40" s="14" t="s">
        <v>99</v>
      </c>
      <c r="BP40" s="14" t="s">
        <v>99</v>
      </c>
      <c r="BQ40" s="14" t="s">
        <v>99</v>
      </c>
      <c r="BR40" s="14" t="s">
        <v>124</v>
      </c>
      <c r="BS40" s="14" t="s">
        <v>8564</v>
      </c>
      <c r="BT40" s="14" t="str">
        <f>HYPERLINK("https%3A%2F%2Fwww.webofscience.com%2Fwos%2Fwoscc%2Ffull-record%2FWOS:000236100800009","View Full Record in Web of Science")</f>
        <v>View Full Record in Web of Science</v>
      </c>
    </row>
    <row r="41" ht="12.75" customHeight="1">
      <c r="A41" s="14" t="s">
        <v>97</v>
      </c>
      <c r="B41" s="14" t="s">
        <v>8687</v>
      </c>
      <c r="C41" s="14" t="s">
        <v>99</v>
      </c>
      <c r="D41" s="14" t="s">
        <v>99</v>
      </c>
      <c r="E41" s="14" t="s">
        <v>99</v>
      </c>
      <c r="F41" s="14" t="s">
        <v>8687</v>
      </c>
      <c r="G41" s="14" t="s">
        <v>99</v>
      </c>
      <c r="H41" s="14" t="s">
        <v>99</v>
      </c>
      <c r="I41" s="14" t="s">
        <v>8688</v>
      </c>
      <c r="J41" s="14" t="s">
        <v>1102</v>
      </c>
      <c r="K41" s="14" t="s">
        <v>99</v>
      </c>
      <c r="L41" s="14" t="s">
        <v>99</v>
      </c>
      <c r="M41" s="14" t="s">
        <v>103</v>
      </c>
      <c r="N41" s="14" t="s">
        <v>104</v>
      </c>
      <c r="O41" s="14" t="s">
        <v>99</v>
      </c>
      <c r="P41" s="14" t="s">
        <v>99</v>
      </c>
      <c r="Q41" s="14" t="s">
        <v>99</v>
      </c>
      <c r="R41" s="14" t="s">
        <v>99</v>
      </c>
      <c r="S41" s="14" t="s">
        <v>99</v>
      </c>
      <c r="T41" s="14" t="s">
        <v>8689</v>
      </c>
      <c r="U41" s="14" t="s">
        <v>8690</v>
      </c>
      <c r="V41" s="14" t="s">
        <v>8691</v>
      </c>
      <c r="W41" s="14" t="s">
        <v>8692</v>
      </c>
      <c r="X41" s="14" t="s">
        <v>8693</v>
      </c>
      <c r="Y41" s="14" t="s">
        <v>8694</v>
      </c>
      <c r="Z41" s="14" t="s">
        <v>8695</v>
      </c>
      <c r="AA41" s="14" t="s">
        <v>99</v>
      </c>
      <c r="AB41" s="14" t="s">
        <v>99</v>
      </c>
      <c r="AC41" s="14" t="s">
        <v>99</v>
      </c>
      <c r="AD41" s="14" t="s">
        <v>99</v>
      </c>
      <c r="AE41" s="14" t="s">
        <v>99</v>
      </c>
      <c r="AF41" s="14" t="s">
        <v>99</v>
      </c>
      <c r="AG41" s="14">
        <v>65.0</v>
      </c>
      <c r="AH41" s="14">
        <v>50.0</v>
      </c>
      <c r="AI41" s="14">
        <v>62.0</v>
      </c>
      <c r="AJ41" s="14">
        <v>0.0</v>
      </c>
      <c r="AK41" s="14">
        <v>32.0</v>
      </c>
      <c r="AL41" s="14" t="s">
        <v>493</v>
      </c>
      <c r="AM41" s="14" t="s">
        <v>494</v>
      </c>
      <c r="AN41" s="14" t="s">
        <v>495</v>
      </c>
      <c r="AO41" s="14" t="s">
        <v>1112</v>
      </c>
      <c r="AP41" s="14" t="s">
        <v>1113</v>
      </c>
      <c r="AQ41" s="14" t="s">
        <v>99</v>
      </c>
      <c r="AR41" s="14" t="s">
        <v>1114</v>
      </c>
      <c r="AS41" s="14" t="s">
        <v>1115</v>
      </c>
      <c r="AT41" s="14" t="s">
        <v>1058</v>
      </c>
      <c r="AU41" s="14">
        <v>2005.0</v>
      </c>
      <c r="AV41" s="14">
        <v>126.0</v>
      </c>
      <c r="AW41" s="14">
        <v>3.0</v>
      </c>
      <c r="AX41" s="14" t="s">
        <v>99</v>
      </c>
      <c r="AY41" s="14" t="s">
        <v>99</v>
      </c>
      <c r="AZ41" s="14" t="s">
        <v>99</v>
      </c>
      <c r="BA41" s="14" t="s">
        <v>99</v>
      </c>
      <c r="BB41" s="14">
        <v>351.0</v>
      </c>
      <c r="BC41" s="14">
        <v>362.0</v>
      </c>
      <c r="BD41" s="14" t="s">
        <v>99</v>
      </c>
      <c r="BE41" s="14" t="s">
        <v>8696</v>
      </c>
      <c r="BF41" s="15" t="str">
        <f>HYPERLINK("http://dx.doi.org/10.1016/j.biocon.2005.06.024","http://dx.doi.org/10.1016/j.biocon.2005.06.024")</f>
        <v>http://dx.doi.org/10.1016/j.biocon.2005.06.024</v>
      </c>
      <c r="BG41" s="14" t="s">
        <v>99</v>
      </c>
      <c r="BH41" s="14" t="s">
        <v>99</v>
      </c>
      <c r="BI41" s="14">
        <v>12.0</v>
      </c>
      <c r="BJ41" s="14" t="s">
        <v>351</v>
      </c>
      <c r="BK41" s="14" t="s">
        <v>122</v>
      </c>
      <c r="BL41" s="14" t="s">
        <v>352</v>
      </c>
      <c r="BM41" s="14" t="s">
        <v>8697</v>
      </c>
      <c r="BN41" s="14" t="s">
        <v>99</v>
      </c>
      <c r="BO41" s="14" t="s">
        <v>99</v>
      </c>
      <c r="BP41" s="14" t="s">
        <v>99</v>
      </c>
      <c r="BQ41" s="14" t="s">
        <v>99</v>
      </c>
      <c r="BR41" s="14" t="s">
        <v>124</v>
      </c>
      <c r="BS41" s="14" t="s">
        <v>8698</v>
      </c>
      <c r="BT41" s="14" t="str">
        <f>HYPERLINK("https%3A%2F%2Fwww.webofscience.com%2Fwos%2Fwoscc%2Ffull-record%2FWOS:000232993900006","View Full Record in Web of Science")</f>
        <v>View Full Record in Web of Science</v>
      </c>
    </row>
    <row r="42" ht="12.75" customHeight="1">
      <c r="A42" s="14" t="s">
        <v>97</v>
      </c>
      <c r="B42" s="14" t="s">
        <v>8767</v>
      </c>
      <c r="C42" s="14" t="s">
        <v>99</v>
      </c>
      <c r="D42" s="14" t="s">
        <v>99</v>
      </c>
      <c r="E42" s="14" t="s">
        <v>99</v>
      </c>
      <c r="F42" s="14" t="s">
        <v>8767</v>
      </c>
      <c r="G42" s="14" t="s">
        <v>99</v>
      </c>
      <c r="H42" s="14" t="s">
        <v>99</v>
      </c>
      <c r="I42" s="14" t="s">
        <v>8768</v>
      </c>
      <c r="J42" s="14" t="s">
        <v>1580</v>
      </c>
      <c r="K42" s="14" t="s">
        <v>99</v>
      </c>
      <c r="L42" s="14" t="s">
        <v>99</v>
      </c>
      <c r="M42" s="14" t="s">
        <v>103</v>
      </c>
      <c r="N42" s="14" t="s">
        <v>104</v>
      </c>
      <c r="O42" s="14" t="s">
        <v>99</v>
      </c>
      <c r="P42" s="14" t="s">
        <v>99</v>
      </c>
      <c r="Q42" s="14" t="s">
        <v>99</v>
      </c>
      <c r="R42" s="14" t="s">
        <v>99</v>
      </c>
      <c r="S42" s="14" t="s">
        <v>99</v>
      </c>
      <c r="T42" s="14" t="s">
        <v>8769</v>
      </c>
      <c r="U42" s="14" t="s">
        <v>8770</v>
      </c>
      <c r="V42" s="14" t="s">
        <v>8771</v>
      </c>
      <c r="W42" s="14" t="s">
        <v>8772</v>
      </c>
      <c r="X42" s="14" t="s">
        <v>8220</v>
      </c>
      <c r="Y42" s="14" t="s">
        <v>8773</v>
      </c>
      <c r="Z42" s="14" t="s">
        <v>8774</v>
      </c>
      <c r="AA42" s="14" t="s">
        <v>99</v>
      </c>
      <c r="AB42" s="14" t="s">
        <v>8775</v>
      </c>
      <c r="AC42" s="14" t="s">
        <v>99</v>
      </c>
      <c r="AD42" s="14" t="s">
        <v>99</v>
      </c>
      <c r="AE42" s="14" t="s">
        <v>99</v>
      </c>
      <c r="AF42" s="14" t="s">
        <v>99</v>
      </c>
      <c r="AG42" s="14">
        <v>37.0</v>
      </c>
      <c r="AH42" s="14">
        <v>54.0</v>
      </c>
      <c r="AI42" s="14">
        <v>63.0</v>
      </c>
      <c r="AJ42" s="14">
        <v>0.0</v>
      </c>
      <c r="AK42" s="14">
        <v>43.0</v>
      </c>
      <c r="AL42" s="14" t="s">
        <v>1593</v>
      </c>
      <c r="AM42" s="14" t="s">
        <v>1594</v>
      </c>
      <c r="AN42" s="14" t="s">
        <v>8776</v>
      </c>
      <c r="AO42" s="14" t="s">
        <v>1596</v>
      </c>
      <c r="AP42" s="14" t="s">
        <v>99</v>
      </c>
      <c r="AQ42" s="14" t="s">
        <v>99</v>
      </c>
      <c r="AR42" s="14" t="s">
        <v>1580</v>
      </c>
      <c r="AS42" s="14" t="s">
        <v>1598</v>
      </c>
      <c r="AT42" s="14" t="s">
        <v>2372</v>
      </c>
      <c r="AU42" s="14">
        <v>2005.0</v>
      </c>
      <c r="AV42" s="14">
        <v>39.0</v>
      </c>
      <c r="AW42" s="14">
        <v>4.0</v>
      </c>
      <c r="AX42" s="14" t="s">
        <v>99</v>
      </c>
      <c r="AY42" s="14" t="s">
        <v>99</v>
      </c>
      <c r="AZ42" s="14" t="s">
        <v>99</v>
      </c>
      <c r="BA42" s="14" t="s">
        <v>99</v>
      </c>
      <c r="BB42" s="14">
        <v>381.0</v>
      </c>
      <c r="BC42" s="14">
        <v>388.0</v>
      </c>
      <c r="BD42" s="14" t="s">
        <v>99</v>
      </c>
      <c r="BE42" s="14" t="s">
        <v>8777</v>
      </c>
      <c r="BF42" s="15" t="str">
        <f>HYPERLINK("http://dx.doi.org/10.1017/S0030605305001080","http://dx.doi.org/10.1017/S0030605305001080")</f>
        <v>http://dx.doi.org/10.1017/S0030605305001080</v>
      </c>
      <c r="BG42" s="14" t="s">
        <v>99</v>
      </c>
      <c r="BH42" s="14" t="s">
        <v>99</v>
      </c>
      <c r="BI42" s="14">
        <v>8.0</v>
      </c>
      <c r="BJ42" s="14" t="s">
        <v>550</v>
      </c>
      <c r="BK42" s="14" t="s">
        <v>122</v>
      </c>
      <c r="BL42" s="14" t="s">
        <v>352</v>
      </c>
      <c r="BM42" s="14" t="s">
        <v>8778</v>
      </c>
      <c r="BN42" s="14" t="s">
        <v>99</v>
      </c>
      <c r="BO42" s="14" t="s">
        <v>238</v>
      </c>
      <c r="BP42" s="14" t="s">
        <v>99</v>
      </c>
      <c r="BQ42" s="14" t="s">
        <v>99</v>
      </c>
      <c r="BR42" s="14" t="s">
        <v>124</v>
      </c>
      <c r="BS42" s="14" t="s">
        <v>8779</v>
      </c>
      <c r="BT42" s="14" t="str">
        <f>HYPERLINK("https%3A%2F%2Fwww.webofscience.com%2Fwos%2Fwoscc%2Ffull-record%2FWOS:000234153500009","View Full Record in Web of Science")</f>
        <v>View Full Record in Web of Science</v>
      </c>
    </row>
    <row r="43" ht="12.75" customHeight="1">
      <c r="A43" s="14" t="s">
        <v>97</v>
      </c>
      <c r="B43" s="14" t="s">
        <v>8915</v>
      </c>
      <c r="C43" s="14" t="s">
        <v>99</v>
      </c>
      <c r="D43" s="14" t="s">
        <v>99</v>
      </c>
      <c r="E43" s="14" t="s">
        <v>99</v>
      </c>
      <c r="F43" s="14" t="s">
        <v>8915</v>
      </c>
      <c r="G43" s="14" t="s">
        <v>99</v>
      </c>
      <c r="H43" s="14" t="s">
        <v>99</v>
      </c>
      <c r="I43" s="14" t="s">
        <v>8916</v>
      </c>
      <c r="J43" s="14" t="s">
        <v>1721</v>
      </c>
      <c r="K43" s="14" t="s">
        <v>99</v>
      </c>
      <c r="L43" s="14" t="s">
        <v>99</v>
      </c>
      <c r="M43" s="14" t="s">
        <v>103</v>
      </c>
      <c r="N43" s="14" t="s">
        <v>104</v>
      </c>
      <c r="O43" s="14" t="s">
        <v>99</v>
      </c>
      <c r="P43" s="14" t="s">
        <v>99</v>
      </c>
      <c r="Q43" s="14" t="s">
        <v>99</v>
      </c>
      <c r="R43" s="14" t="s">
        <v>99</v>
      </c>
      <c r="S43" s="14" t="s">
        <v>99</v>
      </c>
      <c r="T43" s="14" t="s">
        <v>8917</v>
      </c>
      <c r="U43" s="14" t="s">
        <v>8918</v>
      </c>
      <c r="V43" s="14" t="s">
        <v>8919</v>
      </c>
      <c r="W43" s="14" t="s">
        <v>8920</v>
      </c>
      <c r="X43" s="14" t="s">
        <v>8921</v>
      </c>
      <c r="Y43" s="14" t="s">
        <v>8922</v>
      </c>
      <c r="Z43" s="14" t="s">
        <v>8923</v>
      </c>
      <c r="AA43" s="14" t="s">
        <v>99</v>
      </c>
      <c r="AB43" s="14" t="s">
        <v>99</v>
      </c>
      <c r="AC43" s="14" t="s">
        <v>99</v>
      </c>
      <c r="AD43" s="14" t="s">
        <v>99</v>
      </c>
      <c r="AE43" s="14" t="s">
        <v>99</v>
      </c>
      <c r="AF43" s="14" t="s">
        <v>99</v>
      </c>
      <c r="AG43" s="14">
        <v>37.0</v>
      </c>
      <c r="AH43" s="14">
        <v>35.0</v>
      </c>
      <c r="AI43" s="14">
        <v>38.0</v>
      </c>
      <c r="AJ43" s="14">
        <v>0.0</v>
      </c>
      <c r="AK43" s="14">
        <v>41.0</v>
      </c>
      <c r="AL43" s="14" t="s">
        <v>1731</v>
      </c>
      <c r="AM43" s="14" t="s">
        <v>1732</v>
      </c>
      <c r="AN43" s="14" t="s">
        <v>1733</v>
      </c>
      <c r="AO43" s="14" t="s">
        <v>1734</v>
      </c>
      <c r="AP43" s="14" t="s">
        <v>1735</v>
      </c>
      <c r="AQ43" s="14" t="s">
        <v>99</v>
      </c>
      <c r="AR43" s="14" t="s">
        <v>1736</v>
      </c>
      <c r="AS43" s="14" t="s">
        <v>1737</v>
      </c>
      <c r="AT43" s="14" t="s">
        <v>640</v>
      </c>
      <c r="AU43" s="14">
        <v>2005.0</v>
      </c>
      <c r="AV43" s="14">
        <v>14.0</v>
      </c>
      <c r="AW43" s="14">
        <v>5.0</v>
      </c>
      <c r="AX43" s="14" t="s">
        <v>99</v>
      </c>
      <c r="AY43" s="14" t="s">
        <v>99</v>
      </c>
      <c r="AZ43" s="14" t="s">
        <v>99</v>
      </c>
      <c r="BA43" s="14" t="s">
        <v>99</v>
      </c>
      <c r="BB43" s="14">
        <v>1121.0</v>
      </c>
      <c r="BC43" s="14">
        <v>1135.0</v>
      </c>
      <c r="BD43" s="14" t="s">
        <v>99</v>
      </c>
      <c r="BE43" s="14" t="s">
        <v>8924</v>
      </c>
      <c r="BF43" s="15" t="str">
        <f>HYPERLINK("http://dx.doi.org/10.1007/s10531-004-8412-4","http://dx.doi.org/10.1007/s10531-004-8412-4")</f>
        <v>http://dx.doi.org/10.1007/s10531-004-8412-4</v>
      </c>
      <c r="BG43" s="14" t="s">
        <v>99</v>
      </c>
      <c r="BH43" s="14" t="s">
        <v>99</v>
      </c>
      <c r="BI43" s="14">
        <v>15.0</v>
      </c>
      <c r="BJ43" s="14" t="s">
        <v>351</v>
      </c>
      <c r="BK43" s="14" t="s">
        <v>122</v>
      </c>
      <c r="BL43" s="14" t="s">
        <v>352</v>
      </c>
      <c r="BM43" s="14" t="s">
        <v>8925</v>
      </c>
      <c r="BN43" s="14" t="s">
        <v>99</v>
      </c>
      <c r="BO43" s="14" t="s">
        <v>99</v>
      </c>
      <c r="BP43" s="14" t="s">
        <v>99</v>
      </c>
      <c r="BQ43" s="14" t="s">
        <v>99</v>
      </c>
      <c r="BR43" s="14" t="s">
        <v>124</v>
      </c>
      <c r="BS43" s="14" t="s">
        <v>8926</v>
      </c>
      <c r="BT43" s="14" t="str">
        <f>HYPERLINK("https%3A%2F%2Fwww.webofscience.com%2Fwos%2Fwoscc%2Ffull-record%2FWOS:000228507100007","View Full Record in Web of Science")</f>
        <v>View Full Record in Web of Science</v>
      </c>
    </row>
    <row r="44" ht="12.75" customHeight="1">
      <c r="A44" s="14" t="s">
        <v>97</v>
      </c>
      <c r="B44" s="14" t="s">
        <v>8941</v>
      </c>
      <c r="C44" s="14" t="s">
        <v>99</v>
      </c>
      <c r="D44" s="14" t="s">
        <v>99</v>
      </c>
      <c r="E44" s="14" t="s">
        <v>99</v>
      </c>
      <c r="F44" s="14" t="s">
        <v>8941</v>
      </c>
      <c r="G44" s="14" t="s">
        <v>99</v>
      </c>
      <c r="H44" s="14" t="s">
        <v>99</v>
      </c>
      <c r="I44" s="14" t="s">
        <v>8942</v>
      </c>
      <c r="J44" s="14" t="s">
        <v>1580</v>
      </c>
      <c r="K44" s="14" t="s">
        <v>99</v>
      </c>
      <c r="L44" s="14" t="s">
        <v>99</v>
      </c>
      <c r="M44" s="14" t="s">
        <v>103</v>
      </c>
      <c r="N44" s="14" t="s">
        <v>104</v>
      </c>
      <c r="O44" s="14" t="s">
        <v>99</v>
      </c>
      <c r="P44" s="14" t="s">
        <v>99</v>
      </c>
      <c r="Q44" s="14" t="s">
        <v>99</v>
      </c>
      <c r="R44" s="14" t="s">
        <v>99</v>
      </c>
      <c r="S44" s="14" t="s">
        <v>99</v>
      </c>
      <c r="T44" s="14" t="s">
        <v>8943</v>
      </c>
      <c r="U44" s="14" t="s">
        <v>8944</v>
      </c>
      <c r="V44" s="14" t="s">
        <v>8945</v>
      </c>
      <c r="W44" s="14" t="s">
        <v>8946</v>
      </c>
      <c r="X44" s="14" t="s">
        <v>99</v>
      </c>
      <c r="Y44" s="14" t="s">
        <v>8947</v>
      </c>
      <c r="Z44" s="14" t="s">
        <v>8948</v>
      </c>
      <c r="AA44" s="14" t="s">
        <v>99</v>
      </c>
      <c r="AB44" s="14" t="s">
        <v>99</v>
      </c>
      <c r="AC44" s="14" t="s">
        <v>99</v>
      </c>
      <c r="AD44" s="14" t="s">
        <v>99</v>
      </c>
      <c r="AE44" s="14" t="s">
        <v>99</v>
      </c>
      <c r="AF44" s="14" t="s">
        <v>99</v>
      </c>
      <c r="AG44" s="14">
        <v>50.0</v>
      </c>
      <c r="AH44" s="14">
        <v>56.0</v>
      </c>
      <c r="AI44" s="14">
        <v>66.0</v>
      </c>
      <c r="AJ44" s="14">
        <v>0.0</v>
      </c>
      <c r="AK44" s="14">
        <v>41.0</v>
      </c>
      <c r="AL44" s="14" t="s">
        <v>1593</v>
      </c>
      <c r="AM44" s="14" t="s">
        <v>2726</v>
      </c>
      <c r="AN44" s="14" t="s">
        <v>4668</v>
      </c>
      <c r="AO44" s="14" t="s">
        <v>1596</v>
      </c>
      <c r="AP44" s="14" t="s">
        <v>1597</v>
      </c>
      <c r="AQ44" s="14" t="s">
        <v>99</v>
      </c>
      <c r="AR44" s="14" t="s">
        <v>1580</v>
      </c>
      <c r="AS44" s="14" t="s">
        <v>1598</v>
      </c>
      <c r="AT44" s="14" t="s">
        <v>718</v>
      </c>
      <c r="AU44" s="14">
        <v>2005.0</v>
      </c>
      <c r="AV44" s="14">
        <v>39.0</v>
      </c>
      <c r="AW44" s="14">
        <v>2.0</v>
      </c>
      <c r="AX44" s="14" t="s">
        <v>99</v>
      </c>
      <c r="AY44" s="14" t="s">
        <v>99</v>
      </c>
      <c r="AZ44" s="14" t="s">
        <v>99</v>
      </c>
      <c r="BA44" s="14" t="s">
        <v>99</v>
      </c>
      <c r="BB44" s="14">
        <v>149.0</v>
      </c>
      <c r="BC44" s="14">
        <v>157.0</v>
      </c>
      <c r="BD44" s="14" t="s">
        <v>99</v>
      </c>
      <c r="BE44" s="14" t="s">
        <v>8949</v>
      </c>
      <c r="BF44" s="15" t="str">
        <f>HYPERLINK("http://dx.doi.org/10.1017/S0030605305000384","http://dx.doi.org/10.1017/S0030605305000384")</f>
        <v>http://dx.doi.org/10.1017/S0030605305000384</v>
      </c>
      <c r="BG44" s="14" t="s">
        <v>99</v>
      </c>
      <c r="BH44" s="14" t="s">
        <v>99</v>
      </c>
      <c r="BI44" s="14">
        <v>9.0</v>
      </c>
      <c r="BJ44" s="14" t="s">
        <v>550</v>
      </c>
      <c r="BK44" s="14" t="s">
        <v>122</v>
      </c>
      <c r="BL44" s="14" t="s">
        <v>352</v>
      </c>
      <c r="BM44" s="14" t="s">
        <v>8950</v>
      </c>
      <c r="BN44" s="14" t="s">
        <v>99</v>
      </c>
      <c r="BO44" s="14" t="s">
        <v>238</v>
      </c>
      <c r="BP44" s="14" t="s">
        <v>99</v>
      </c>
      <c r="BQ44" s="14" t="s">
        <v>99</v>
      </c>
      <c r="BR44" s="14" t="s">
        <v>124</v>
      </c>
      <c r="BS44" s="14" t="s">
        <v>8951</v>
      </c>
      <c r="BT44" s="14" t="str">
        <f>HYPERLINK("https%3A%2F%2Fwww.webofscience.com%2Fwos%2Fwoscc%2Ffull-record%2FWOS:000228944800017","View Full Record in Web of Science")</f>
        <v>View Full Record in Web of Science</v>
      </c>
    </row>
    <row r="45" ht="12.75" customHeight="1">
      <c r="A45" s="14" t="s">
        <v>97</v>
      </c>
      <c r="B45" s="14" t="s">
        <v>8982</v>
      </c>
      <c r="C45" s="14" t="s">
        <v>99</v>
      </c>
      <c r="D45" s="14" t="s">
        <v>99</v>
      </c>
      <c r="E45" s="14" t="s">
        <v>99</v>
      </c>
      <c r="F45" s="14" t="s">
        <v>8982</v>
      </c>
      <c r="G45" s="14" t="s">
        <v>99</v>
      </c>
      <c r="H45" s="14" t="s">
        <v>99</v>
      </c>
      <c r="I45" s="14" t="s">
        <v>8983</v>
      </c>
      <c r="J45" s="14" t="s">
        <v>7335</v>
      </c>
      <c r="K45" s="14" t="s">
        <v>99</v>
      </c>
      <c r="L45" s="14" t="s">
        <v>99</v>
      </c>
      <c r="M45" s="14" t="s">
        <v>103</v>
      </c>
      <c r="N45" s="14" t="s">
        <v>104</v>
      </c>
      <c r="O45" s="14" t="s">
        <v>99</v>
      </c>
      <c r="P45" s="14" t="s">
        <v>99</v>
      </c>
      <c r="Q45" s="14" t="s">
        <v>99</v>
      </c>
      <c r="R45" s="14" t="s">
        <v>99</v>
      </c>
      <c r="S45" s="14" t="s">
        <v>99</v>
      </c>
      <c r="T45" s="14" t="s">
        <v>8984</v>
      </c>
      <c r="U45" s="14" t="s">
        <v>8985</v>
      </c>
      <c r="V45" s="14" t="s">
        <v>8986</v>
      </c>
      <c r="W45" s="14" t="s">
        <v>8987</v>
      </c>
      <c r="X45" s="14" t="s">
        <v>7065</v>
      </c>
      <c r="Y45" s="14" t="s">
        <v>8988</v>
      </c>
      <c r="Z45" s="14" t="s">
        <v>8989</v>
      </c>
      <c r="AA45" s="14" t="s">
        <v>8990</v>
      </c>
      <c r="AB45" s="14" t="s">
        <v>8991</v>
      </c>
      <c r="AC45" s="14" t="s">
        <v>99</v>
      </c>
      <c r="AD45" s="14" t="s">
        <v>99</v>
      </c>
      <c r="AE45" s="14" t="s">
        <v>99</v>
      </c>
      <c r="AF45" s="14" t="s">
        <v>99</v>
      </c>
      <c r="AG45" s="14">
        <v>62.0</v>
      </c>
      <c r="AH45" s="14">
        <v>41.0</v>
      </c>
      <c r="AI45" s="14">
        <v>50.0</v>
      </c>
      <c r="AJ45" s="14">
        <v>1.0</v>
      </c>
      <c r="AK45" s="14">
        <v>13.0</v>
      </c>
      <c r="AL45" s="14" t="s">
        <v>1731</v>
      </c>
      <c r="AM45" s="14" t="s">
        <v>1594</v>
      </c>
      <c r="AN45" s="14" t="s">
        <v>3585</v>
      </c>
      <c r="AO45" s="14" t="s">
        <v>7351</v>
      </c>
      <c r="AP45" s="14" t="s">
        <v>7352</v>
      </c>
      <c r="AQ45" s="14" t="s">
        <v>99</v>
      </c>
      <c r="AR45" s="14" t="s">
        <v>7353</v>
      </c>
      <c r="AS45" s="14" t="s">
        <v>7354</v>
      </c>
      <c r="AT45" s="14" t="s">
        <v>280</v>
      </c>
      <c r="AU45" s="14">
        <v>2005.0</v>
      </c>
      <c r="AV45" s="14">
        <v>26.0</v>
      </c>
      <c r="AW45" s="14">
        <v>1.0</v>
      </c>
      <c r="AX45" s="14" t="s">
        <v>99</v>
      </c>
      <c r="AY45" s="14" t="s">
        <v>99</v>
      </c>
      <c r="AZ45" s="14" t="s">
        <v>99</v>
      </c>
      <c r="BA45" s="14" t="s">
        <v>99</v>
      </c>
      <c r="BB45" s="14">
        <v>127.0</v>
      </c>
      <c r="BC45" s="14">
        <v>145.0</v>
      </c>
      <c r="BD45" s="14" t="s">
        <v>99</v>
      </c>
      <c r="BE45" s="14" t="s">
        <v>8992</v>
      </c>
      <c r="BF45" s="15" t="str">
        <f>HYPERLINK("http://dx.doi.org/10.1007/s10764-005-0011-z","http://dx.doi.org/10.1007/s10764-005-0011-z")</f>
        <v>http://dx.doi.org/10.1007/s10764-005-0011-z</v>
      </c>
      <c r="BG45" s="14" t="s">
        <v>99</v>
      </c>
      <c r="BH45" s="14" t="s">
        <v>99</v>
      </c>
      <c r="BI45" s="14">
        <v>19.0</v>
      </c>
      <c r="BJ45" s="14" t="s">
        <v>121</v>
      </c>
      <c r="BK45" s="14" t="s">
        <v>122</v>
      </c>
      <c r="BL45" s="14" t="s">
        <v>121</v>
      </c>
      <c r="BM45" s="14" t="s">
        <v>8993</v>
      </c>
      <c r="BN45" s="14" t="s">
        <v>99</v>
      </c>
      <c r="BO45" s="14" t="s">
        <v>99</v>
      </c>
      <c r="BP45" s="14" t="s">
        <v>99</v>
      </c>
      <c r="BQ45" s="14" t="s">
        <v>99</v>
      </c>
      <c r="BR45" s="14" t="s">
        <v>124</v>
      </c>
      <c r="BS45" s="14" t="s">
        <v>8994</v>
      </c>
      <c r="BT45" s="14" t="str">
        <f>HYPERLINK("https%3A%2F%2Fwww.webofscience.com%2Fwos%2Fwoscc%2Ffull-record%2FWOS:000227362900006","View Full Record in Web of Science")</f>
        <v>View Full Record in Web of Science</v>
      </c>
    </row>
    <row r="46" ht="12.75" customHeight="1">
      <c r="A46" s="14" t="s">
        <v>97</v>
      </c>
      <c r="B46" s="14" t="s">
        <v>9265</v>
      </c>
      <c r="C46" s="14" t="s">
        <v>99</v>
      </c>
      <c r="D46" s="14" t="s">
        <v>99</v>
      </c>
      <c r="E46" s="14" t="s">
        <v>99</v>
      </c>
      <c r="F46" s="14" t="s">
        <v>9265</v>
      </c>
      <c r="G46" s="14" t="s">
        <v>99</v>
      </c>
      <c r="H46" s="14" t="s">
        <v>99</v>
      </c>
      <c r="I46" s="14" t="s">
        <v>9266</v>
      </c>
      <c r="J46" s="14" t="s">
        <v>5708</v>
      </c>
      <c r="K46" s="14" t="s">
        <v>99</v>
      </c>
      <c r="L46" s="14" t="s">
        <v>99</v>
      </c>
      <c r="M46" s="14" t="s">
        <v>103</v>
      </c>
      <c r="N46" s="14" t="s">
        <v>104</v>
      </c>
      <c r="O46" s="14" t="s">
        <v>99</v>
      </c>
      <c r="P46" s="14" t="s">
        <v>99</v>
      </c>
      <c r="Q46" s="14" t="s">
        <v>99</v>
      </c>
      <c r="R46" s="14" t="s">
        <v>99</v>
      </c>
      <c r="S46" s="14" t="s">
        <v>99</v>
      </c>
      <c r="T46" s="14" t="s">
        <v>9267</v>
      </c>
      <c r="U46" s="14" t="s">
        <v>9268</v>
      </c>
      <c r="V46" s="14" t="s">
        <v>9269</v>
      </c>
      <c r="W46" s="14" t="s">
        <v>9270</v>
      </c>
      <c r="X46" s="14" t="s">
        <v>9271</v>
      </c>
      <c r="Y46" s="14" t="s">
        <v>9272</v>
      </c>
      <c r="Z46" s="14" t="s">
        <v>9273</v>
      </c>
      <c r="AA46" s="14" t="s">
        <v>99</v>
      </c>
      <c r="AB46" s="14" t="s">
        <v>9274</v>
      </c>
      <c r="AC46" s="14" t="s">
        <v>99</v>
      </c>
      <c r="AD46" s="14" t="s">
        <v>99</v>
      </c>
      <c r="AE46" s="14" t="s">
        <v>99</v>
      </c>
      <c r="AF46" s="14" t="s">
        <v>99</v>
      </c>
      <c r="AG46" s="14">
        <v>42.0</v>
      </c>
      <c r="AH46" s="14">
        <v>54.0</v>
      </c>
      <c r="AI46" s="14">
        <v>70.0</v>
      </c>
      <c r="AJ46" s="14">
        <v>1.0</v>
      </c>
      <c r="AK46" s="14">
        <v>43.0</v>
      </c>
      <c r="AL46" s="14" t="s">
        <v>9275</v>
      </c>
      <c r="AM46" s="14" t="s">
        <v>468</v>
      </c>
      <c r="AN46" s="14" t="s">
        <v>9276</v>
      </c>
      <c r="AO46" s="14" t="s">
        <v>5719</v>
      </c>
      <c r="AP46" s="14" t="s">
        <v>99</v>
      </c>
      <c r="AQ46" s="14" t="s">
        <v>99</v>
      </c>
      <c r="AR46" s="14" t="s">
        <v>5721</v>
      </c>
      <c r="AS46" s="14" t="s">
        <v>5722</v>
      </c>
      <c r="AT46" s="14" t="s">
        <v>1485</v>
      </c>
      <c r="AU46" s="14">
        <v>2004.0</v>
      </c>
      <c r="AV46" s="14">
        <v>42.0</v>
      </c>
      <c r="AW46" s="14">
        <v>1.0</v>
      </c>
      <c r="AX46" s="14" t="s">
        <v>99</v>
      </c>
      <c r="AY46" s="14" t="s">
        <v>99</v>
      </c>
      <c r="AZ46" s="14" t="s">
        <v>99</v>
      </c>
      <c r="BA46" s="14" t="s">
        <v>99</v>
      </c>
      <c r="BB46" s="14">
        <v>23.0</v>
      </c>
      <c r="BC46" s="14">
        <v>31.0</v>
      </c>
      <c r="BD46" s="14" t="s">
        <v>99</v>
      </c>
      <c r="BE46" s="14" t="s">
        <v>9277</v>
      </c>
      <c r="BF46" s="15" t="str">
        <f>HYPERLINK("http://dx.doi.org/10.1111/j.0141-6707.2004.00441.x","http://dx.doi.org/10.1111/j.0141-6707.2004.00441.x")</f>
        <v>http://dx.doi.org/10.1111/j.0141-6707.2004.00441.x</v>
      </c>
      <c r="BG46" s="14" t="s">
        <v>99</v>
      </c>
      <c r="BH46" s="14" t="s">
        <v>99</v>
      </c>
      <c r="BI46" s="14">
        <v>9.0</v>
      </c>
      <c r="BJ46" s="14" t="s">
        <v>259</v>
      </c>
      <c r="BK46" s="14" t="s">
        <v>122</v>
      </c>
      <c r="BL46" s="14" t="s">
        <v>260</v>
      </c>
      <c r="BM46" s="14" t="s">
        <v>9278</v>
      </c>
      <c r="BN46" s="14" t="s">
        <v>99</v>
      </c>
      <c r="BO46" s="14" t="s">
        <v>99</v>
      </c>
      <c r="BP46" s="14" t="s">
        <v>99</v>
      </c>
      <c r="BQ46" s="14" t="s">
        <v>99</v>
      </c>
      <c r="BR46" s="14" t="s">
        <v>124</v>
      </c>
      <c r="BS46" s="14" t="s">
        <v>9279</v>
      </c>
      <c r="BT46" s="14" t="str">
        <f>HYPERLINK("https%3A%2F%2Fwww.webofscience.com%2Fwos%2Fwoscc%2Ffull-record%2FWOS:000220627900003","View Full Record in Web of Science")</f>
        <v>View Full Record in Web of Science</v>
      </c>
    </row>
    <row r="47" ht="12.75" customHeight="1">
      <c r="A47" s="14" t="s">
        <v>97</v>
      </c>
      <c r="B47" s="14" t="s">
        <v>9509</v>
      </c>
      <c r="C47" s="14" t="s">
        <v>99</v>
      </c>
      <c r="D47" s="14" t="s">
        <v>99</v>
      </c>
      <c r="E47" s="14" t="s">
        <v>99</v>
      </c>
      <c r="F47" s="14" t="s">
        <v>9509</v>
      </c>
      <c r="G47" s="14" t="s">
        <v>99</v>
      </c>
      <c r="H47" s="14" t="s">
        <v>99</v>
      </c>
      <c r="I47" s="14" t="s">
        <v>9510</v>
      </c>
      <c r="J47" s="14" t="s">
        <v>2142</v>
      </c>
      <c r="K47" s="14" t="s">
        <v>99</v>
      </c>
      <c r="L47" s="14" t="s">
        <v>99</v>
      </c>
      <c r="M47" s="14" t="s">
        <v>103</v>
      </c>
      <c r="N47" s="14" t="s">
        <v>104</v>
      </c>
      <c r="O47" s="14" t="s">
        <v>99</v>
      </c>
      <c r="P47" s="14" t="s">
        <v>99</v>
      </c>
      <c r="Q47" s="14" t="s">
        <v>99</v>
      </c>
      <c r="R47" s="14" t="s">
        <v>99</v>
      </c>
      <c r="S47" s="14" t="s">
        <v>99</v>
      </c>
      <c r="T47" s="14" t="s">
        <v>99</v>
      </c>
      <c r="U47" s="14" t="s">
        <v>9511</v>
      </c>
      <c r="V47" s="14" t="s">
        <v>9512</v>
      </c>
      <c r="W47" s="14" t="s">
        <v>9513</v>
      </c>
      <c r="X47" s="14" t="s">
        <v>5733</v>
      </c>
      <c r="Y47" s="14" t="s">
        <v>9514</v>
      </c>
      <c r="Z47" s="14" t="s">
        <v>9515</v>
      </c>
      <c r="AA47" s="14" t="s">
        <v>9516</v>
      </c>
      <c r="AB47" s="14" t="s">
        <v>9517</v>
      </c>
      <c r="AC47" s="14" t="s">
        <v>99</v>
      </c>
      <c r="AD47" s="14" t="s">
        <v>99</v>
      </c>
      <c r="AE47" s="14" t="s">
        <v>99</v>
      </c>
      <c r="AF47" s="14" t="s">
        <v>99</v>
      </c>
      <c r="AG47" s="14">
        <v>51.0</v>
      </c>
      <c r="AH47" s="14">
        <v>193.0</v>
      </c>
      <c r="AI47" s="14">
        <v>229.0</v>
      </c>
      <c r="AJ47" s="14">
        <v>0.0</v>
      </c>
      <c r="AK47" s="14">
        <v>84.0</v>
      </c>
      <c r="AL47" s="14" t="s">
        <v>341</v>
      </c>
      <c r="AM47" s="14" t="s">
        <v>342</v>
      </c>
      <c r="AN47" s="14" t="s">
        <v>343</v>
      </c>
      <c r="AO47" s="14" t="s">
        <v>2155</v>
      </c>
      <c r="AP47" s="14" t="s">
        <v>2156</v>
      </c>
      <c r="AQ47" s="14" t="s">
        <v>99</v>
      </c>
      <c r="AR47" s="14" t="s">
        <v>2157</v>
      </c>
      <c r="AS47" s="14" t="s">
        <v>2158</v>
      </c>
      <c r="AT47" s="14" t="s">
        <v>718</v>
      </c>
      <c r="AU47" s="14">
        <v>2003.0</v>
      </c>
      <c r="AV47" s="14">
        <v>17.0</v>
      </c>
      <c r="AW47" s="14">
        <v>2.0</v>
      </c>
      <c r="AX47" s="14" t="s">
        <v>99</v>
      </c>
      <c r="AY47" s="14" t="s">
        <v>99</v>
      </c>
      <c r="AZ47" s="14" t="s">
        <v>99</v>
      </c>
      <c r="BA47" s="14" t="s">
        <v>99</v>
      </c>
      <c r="BB47" s="14">
        <v>521.0</v>
      </c>
      <c r="BC47" s="14">
        <v>535.0</v>
      </c>
      <c r="BD47" s="14" t="s">
        <v>99</v>
      </c>
      <c r="BE47" s="14" t="s">
        <v>9518</v>
      </c>
      <c r="BF47" s="15" t="str">
        <f>HYPERLINK("http://dx.doi.org/10.1046/j.1523-1739.2003.01413.x","http://dx.doi.org/10.1046/j.1523-1739.2003.01413.x")</f>
        <v>http://dx.doi.org/10.1046/j.1523-1739.2003.01413.x</v>
      </c>
      <c r="BG47" s="14" t="s">
        <v>99</v>
      </c>
      <c r="BH47" s="14" t="s">
        <v>99</v>
      </c>
      <c r="BI47" s="14">
        <v>15.0</v>
      </c>
      <c r="BJ47" s="14" t="s">
        <v>351</v>
      </c>
      <c r="BK47" s="14" t="s">
        <v>122</v>
      </c>
      <c r="BL47" s="14" t="s">
        <v>352</v>
      </c>
      <c r="BM47" s="14" t="s">
        <v>9519</v>
      </c>
      <c r="BN47" s="14" t="s">
        <v>99</v>
      </c>
      <c r="BO47" s="14" t="s">
        <v>99</v>
      </c>
      <c r="BP47" s="14" t="s">
        <v>99</v>
      </c>
      <c r="BQ47" s="14" t="s">
        <v>99</v>
      </c>
      <c r="BR47" s="14" t="s">
        <v>124</v>
      </c>
      <c r="BS47" s="14" t="s">
        <v>9520</v>
      </c>
      <c r="BT47" s="14" t="str">
        <f>HYPERLINK("https%3A%2F%2Fwww.webofscience.com%2Fwos%2Fwoscc%2Ffull-record%2FWOS:000181736400021","View Full Record in Web of Science")</f>
        <v>View Full Record in Web of Science</v>
      </c>
    </row>
    <row r="48" ht="12.75" customHeight="1">
      <c r="A48" s="14" t="s">
        <v>97</v>
      </c>
      <c r="B48" s="14" t="s">
        <v>9771</v>
      </c>
      <c r="C48" s="14" t="s">
        <v>99</v>
      </c>
      <c r="D48" s="14" t="s">
        <v>99</v>
      </c>
      <c r="E48" s="14" t="s">
        <v>99</v>
      </c>
      <c r="F48" s="14" t="s">
        <v>9771</v>
      </c>
      <c r="G48" s="14" t="s">
        <v>99</v>
      </c>
      <c r="H48" s="14" t="s">
        <v>99</v>
      </c>
      <c r="I48" s="14" t="s">
        <v>9772</v>
      </c>
      <c r="J48" s="14" t="s">
        <v>1721</v>
      </c>
      <c r="K48" s="14" t="s">
        <v>99</v>
      </c>
      <c r="L48" s="14" t="s">
        <v>99</v>
      </c>
      <c r="M48" s="14" t="s">
        <v>103</v>
      </c>
      <c r="N48" s="14" t="s">
        <v>104</v>
      </c>
      <c r="O48" s="14" t="s">
        <v>99</v>
      </c>
      <c r="P48" s="14" t="s">
        <v>99</v>
      </c>
      <c r="Q48" s="14" t="s">
        <v>99</v>
      </c>
      <c r="R48" s="14" t="s">
        <v>99</v>
      </c>
      <c r="S48" s="14" t="s">
        <v>99</v>
      </c>
      <c r="T48" s="14" t="s">
        <v>9773</v>
      </c>
      <c r="U48" s="14" t="s">
        <v>9774</v>
      </c>
      <c r="V48" s="14" t="s">
        <v>9775</v>
      </c>
      <c r="W48" s="14" t="s">
        <v>9776</v>
      </c>
      <c r="X48" s="14" t="s">
        <v>9777</v>
      </c>
      <c r="Y48" s="14" t="s">
        <v>9778</v>
      </c>
      <c r="Z48" s="14" t="s">
        <v>9779</v>
      </c>
      <c r="AA48" s="14" t="s">
        <v>99</v>
      </c>
      <c r="AB48" s="14" t="s">
        <v>99</v>
      </c>
      <c r="AC48" s="14" t="s">
        <v>99</v>
      </c>
      <c r="AD48" s="14" t="s">
        <v>99</v>
      </c>
      <c r="AE48" s="14" t="s">
        <v>99</v>
      </c>
      <c r="AF48" s="14" t="s">
        <v>99</v>
      </c>
      <c r="AG48" s="14">
        <v>44.0</v>
      </c>
      <c r="AH48" s="14">
        <v>18.0</v>
      </c>
      <c r="AI48" s="14">
        <v>21.0</v>
      </c>
      <c r="AJ48" s="14">
        <v>1.0</v>
      </c>
      <c r="AK48" s="14">
        <v>15.0</v>
      </c>
      <c r="AL48" s="14" t="s">
        <v>1731</v>
      </c>
      <c r="AM48" s="14" t="s">
        <v>1732</v>
      </c>
      <c r="AN48" s="14" t="s">
        <v>1733</v>
      </c>
      <c r="AO48" s="14" t="s">
        <v>1734</v>
      </c>
      <c r="AP48" s="14" t="s">
        <v>1735</v>
      </c>
      <c r="AQ48" s="14" t="s">
        <v>99</v>
      </c>
      <c r="AR48" s="14" t="s">
        <v>1736</v>
      </c>
      <c r="AS48" s="14" t="s">
        <v>1737</v>
      </c>
      <c r="AT48" s="14" t="s">
        <v>99</v>
      </c>
      <c r="AU48" s="14">
        <v>2002.0</v>
      </c>
      <c r="AV48" s="14">
        <v>11.0</v>
      </c>
      <c r="AW48" s="14">
        <v>10.0</v>
      </c>
      <c r="AX48" s="14" t="s">
        <v>99</v>
      </c>
      <c r="AY48" s="14" t="s">
        <v>99</v>
      </c>
      <c r="AZ48" s="14" t="s">
        <v>99</v>
      </c>
      <c r="BA48" s="14" t="s">
        <v>99</v>
      </c>
      <c r="BB48" s="14">
        <v>1845.0</v>
      </c>
      <c r="BC48" s="14">
        <v>1868.0</v>
      </c>
      <c r="BD48" s="14" t="s">
        <v>99</v>
      </c>
      <c r="BE48" s="14" t="s">
        <v>9780</v>
      </c>
      <c r="BF48" s="15" t="str">
        <f>HYPERLINK("http://dx.doi.org/10.1023/A:1020305903156","http://dx.doi.org/10.1023/A:1020305903156")</f>
        <v>http://dx.doi.org/10.1023/A:1020305903156</v>
      </c>
      <c r="BG48" s="14" t="s">
        <v>99</v>
      </c>
      <c r="BH48" s="14" t="s">
        <v>99</v>
      </c>
      <c r="BI48" s="14">
        <v>24.0</v>
      </c>
      <c r="BJ48" s="14" t="s">
        <v>351</v>
      </c>
      <c r="BK48" s="14" t="s">
        <v>800</v>
      </c>
      <c r="BL48" s="14" t="s">
        <v>352</v>
      </c>
      <c r="BM48" s="14" t="s">
        <v>9781</v>
      </c>
      <c r="BN48" s="14" t="s">
        <v>99</v>
      </c>
      <c r="BO48" s="14" t="s">
        <v>99</v>
      </c>
      <c r="BP48" s="14" t="s">
        <v>99</v>
      </c>
      <c r="BQ48" s="14" t="s">
        <v>99</v>
      </c>
      <c r="BR48" s="14" t="s">
        <v>124</v>
      </c>
      <c r="BS48" s="14" t="s">
        <v>9782</v>
      </c>
      <c r="BT48" s="14" t="str">
        <f>HYPERLINK("https%3A%2F%2Fwww.webofscience.com%2Fwos%2Fwoscc%2Ffull-record%2FWOS:000178204300010","View Full Record in Web of Science")</f>
        <v>View Full Record in Web of Science</v>
      </c>
    </row>
    <row r="49" ht="12.75" customHeight="1">
      <c r="A49" s="14" t="s">
        <v>97</v>
      </c>
      <c r="B49" s="14" t="s">
        <v>9902</v>
      </c>
      <c r="C49" s="14" t="s">
        <v>99</v>
      </c>
      <c r="D49" s="14" t="s">
        <v>99</v>
      </c>
      <c r="E49" s="14" t="s">
        <v>99</v>
      </c>
      <c r="F49" s="14" t="s">
        <v>9902</v>
      </c>
      <c r="G49" s="14" t="s">
        <v>99</v>
      </c>
      <c r="H49" s="14" t="s">
        <v>99</v>
      </c>
      <c r="I49" s="14" t="s">
        <v>9903</v>
      </c>
      <c r="J49" s="14" t="s">
        <v>2142</v>
      </c>
      <c r="K49" s="14" t="s">
        <v>99</v>
      </c>
      <c r="L49" s="14" t="s">
        <v>99</v>
      </c>
      <c r="M49" s="14" t="s">
        <v>103</v>
      </c>
      <c r="N49" s="14" t="s">
        <v>104</v>
      </c>
      <c r="O49" s="14" t="s">
        <v>99</v>
      </c>
      <c r="P49" s="14" t="s">
        <v>99</v>
      </c>
      <c r="Q49" s="14" t="s">
        <v>99</v>
      </c>
      <c r="R49" s="14" t="s">
        <v>99</v>
      </c>
      <c r="S49" s="14" t="s">
        <v>99</v>
      </c>
      <c r="T49" s="14" t="s">
        <v>99</v>
      </c>
      <c r="U49" s="14" t="s">
        <v>9904</v>
      </c>
      <c r="V49" s="14" t="s">
        <v>9905</v>
      </c>
      <c r="W49" s="14" t="s">
        <v>9906</v>
      </c>
      <c r="X49" s="14" t="s">
        <v>9907</v>
      </c>
      <c r="Y49" s="14" t="s">
        <v>99</v>
      </c>
      <c r="Z49" s="14" t="s">
        <v>9908</v>
      </c>
      <c r="AA49" s="14" t="s">
        <v>99</v>
      </c>
      <c r="AB49" s="14" t="s">
        <v>9909</v>
      </c>
      <c r="AC49" s="14" t="s">
        <v>99</v>
      </c>
      <c r="AD49" s="14" t="s">
        <v>99</v>
      </c>
      <c r="AE49" s="14" t="s">
        <v>99</v>
      </c>
      <c r="AF49" s="14" t="s">
        <v>99</v>
      </c>
      <c r="AG49" s="14">
        <v>53.0</v>
      </c>
      <c r="AH49" s="14">
        <v>100.0</v>
      </c>
      <c r="AI49" s="14">
        <v>118.0</v>
      </c>
      <c r="AJ49" s="14">
        <v>1.0</v>
      </c>
      <c r="AK49" s="14">
        <v>74.0</v>
      </c>
      <c r="AL49" s="14" t="s">
        <v>341</v>
      </c>
      <c r="AM49" s="14" t="s">
        <v>342</v>
      </c>
      <c r="AN49" s="14" t="s">
        <v>343</v>
      </c>
      <c r="AO49" s="14" t="s">
        <v>2155</v>
      </c>
      <c r="AP49" s="14" t="s">
        <v>2156</v>
      </c>
      <c r="AQ49" s="14" t="s">
        <v>99</v>
      </c>
      <c r="AR49" s="14" t="s">
        <v>2157</v>
      </c>
      <c r="AS49" s="14" t="s">
        <v>2158</v>
      </c>
      <c r="AT49" s="14" t="s">
        <v>1058</v>
      </c>
      <c r="AU49" s="14">
        <v>2000.0</v>
      </c>
      <c r="AV49" s="14">
        <v>14.0</v>
      </c>
      <c r="AW49" s="14">
        <v>6.0</v>
      </c>
      <c r="AX49" s="14" t="s">
        <v>99</v>
      </c>
      <c r="AY49" s="14" t="s">
        <v>99</v>
      </c>
      <c r="AZ49" s="14" t="s">
        <v>99</v>
      </c>
      <c r="BA49" s="14" t="s">
        <v>99</v>
      </c>
      <c r="BB49" s="14">
        <v>1580.0</v>
      </c>
      <c r="BC49" s="14">
        <v>1591.0</v>
      </c>
      <c r="BD49" s="14" t="s">
        <v>99</v>
      </c>
      <c r="BE49" s="14" t="s">
        <v>9910</v>
      </c>
      <c r="BF49" s="15" t="str">
        <f>HYPERLINK("http://dx.doi.org/10.1046/j.1523-1739.2000.99103.x","http://dx.doi.org/10.1046/j.1523-1739.2000.99103.x")</f>
        <v>http://dx.doi.org/10.1046/j.1523-1739.2000.99103.x</v>
      </c>
      <c r="BG49" s="14" t="s">
        <v>99</v>
      </c>
      <c r="BH49" s="14" t="s">
        <v>99</v>
      </c>
      <c r="BI49" s="14">
        <v>12.0</v>
      </c>
      <c r="BJ49" s="14" t="s">
        <v>351</v>
      </c>
      <c r="BK49" s="14" t="s">
        <v>122</v>
      </c>
      <c r="BL49" s="14" t="s">
        <v>352</v>
      </c>
      <c r="BM49" s="14" t="s">
        <v>9911</v>
      </c>
      <c r="BN49" s="14" t="s">
        <v>99</v>
      </c>
      <c r="BO49" s="14" t="s">
        <v>99</v>
      </c>
      <c r="BP49" s="14" t="s">
        <v>99</v>
      </c>
      <c r="BQ49" s="14" t="s">
        <v>99</v>
      </c>
      <c r="BR49" s="14" t="s">
        <v>124</v>
      </c>
      <c r="BS49" s="14" t="s">
        <v>9912</v>
      </c>
      <c r="BT49" s="14" t="str">
        <f>HYPERLINK("https%3A%2F%2Fwww.webofscience.com%2Fwos%2Fwoscc%2Ffull-record%2FWOS:000166035800007","View Full Record in Web of Science")</f>
        <v>View Full Record in Web of Science</v>
      </c>
    </row>
    <row r="50" ht="12.75" customHeight="1">
      <c r="A50" s="14" t="s">
        <v>97</v>
      </c>
      <c r="B50" s="14" t="s">
        <v>9964</v>
      </c>
      <c r="C50" s="14" t="s">
        <v>99</v>
      </c>
      <c r="D50" s="14" t="s">
        <v>99</v>
      </c>
      <c r="E50" s="14" t="s">
        <v>99</v>
      </c>
      <c r="F50" s="14" t="s">
        <v>9964</v>
      </c>
      <c r="G50" s="14" t="s">
        <v>99</v>
      </c>
      <c r="H50" s="14" t="s">
        <v>99</v>
      </c>
      <c r="I50" s="14" t="s">
        <v>9965</v>
      </c>
      <c r="J50" s="14" t="s">
        <v>2142</v>
      </c>
      <c r="K50" s="14" t="s">
        <v>99</v>
      </c>
      <c r="L50" s="14" t="s">
        <v>99</v>
      </c>
      <c r="M50" s="14" t="s">
        <v>103</v>
      </c>
      <c r="N50" s="14" t="s">
        <v>104</v>
      </c>
      <c r="O50" s="14" t="s">
        <v>99</v>
      </c>
      <c r="P50" s="14" t="s">
        <v>99</v>
      </c>
      <c r="Q50" s="14" t="s">
        <v>99</v>
      </c>
      <c r="R50" s="14" t="s">
        <v>99</v>
      </c>
      <c r="S50" s="14" t="s">
        <v>99</v>
      </c>
      <c r="T50" s="14" t="s">
        <v>99</v>
      </c>
      <c r="U50" s="14" t="s">
        <v>9966</v>
      </c>
      <c r="V50" s="14" t="s">
        <v>9967</v>
      </c>
      <c r="W50" s="14" t="s">
        <v>9968</v>
      </c>
      <c r="X50" s="14" t="s">
        <v>9969</v>
      </c>
      <c r="Y50" s="14" t="s">
        <v>9970</v>
      </c>
      <c r="Z50" s="14" t="s">
        <v>99</v>
      </c>
      <c r="AA50" s="14" t="s">
        <v>9971</v>
      </c>
      <c r="AB50" s="14" t="s">
        <v>9972</v>
      </c>
      <c r="AC50" s="14" t="s">
        <v>99</v>
      </c>
      <c r="AD50" s="14" t="s">
        <v>99</v>
      </c>
      <c r="AE50" s="14" t="s">
        <v>99</v>
      </c>
      <c r="AF50" s="14" t="s">
        <v>99</v>
      </c>
      <c r="AG50" s="14">
        <v>42.0</v>
      </c>
      <c r="AH50" s="14">
        <v>250.0</v>
      </c>
      <c r="AI50" s="14">
        <v>301.0</v>
      </c>
      <c r="AJ50" s="14">
        <v>1.0</v>
      </c>
      <c r="AK50" s="14">
        <v>88.0</v>
      </c>
      <c r="AL50" s="14" t="s">
        <v>9973</v>
      </c>
      <c r="AM50" s="14" t="s">
        <v>6591</v>
      </c>
      <c r="AN50" s="14" t="s">
        <v>9974</v>
      </c>
      <c r="AO50" s="14" t="s">
        <v>2155</v>
      </c>
      <c r="AP50" s="14" t="s">
        <v>99</v>
      </c>
      <c r="AQ50" s="14" t="s">
        <v>99</v>
      </c>
      <c r="AR50" s="14" t="s">
        <v>2157</v>
      </c>
      <c r="AS50" s="14" t="s">
        <v>2158</v>
      </c>
      <c r="AT50" s="14" t="s">
        <v>280</v>
      </c>
      <c r="AU50" s="14">
        <v>2000.0</v>
      </c>
      <c r="AV50" s="14">
        <v>14.0</v>
      </c>
      <c r="AW50" s="14">
        <v>1.0</v>
      </c>
      <c r="AX50" s="14" t="s">
        <v>99</v>
      </c>
      <c r="AY50" s="14" t="s">
        <v>99</v>
      </c>
      <c r="AZ50" s="14" t="s">
        <v>99</v>
      </c>
      <c r="BA50" s="14" t="s">
        <v>99</v>
      </c>
      <c r="BB50" s="14">
        <v>227.0</v>
      </c>
      <c r="BC50" s="14">
        <v>239.0</v>
      </c>
      <c r="BD50" s="14" t="s">
        <v>99</v>
      </c>
      <c r="BE50" s="14" t="s">
        <v>9975</v>
      </c>
      <c r="BF50" s="15" t="str">
        <f>HYPERLINK("http://dx.doi.org/10.1046/j.1523-1739.2000.98333.x","http://dx.doi.org/10.1046/j.1523-1739.2000.98333.x")</f>
        <v>http://dx.doi.org/10.1046/j.1523-1739.2000.98333.x</v>
      </c>
      <c r="BG50" s="14" t="s">
        <v>99</v>
      </c>
      <c r="BH50" s="14" t="s">
        <v>99</v>
      </c>
      <c r="BI50" s="14">
        <v>13.0</v>
      </c>
      <c r="BJ50" s="14" t="s">
        <v>351</v>
      </c>
      <c r="BK50" s="14" t="s">
        <v>122</v>
      </c>
      <c r="BL50" s="14" t="s">
        <v>352</v>
      </c>
      <c r="BM50" s="14" t="s">
        <v>9976</v>
      </c>
      <c r="BN50" s="14" t="s">
        <v>99</v>
      </c>
      <c r="BO50" s="14" t="s">
        <v>99</v>
      </c>
      <c r="BP50" s="14" t="s">
        <v>99</v>
      </c>
      <c r="BQ50" s="14" t="s">
        <v>99</v>
      </c>
      <c r="BR50" s="14" t="s">
        <v>124</v>
      </c>
      <c r="BS50" s="14" t="s">
        <v>9977</v>
      </c>
      <c r="BT50" s="14" t="str">
        <f>HYPERLINK("https%3A%2F%2Fwww.webofscience.com%2Fwos%2Fwoscc%2Ffull-record%2FWOS:000085366700028","View Full Record in Web of Science")</f>
        <v>View Full Record in Web of Science</v>
      </c>
    </row>
    <row r="51" ht="12.75" customHeight="1">
      <c r="A51" s="14" t="s">
        <v>97</v>
      </c>
      <c r="B51" s="14" t="s">
        <v>10048</v>
      </c>
      <c r="C51" s="14" t="s">
        <v>99</v>
      </c>
      <c r="D51" s="14" t="s">
        <v>99</v>
      </c>
      <c r="E51" s="14" t="s">
        <v>99</v>
      </c>
      <c r="F51" s="14" t="s">
        <v>10048</v>
      </c>
      <c r="G51" s="14" t="s">
        <v>99</v>
      </c>
      <c r="H51" s="14" t="s">
        <v>99</v>
      </c>
      <c r="I51" s="14" t="s">
        <v>10049</v>
      </c>
      <c r="J51" s="14" t="s">
        <v>2142</v>
      </c>
      <c r="K51" s="14" t="s">
        <v>99</v>
      </c>
      <c r="L51" s="14" t="s">
        <v>99</v>
      </c>
      <c r="M51" s="14" t="s">
        <v>103</v>
      </c>
      <c r="N51" s="14" t="s">
        <v>104</v>
      </c>
      <c r="O51" s="14" t="s">
        <v>99</v>
      </c>
      <c r="P51" s="14" t="s">
        <v>99</v>
      </c>
      <c r="Q51" s="14" t="s">
        <v>99</v>
      </c>
      <c r="R51" s="14" t="s">
        <v>99</v>
      </c>
      <c r="S51" s="14" t="s">
        <v>99</v>
      </c>
      <c r="T51" s="14" t="s">
        <v>99</v>
      </c>
      <c r="U51" s="14" t="s">
        <v>10050</v>
      </c>
      <c r="V51" s="14" t="s">
        <v>10051</v>
      </c>
      <c r="W51" s="14" t="s">
        <v>10052</v>
      </c>
      <c r="X51" s="14" t="s">
        <v>99</v>
      </c>
      <c r="Y51" s="14" t="s">
        <v>10053</v>
      </c>
      <c r="Z51" s="14" t="s">
        <v>99</v>
      </c>
      <c r="AA51" s="14" t="s">
        <v>99</v>
      </c>
      <c r="AB51" s="14" t="s">
        <v>99</v>
      </c>
      <c r="AC51" s="14" t="s">
        <v>99</v>
      </c>
      <c r="AD51" s="14" t="s">
        <v>99</v>
      </c>
      <c r="AE51" s="14" t="s">
        <v>99</v>
      </c>
      <c r="AF51" s="14" t="s">
        <v>99</v>
      </c>
      <c r="AG51" s="14">
        <v>21.0</v>
      </c>
      <c r="AH51" s="14">
        <v>120.0</v>
      </c>
      <c r="AI51" s="14">
        <v>148.0</v>
      </c>
      <c r="AJ51" s="14">
        <v>0.0</v>
      </c>
      <c r="AK51" s="14">
        <v>33.0</v>
      </c>
      <c r="AL51" s="14" t="s">
        <v>9973</v>
      </c>
      <c r="AM51" s="14" t="s">
        <v>6591</v>
      </c>
      <c r="AN51" s="14" t="s">
        <v>9974</v>
      </c>
      <c r="AO51" s="14" t="s">
        <v>2155</v>
      </c>
      <c r="AP51" s="14" t="s">
        <v>99</v>
      </c>
      <c r="AQ51" s="14" t="s">
        <v>99</v>
      </c>
      <c r="AR51" s="14" t="s">
        <v>2157</v>
      </c>
      <c r="AS51" s="14" t="s">
        <v>2158</v>
      </c>
      <c r="AT51" s="14" t="s">
        <v>718</v>
      </c>
      <c r="AU51" s="14">
        <v>1999.0</v>
      </c>
      <c r="AV51" s="14">
        <v>13.0</v>
      </c>
      <c r="AW51" s="14">
        <v>2.0</v>
      </c>
      <c r="AX51" s="14" t="s">
        <v>99</v>
      </c>
      <c r="AY51" s="14" t="s">
        <v>99</v>
      </c>
      <c r="AZ51" s="14" t="s">
        <v>99</v>
      </c>
      <c r="BA51" s="14" t="s">
        <v>99</v>
      </c>
      <c r="BB51" s="14">
        <v>385.0</v>
      </c>
      <c r="BC51" s="14">
        <v>396.0</v>
      </c>
      <c r="BD51" s="14" t="s">
        <v>99</v>
      </c>
      <c r="BE51" s="14" t="s">
        <v>10054</v>
      </c>
      <c r="BF51" s="15" t="str">
        <f>HYPERLINK("http://dx.doi.org/10.1046/j.1523-1739.1999.013002385.x","http://dx.doi.org/10.1046/j.1523-1739.1999.013002385.x")</f>
        <v>http://dx.doi.org/10.1046/j.1523-1739.1999.013002385.x</v>
      </c>
      <c r="BG51" s="14" t="s">
        <v>99</v>
      </c>
      <c r="BH51" s="14" t="s">
        <v>99</v>
      </c>
      <c r="BI51" s="14">
        <v>12.0</v>
      </c>
      <c r="BJ51" s="14" t="s">
        <v>351</v>
      </c>
      <c r="BK51" s="14" t="s">
        <v>122</v>
      </c>
      <c r="BL51" s="14" t="s">
        <v>352</v>
      </c>
      <c r="BM51" s="14" t="s">
        <v>10055</v>
      </c>
      <c r="BN51" s="14" t="s">
        <v>99</v>
      </c>
      <c r="BO51" s="14" t="s">
        <v>99</v>
      </c>
      <c r="BP51" s="14" t="s">
        <v>99</v>
      </c>
      <c r="BQ51" s="14" t="s">
        <v>99</v>
      </c>
      <c r="BR51" s="14" t="s">
        <v>124</v>
      </c>
      <c r="BS51" s="14" t="s">
        <v>10056</v>
      </c>
      <c r="BT51" s="14" t="str">
        <f>HYPERLINK("https%3A%2F%2Fwww.webofscience.com%2Fwos%2Fwoscc%2Ffull-record%2FWOS:000079472000022","View Full Record in Web of Science")</f>
        <v>View Full Record in Web of Science</v>
      </c>
    </row>
    <row r="52" ht="12.75" customHeight="1">
      <c r="A52" s="14" t="s">
        <v>97</v>
      </c>
      <c r="B52" s="14" t="s">
        <v>10067</v>
      </c>
      <c r="C52" s="14" t="s">
        <v>99</v>
      </c>
      <c r="D52" s="14" t="s">
        <v>99</v>
      </c>
      <c r="E52" s="14" t="s">
        <v>99</v>
      </c>
      <c r="F52" s="14" t="s">
        <v>10067</v>
      </c>
      <c r="G52" s="14" t="s">
        <v>99</v>
      </c>
      <c r="H52" s="14" t="s">
        <v>99</v>
      </c>
      <c r="I52" s="14" t="s">
        <v>10068</v>
      </c>
      <c r="J52" s="14" t="s">
        <v>10069</v>
      </c>
      <c r="K52" s="14" t="s">
        <v>99</v>
      </c>
      <c r="L52" s="14" t="s">
        <v>99</v>
      </c>
      <c r="M52" s="14" t="s">
        <v>103</v>
      </c>
      <c r="N52" s="14" t="s">
        <v>104</v>
      </c>
      <c r="O52" s="14" t="s">
        <v>99</v>
      </c>
      <c r="P52" s="14" t="s">
        <v>99</v>
      </c>
      <c r="Q52" s="14" t="s">
        <v>99</v>
      </c>
      <c r="R52" s="14" t="s">
        <v>99</v>
      </c>
      <c r="S52" s="14" t="s">
        <v>99</v>
      </c>
      <c r="T52" s="14" t="s">
        <v>10070</v>
      </c>
      <c r="U52" s="14" t="s">
        <v>10071</v>
      </c>
      <c r="V52" s="14" t="s">
        <v>10072</v>
      </c>
      <c r="W52" s="14" t="s">
        <v>10073</v>
      </c>
      <c r="X52" s="14" t="s">
        <v>4231</v>
      </c>
      <c r="Y52" s="14" t="s">
        <v>10074</v>
      </c>
      <c r="Z52" s="14" t="s">
        <v>99</v>
      </c>
      <c r="AA52" s="14" t="s">
        <v>99</v>
      </c>
      <c r="AB52" s="14" t="s">
        <v>99</v>
      </c>
      <c r="AC52" s="14" t="s">
        <v>99</v>
      </c>
      <c r="AD52" s="14" t="s">
        <v>99</v>
      </c>
      <c r="AE52" s="14" t="s">
        <v>99</v>
      </c>
      <c r="AF52" s="14" t="s">
        <v>99</v>
      </c>
      <c r="AG52" s="14">
        <v>19.0</v>
      </c>
      <c r="AH52" s="14">
        <v>32.0</v>
      </c>
      <c r="AI52" s="14">
        <v>38.0</v>
      </c>
      <c r="AJ52" s="14">
        <v>0.0</v>
      </c>
      <c r="AK52" s="14">
        <v>8.0</v>
      </c>
      <c r="AL52" s="14" t="s">
        <v>10075</v>
      </c>
      <c r="AM52" s="14" t="s">
        <v>9737</v>
      </c>
      <c r="AN52" s="14" t="s">
        <v>10076</v>
      </c>
      <c r="AO52" s="14" t="s">
        <v>10077</v>
      </c>
      <c r="AP52" s="14" t="s">
        <v>99</v>
      </c>
      <c r="AQ52" s="14" t="s">
        <v>99</v>
      </c>
      <c r="AR52" s="14" t="s">
        <v>10069</v>
      </c>
      <c r="AS52" s="14" t="s">
        <v>10078</v>
      </c>
      <c r="AT52" s="14" t="s">
        <v>280</v>
      </c>
      <c r="AU52" s="14">
        <v>1999.0</v>
      </c>
      <c r="AV52" s="14">
        <v>101.0</v>
      </c>
      <c r="AW52" s="14">
        <v>1.0</v>
      </c>
      <c r="AX52" s="14" t="s">
        <v>99</v>
      </c>
      <c r="AY52" s="14" t="s">
        <v>99</v>
      </c>
      <c r="AZ52" s="14" t="s">
        <v>99</v>
      </c>
      <c r="BA52" s="14" t="s">
        <v>99</v>
      </c>
      <c r="BB52" s="14">
        <v>14.0</v>
      </c>
      <c r="BC52" s="14">
        <v>20.0</v>
      </c>
      <c r="BD52" s="14" t="s">
        <v>99</v>
      </c>
      <c r="BE52" s="14" t="s">
        <v>10079</v>
      </c>
      <c r="BF52" s="15" t="str">
        <f>HYPERLINK("http://dx.doi.org/10.2307/1370441","http://dx.doi.org/10.2307/1370441")</f>
        <v>http://dx.doi.org/10.2307/1370441</v>
      </c>
      <c r="BG52" s="14" t="s">
        <v>99</v>
      </c>
      <c r="BH52" s="14" t="s">
        <v>99</v>
      </c>
      <c r="BI52" s="14">
        <v>7.0</v>
      </c>
      <c r="BJ52" s="14" t="s">
        <v>1183</v>
      </c>
      <c r="BK52" s="14" t="s">
        <v>122</v>
      </c>
      <c r="BL52" s="14" t="s">
        <v>121</v>
      </c>
      <c r="BM52" s="14" t="s">
        <v>10080</v>
      </c>
      <c r="BN52" s="14" t="s">
        <v>99</v>
      </c>
      <c r="BO52" s="14" t="s">
        <v>238</v>
      </c>
      <c r="BP52" s="14" t="s">
        <v>99</v>
      </c>
      <c r="BQ52" s="14" t="s">
        <v>99</v>
      </c>
      <c r="BR52" s="14" t="s">
        <v>124</v>
      </c>
      <c r="BS52" s="14" t="s">
        <v>10081</v>
      </c>
      <c r="BT52" s="14" t="str">
        <f>HYPERLINK("https%3A%2F%2Fwww.webofscience.com%2Fwos%2Fwoscc%2Ffull-record%2FWOS:000078730200002","View Full Record in Web of Science")</f>
        <v>View Full Record in Web of Science</v>
      </c>
    </row>
    <row r="53" ht="12.75" customHeight="1">
      <c r="A53" s="14" t="s">
        <v>97</v>
      </c>
      <c r="B53" s="14" t="s">
        <v>10093</v>
      </c>
      <c r="C53" s="14" t="s">
        <v>99</v>
      </c>
      <c r="D53" s="14" t="s">
        <v>99</v>
      </c>
      <c r="E53" s="14" t="s">
        <v>99</v>
      </c>
      <c r="F53" s="14" t="s">
        <v>10093</v>
      </c>
      <c r="G53" s="14" t="s">
        <v>99</v>
      </c>
      <c r="H53" s="14" t="s">
        <v>99</v>
      </c>
      <c r="I53" s="14" t="s">
        <v>10094</v>
      </c>
      <c r="J53" s="14" t="s">
        <v>9030</v>
      </c>
      <c r="K53" s="14" t="s">
        <v>99</v>
      </c>
      <c r="L53" s="14" t="s">
        <v>99</v>
      </c>
      <c r="M53" s="14" t="s">
        <v>103</v>
      </c>
      <c r="N53" s="14" t="s">
        <v>104</v>
      </c>
      <c r="O53" s="14" t="s">
        <v>99</v>
      </c>
      <c r="P53" s="14" t="s">
        <v>99</v>
      </c>
      <c r="Q53" s="14" t="s">
        <v>99</v>
      </c>
      <c r="R53" s="14" t="s">
        <v>99</v>
      </c>
      <c r="S53" s="14" t="s">
        <v>99</v>
      </c>
      <c r="T53" s="14" t="s">
        <v>10095</v>
      </c>
      <c r="U53" s="14" t="s">
        <v>10096</v>
      </c>
      <c r="V53" s="14" t="s">
        <v>10097</v>
      </c>
      <c r="W53" s="14" t="s">
        <v>10098</v>
      </c>
      <c r="X53" s="14" t="s">
        <v>10099</v>
      </c>
      <c r="Y53" s="14" t="s">
        <v>10100</v>
      </c>
      <c r="Z53" s="14" t="s">
        <v>10101</v>
      </c>
      <c r="AA53" s="14" t="s">
        <v>99</v>
      </c>
      <c r="AB53" s="14" t="s">
        <v>99</v>
      </c>
      <c r="AC53" s="14" t="s">
        <v>99</v>
      </c>
      <c r="AD53" s="14" t="s">
        <v>99</v>
      </c>
      <c r="AE53" s="14" t="s">
        <v>99</v>
      </c>
      <c r="AF53" s="14" t="s">
        <v>99</v>
      </c>
      <c r="AG53" s="14">
        <v>46.0</v>
      </c>
      <c r="AH53" s="14">
        <v>17.0</v>
      </c>
      <c r="AI53" s="14">
        <v>22.0</v>
      </c>
      <c r="AJ53" s="14">
        <v>0.0</v>
      </c>
      <c r="AK53" s="14">
        <v>6.0</v>
      </c>
      <c r="AL53" s="14" t="s">
        <v>1593</v>
      </c>
      <c r="AM53" s="14" t="s">
        <v>1594</v>
      </c>
      <c r="AN53" s="14" t="s">
        <v>1595</v>
      </c>
      <c r="AO53" s="14" t="s">
        <v>9038</v>
      </c>
      <c r="AP53" s="14" t="s">
        <v>99</v>
      </c>
      <c r="AQ53" s="14" t="s">
        <v>99</v>
      </c>
      <c r="AR53" s="14" t="s">
        <v>9040</v>
      </c>
      <c r="AS53" s="14" t="s">
        <v>9041</v>
      </c>
      <c r="AT53" s="14" t="s">
        <v>421</v>
      </c>
      <c r="AU53" s="14">
        <v>1998.0</v>
      </c>
      <c r="AV53" s="14">
        <v>14.0</v>
      </c>
      <c r="AW53" s="14" t="s">
        <v>99</v>
      </c>
      <c r="AX53" s="14">
        <v>5.0</v>
      </c>
      <c r="AY53" s="14" t="s">
        <v>99</v>
      </c>
      <c r="AZ53" s="14" t="s">
        <v>99</v>
      </c>
      <c r="BA53" s="14" t="s">
        <v>99</v>
      </c>
      <c r="BB53" s="14">
        <v>629.0</v>
      </c>
      <c r="BC53" s="14">
        <v>643.0</v>
      </c>
      <c r="BD53" s="14" t="s">
        <v>99</v>
      </c>
      <c r="BE53" s="14" t="s">
        <v>10102</v>
      </c>
      <c r="BF53" s="15" t="str">
        <f>HYPERLINK("http://dx.doi.org/10.1017/S0266467498000443","http://dx.doi.org/10.1017/S0266467498000443")</f>
        <v>http://dx.doi.org/10.1017/S0266467498000443</v>
      </c>
      <c r="BG53" s="14" t="s">
        <v>99</v>
      </c>
      <c r="BH53" s="14" t="s">
        <v>99</v>
      </c>
      <c r="BI53" s="14">
        <v>15.0</v>
      </c>
      <c r="BJ53" s="14" t="s">
        <v>259</v>
      </c>
      <c r="BK53" s="14" t="s">
        <v>122</v>
      </c>
      <c r="BL53" s="14" t="s">
        <v>260</v>
      </c>
      <c r="BM53" s="14" t="s">
        <v>10103</v>
      </c>
      <c r="BN53" s="14" t="s">
        <v>99</v>
      </c>
      <c r="BO53" s="14" t="s">
        <v>99</v>
      </c>
      <c r="BP53" s="14" t="s">
        <v>99</v>
      </c>
      <c r="BQ53" s="14" t="s">
        <v>99</v>
      </c>
      <c r="BR53" s="14" t="s">
        <v>124</v>
      </c>
      <c r="BS53" s="14" t="s">
        <v>10104</v>
      </c>
      <c r="BT53" s="14" t="str">
        <f>HYPERLINK("https%3A%2F%2Fwww.webofscience.com%2Fwos%2Fwoscc%2Ffull-record%2FWOS:000077020100005","View Full Record in Web of Science")</f>
        <v>View Full Record in Web of Science</v>
      </c>
    </row>
    <row r="54" ht="12.75" customHeight="1">
      <c r="A54" s="14" t="s">
        <v>97</v>
      </c>
      <c r="B54" s="14" t="s">
        <v>10143</v>
      </c>
      <c r="C54" s="14" t="s">
        <v>99</v>
      </c>
      <c r="D54" s="14" t="s">
        <v>99</v>
      </c>
      <c r="E54" s="14" t="s">
        <v>99</v>
      </c>
      <c r="F54" s="14" t="s">
        <v>10143</v>
      </c>
      <c r="G54" s="14" t="s">
        <v>99</v>
      </c>
      <c r="H54" s="14" t="s">
        <v>99</v>
      </c>
      <c r="I54" s="14" t="s">
        <v>10144</v>
      </c>
      <c r="J54" s="14" t="s">
        <v>7335</v>
      </c>
      <c r="K54" s="14" t="s">
        <v>99</v>
      </c>
      <c r="L54" s="14" t="s">
        <v>99</v>
      </c>
      <c r="M54" s="14" t="s">
        <v>103</v>
      </c>
      <c r="N54" s="14" t="s">
        <v>104</v>
      </c>
      <c r="O54" s="14" t="s">
        <v>99</v>
      </c>
      <c r="P54" s="14" t="s">
        <v>99</v>
      </c>
      <c r="Q54" s="14" t="s">
        <v>99</v>
      </c>
      <c r="R54" s="14" t="s">
        <v>99</v>
      </c>
      <c r="S54" s="14" t="s">
        <v>99</v>
      </c>
      <c r="T54" s="14" t="s">
        <v>10145</v>
      </c>
      <c r="U54" s="14" t="s">
        <v>10146</v>
      </c>
      <c r="V54" s="14" t="s">
        <v>10147</v>
      </c>
      <c r="W54" s="14" t="s">
        <v>10148</v>
      </c>
      <c r="X54" s="14" t="s">
        <v>10149</v>
      </c>
      <c r="Y54" s="14" t="s">
        <v>10150</v>
      </c>
      <c r="Z54" s="14" t="s">
        <v>10151</v>
      </c>
      <c r="AA54" s="14" t="s">
        <v>10152</v>
      </c>
      <c r="AB54" s="14" t="s">
        <v>10153</v>
      </c>
      <c r="AC54" s="14" t="s">
        <v>99</v>
      </c>
      <c r="AD54" s="14" t="s">
        <v>99</v>
      </c>
      <c r="AE54" s="14" t="s">
        <v>99</v>
      </c>
      <c r="AF54" s="14" t="s">
        <v>99</v>
      </c>
      <c r="AG54" s="14">
        <v>47.0</v>
      </c>
      <c r="AH54" s="14">
        <v>63.0</v>
      </c>
      <c r="AI54" s="14">
        <v>72.0</v>
      </c>
      <c r="AJ54" s="14">
        <v>0.0</v>
      </c>
      <c r="AK54" s="14">
        <v>30.0</v>
      </c>
      <c r="AL54" s="14" t="s">
        <v>1731</v>
      </c>
      <c r="AM54" s="14" t="s">
        <v>1594</v>
      </c>
      <c r="AN54" s="14" t="s">
        <v>3585</v>
      </c>
      <c r="AO54" s="14" t="s">
        <v>7351</v>
      </c>
      <c r="AP54" s="14" t="s">
        <v>7352</v>
      </c>
      <c r="AQ54" s="14" t="s">
        <v>99</v>
      </c>
      <c r="AR54" s="14" t="s">
        <v>7353</v>
      </c>
      <c r="AS54" s="14" t="s">
        <v>7354</v>
      </c>
      <c r="AT54" s="14" t="s">
        <v>718</v>
      </c>
      <c r="AU54" s="14">
        <v>1998.0</v>
      </c>
      <c r="AV54" s="14">
        <v>19.0</v>
      </c>
      <c r="AW54" s="14">
        <v>2.0</v>
      </c>
      <c r="AX54" s="14" t="s">
        <v>99</v>
      </c>
      <c r="AY54" s="14" t="s">
        <v>99</v>
      </c>
      <c r="AZ54" s="14" t="s">
        <v>99</v>
      </c>
      <c r="BA54" s="14" t="s">
        <v>99</v>
      </c>
      <c r="BB54" s="14">
        <v>207.0</v>
      </c>
      <c r="BC54" s="14">
        <v>235.0</v>
      </c>
      <c r="BD54" s="14" t="s">
        <v>99</v>
      </c>
      <c r="BE54" s="14" t="s">
        <v>10154</v>
      </c>
      <c r="BF54" s="15" t="str">
        <f>HYPERLINK("http://dx.doi.org/10.1023/A:1020375430965","http://dx.doi.org/10.1023/A:1020375430965")</f>
        <v>http://dx.doi.org/10.1023/A:1020375430965</v>
      </c>
      <c r="BG54" s="14" t="s">
        <v>99</v>
      </c>
      <c r="BH54" s="14" t="s">
        <v>99</v>
      </c>
      <c r="BI54" s="14">
        <v>29.0</v>
      </c>
      <c r="BJ54" s="14" t="s">
        <v>121</v>
      </c>
      <c r="BK54" s="14" t="s">
        <v>122</v>
      </c>
      <c r="BL54" s="14" t="s">
        <v>121</v>
      </c>
      <c r="BM54" s="14" t="s">
        <v>10155</v>
      </c>
      <c r="BN54" s="14" t="s">
        <v>99</v>
      </c>
      <c r="BO54" s="14" t="s">
        <v>99</v>
      </c>
      <c r="BP54" s="14" t="s">
        <v>99</v>
      </c>
      <c r="BQ54" s="14" t="s">
        <v>99</v>
      </c>
      <c r="BR54" s="14" t="s">
        <v>124</v>
      </c>
      <c r="BS54" s="14" t="s">
        <v>10156</v>
      </c>
      <c r="BT54" s="14" t="str">
        <f>HYPERLINK("https%3A%2F%2Fwww.webofscience.com%2Fwos%2Fwoscc%2Ffull-record%2FWOS:000073143400002","View Full Record in Web of Science")</f>
        <v>View Full Record in Web of Science</v>
      </c>
    </row>
    <row r="55" ht="12.75" customHeight="1">
      <c r="A55" s="14" t="s">
        <v>97</v>
      </c>
      <c r="B55" s="14" t="s">
        <v>10171</v>
      </c>
      <c r="C55" s="14" t="s">
        <v>99</v>
      </c>
      <c r="D55" s="14" t="s">
        <v>99</v>
      </c>
      <c r="E55" s="14" t="s">
        <v>99</v>
      </c>
      <c r="F55" s="14" t="s">
        <v>10171</v>
      </c>
      <c r="G55" s="14" t="s">
        <v>99</v>
      </c>
      <c r="H55" s="14" t="s">
        <v>99</v>
      </c>
      <c r="I55" s="14" t="s">
        <v>10172</v>
      </c>
      <c r="J55" s="14" t="s">
        <v>2142</v>
      </c>
      <c r="K55" s="14" t="s">
        <v>99</v>
      </c>
      <c r="L55" s="14" t="s">
        <v>99</v>
      </c>
      <c r="M55" s="14" t="s">
        <v>103</v>
      </c>
      <c r="N55" s="14" t="s">
        <v>104</v>
      </c>
      <c r="O55" s="14" t="s">
        <v>99</v>
      </c>
      <c r="P55" s="14" t="s">
        <v>99</v>
      </c>
      <c r="Q55" s="14" t="s">
        <v>99</v>
      </c>
      <c r="R55" s="14" t="s">
        <v>99</v>
      </c>
      <c r="S55" s="14" t="s">
        <v>99</v>
      </c>
      <c r="T55" s="14" t="s">
        <v>99</v>
      </c>
      <c r="U55" s="14" t="s">
        <v>99</v>
      </c>
      <c r="V55" s="14" t="s">
        <v>10173</v>
      </c>
      <c r="W55" s="14" t="s">
        <v>10174</v>
      </c>
      <c r="X55" s="14" t="s">
        <v>99</v>
      </c>
      <c r="Y55" s="14" t="s">
        <v>10175</v>
      </c>
      <c r="Z55" s="14" t="s">
        <v>99</v>
      </c>
      <c r="AA55" s="14" t="s">
        <v>10176</v>
      </c>
      <c r="AB55" s="14" t="s">
        <v>10177</v>
      </c>
      <c r="AC55" s="14" t="s">
        <v>99</v>
      </c>
      <c r="AD55" s="14" t="s">
        <v>99</v>
      </c>
      <c r="AE55" s="14" t="s">
        <v>99</v>
      </c>
      <c r="AF55" s="14" t="s">
        <v>99</v>
      </c>
      <c r="AG55" s="14">
        <v>43.0</v>
      </c>
      <c r="AH55" s="14">
        <v>107.0</v>
      </c>
      <c r="AI55" s="14">
        <v>123.0</v>
      </c>
      <c r="AJ55" s="14">
        <v>0.0</v>
      </c>
      <c r="AK55" s="14">
        <v>23.0</v>
      </c>
      <c r="AL55" s="14" t="s">
        <v>1822</v>
      </c>
      <c r="AM55" s="14" t="s">
        <v>6591</v>
      </c>
      <c r="AN55" s="14" t="s">
        <v>6592</v>
      </c>
      <c r="AO55" s="14" t="s">
        <v>2155</v>
      </c>
      <c r="AP55" s="14" t="s">
        <v>99</v>
      </c>
      <c r="AQ55" s="14" t="s">
        <v>99</v>
      </c>
      <c r="AR55" s="14" t="s">
        <v>2157</v>
      </c>
      <c r="AS55" s="14" t="s">
        <v>2158</v>
      </c>
      <c r="AT55" s="14" t="s">
        <v>1058</v>
      </c>
      <c r="AU55" s="14">
        <v>1997.0</v>
      </c>
      <c r="AV55" s="14">
        <v>11.0</v>
      </c>
      <c r="AW55" s="14">
        <v>6.0</v>
      </c>
      <c r="AX55" s="14" t="s">
        <v>99</v>
      </c>
      <c r="AY55" s="14" t="s">
        <v>99</v>
      </c>
      <c r="AZ55" s="14" t="s">
        <v>99</v>
      </c>
      <c r="BA55" s="14" t="s">
        <v>99</v>
      </c>
      <c r="BB55" s="14">
        <v>1339.0</v>
      </c>
      <c r="BC55" s="14">
        <v>1353.0</v>
      </c>
      <c r="BD55" s="14" t="s">
        <v>99</v>
      </c>
      <c r="BE55" s="14" t="s">
        <v>10178</v>
      </c>
      <c r="BF55" s="15" t="str">
        <f>HYPERLINK("http://dx.doi.org/10.1046/j.1523-1739.1997.96048.x","http://dx.doi.org/10.1046/j.1523-1739.1997.96048.x")</f>
        <v>http://dx.doi.org/10.1046/j.1523-1739.1997.96048.x</v>
      </c>
      <c r="BG55" s="14" t="s">
        <v>99</v>
      </c>
      <c r="BH55" s="14" t="s">
        <v>99</v>
      </c>
      <c r="BI55" s="14">
        <v>15.0</v>
      </c>
      <c r="BJ55" s="14" t="s">
        <v>351</v>
      </c>
      <c r="BK55" s="14" t="s">
        <v>122</v>
      </c>
      <c r="BL55" s="14" t="s">
        <v>352</v>
      </c>
      <c r="BM55" s="14" t="s">
        <v>10179</v>
      </c>
      <c r="BN55" s="14" t="s">
        <v>99</v>
      </c>
      <c r="BO55" s="14" t="s">
        <v>99</v>
      </c>
      <c r="BP55" s="14" t="s">
        <v>99</v>
      </c>
      <c r="BQ55" s="14" t="s">
        <v>99</v>
      </c>
      <c r="BR55" s="14" t="s">
        <v>124</v>
      </c>
      <c r="BS55" s="14" t="s">
        <v>10180</v>
      </c>
      <c r="BT55" s="14" t="str">
        <f>HYPERLINK("https%3A%2F%2Fwww.webofscience.com%2Fwos%2Fwoscc%2Ffull-record%2FWOS:A1997YK80600014","View Full Record in Web of Science")</f>
        <v>View Full Record in Web of Science</v>
      </c>
    </row>
    <row r="56" ht="12.75" customHeight="1">
      <c r="A56" s="14" t="s">
        <v>97</v>
      </c>
      <c r="B56" s="14" t="s">
        <v>10193</v>
      </c>
      <c r="C56" s="14" t="s">
        <v>99</v>
      </c>
      <c r="D56" s="14" t="s">
        <v>99</v>
      </c>
      <c r="E56" s="14" t="s">
        <v>99</v>
      </c>
      <c r="F56" s="14" t="s">
        <v>10193</v>
      </c>
      <c r="G56" s="14" t="s">
        <v>99</v>
      </c>
      <c r="H56" s="14" t="s">
        <v>99</v>
      </c>
      <c r="I56" s="14" t="s">
        <v>10194</v>
      </c>
      <c r="J56" s="14" t="s">
        <v>5708</v>
      </c>
      <c r="K56" s="14" t="s">
        <v>99</v>
      </c>
      <c r="L56" s="14" t="s">
        <v>99</v>
      </c>
      <c r="M56" s="14" t="s">
        <v>103</v>
      </c>
      <c r="N56" s="14" t="s">
        <v>104</v>
      </c>
      <c r="O56" s="14" t="s">
        <v>99</v>
      </c>
      <c r="P56" s="14" t="s">
        <v>99</v>
      </c>
      <c r="Q56" s="14" t="s">
        <v>99</v>
      </c>
      <c r="R56" s="14" t="s">
        <v>99</v>
      </c>
      <c r="S56" s="14" t="s">
        <v>99</v>
      </c>
      <c r="T56" s="14" t="s">
        <v>10195</v>
      </c>
      <c r="U56" s="14" t="s">
        <v>10196</v>
      </c>
      <c r="V56" s="14" t="s">
        <v>10197</v>
      </c>
      <c r="W56" s="14" t="s">
        <v>10198</v>
      </c>
      <c r="X56" s="14" t="s">
        <v>10199</v>
      </c>
      <c r="Y56" s="14" t="s">
        <v>10150</v>
      </c>
      <c r="Z56" s="14" t="s">
        <v>99</v>
      </c>
      <c r="AA56" s="14" t="s">
        <v>10200</v>
      </c>
      <c r="AB56" s="14" t="s">
        <v>10201</v>
      </c>
      <c r="AC56" s="14" t="s">
        <v>99</v>
      </c>
      <c r="AD56" s="14" t="s">
        <v>99</v>
      </c>
      <c r="AE56" s="14" t="s">
        <v>99</v>
      </c>
      <c r="AF56" s="14" t="s">
        <v>99</v>
      </c>
      <c r="AG56" s="14">
        <v>25.0</v>
      </c>
      <c r="AH56" s="14">
        <v>32.0</v>
      </c>
      <c r="AI56" s="14">
        <v>35.0</v>
      </c>
      <c r="AJ56" s="14">
        <v>0.0</v>
      </c>
      <c r="AK56" s="14">
        <v>14.0</v>
      </c>
      <c r="AL56" s="14" t="s">
        <v>341</v>
      </c>
      <c r="AM56" s="14" t="s">
        <v>342</v>
      </c>
      <c r="AN56" s="14" t="s">
        <v>343</v>
      </c>
      <c r="AO56" s="14" t="s">
        <v>5719</v>
      </c>
      <c r="AP56" s="14" t="s">
        <v>5720</v>
      </c>
      <c r="AQ56" s="14" t="s">
        <v>99</v>
      </c>
      <c r="AR56" s="14" t="s">
        <v>5721</v>
      </c>
      <c r="AS56" s="14" t="s">
        <v>5722</v>
      </c>
      <c r="AT56" s="14" t="s">
        <v>421</v>
      </c>
      <c r="AU56" s="14">
        <v>1997.0</v>
      </c>
      <c r="AV56" s="14">
        <v>35.0</v>
      </c>
      <c r="AW56" s="14">
        <v>3.0</v>
      </c>
      <c r="AX56" s="14" t="s">
        <v>99</v>
      </c>
      <c r="AY56" s="14" t="s">
        <v>99</v>
      </c>
      <c r="AZ56" s="14" t="s">
        <v>99</v>
      </c>
      <c r="BA56" s="14" t="s">
        <v>99</v>
      </c>
      <c r="BB56" s="14">
        <v>213.0</v>
      </c>
      <c r="BC56" s="14">
        <v>223.0</v>
      </c>
      <c r="BD56" s="14" t="s">
        <v>99</v>
      </c>
      <c r="BE56" s="14" t="s">
        <v>10202</v>
      </c>
      <c r="BF56" s="15" t="str">
        <f>HYPERLINK("http://dx.doi.org/10.1111/j.1365-2028.1997.088-89088.x","http://dx.doi.org/10.1111/j.1365-2028.1997.088-89088.x")</f>
        <v>http://dx.doi.org/10.1111/j.1365-2028.1997.088-89088.x</v>
      </c>
      <c r="BG56" s="14" t="s">
        <v>99</v>
      </c>
      <c r="BH56" s="14" t="s">
        <v>99</v>
      </c>
      <c r="BI56" s="14">
        <v>11.0</v>
      </c>
      <c r="BJ56" s="14" t="s">
        <v>259</v>
      </c>
      <c r="BK56" s="14" t="s">
        <v>122</v>
      </c>
      <c r="BL56" s="14" t="s">
        <v>260</v>
      </c>
      <c r="BM56" s="14" t="s">
        <v>10203</v>
      </c>
      <c r="BN56" s="14" t="s">
        <v>99</v>
      </c>
      <c r="BO56" s="14" t="s">
        <v>99</v>
      </c>
      <c r="BP56" s="14" t="s">
        <v>99</v>
      </c>
      <c r="BQ56" s="14" t="s">
        <v>99</v>
      </c>
      <c r="BR56" s="14" t="s">
        <v>124</v>
      </c>
      <c r="BS56" s="14" t="s">
        <v>10204</v>
      </c>
      <c r="BT56" s="14" t="str">
        <f>HYPERLINK("https%3A%2F%2Fwww.webofscience.com%2Fwos%2Fwoscc%2Ffull-record%2FWOS:000072183400004","View Full Record in Web of Science")</f>
        <v>View Full Record in Web of Science</v>
      </c>
    </row>
    <row r="57" ht="12.75" customHeight="1">
      <c r="A57" s="14" t="s">
        <v>97</v>
      </c>
      <c r="B57" s="14" t="s">
        <v>10447</v>
      </c>
      <c r="C57" s="14" t="s">
        <v>99</v>
      </c>
      <c r="D57" s="14" t="s">
        <v>99</v>
      </c>
      <c r="E57" s="14" t="s">
        <v>99</v>
      </c>
      <c r="F57" s="14" t="s">
        <v>10447</v>
      </c>
      <c r="G57" s="14" t="s">
        <v>99</v>
      </c>
      <c r="H57" s="14" t="s">
        <v>99</v>
      </c>
      <c r="I57" s="14" t="s">
        <v>10448</v>
      </c>
      <c r="J57" s="14" t="s">
        <v>5708</v>
      </c>
      <c r="K57" s="14" t="s">
        <v>99</v>
      </c>
      <c r="L57" s="14" t="s">
        <v>99</v>
      </c>
      <c r="M57" s="14" t="s">
        <v>103</v>
      </c>
      <c r="N57" s="14" t="s">
        <v>104</v>
      </c>
      <c r="O57" s="14" t="s">
        <v>99</v>
      </c>
      <c r="P57" s="14" t="s">
        <v>99</v>
      </c>
      <c r="Q57" s="14" t="s">
        <v>99</v>
      </c>
      <c r="R57" s="14" t="s">
        <v>99</v>
      </c>
      <c r="S57" s="14" t="s">
        <v>99</v>
      </c>
      <c r="T57" s="14" t="s">
        <v>10449</v>
      </c>
      <c r="U57" s="14" t="s">
        <v>99</v>
      </c>
      <c r="V57" s="14" t="s">
        <v>10450</v>
      </c>
      <c r="W57" s="14" t="s">
        <v>10451</v>
      </c>
      <c r="X57" s="14" t="s">
        <v>99</v>
      </c>
      <c r="Y57" s="14" t="s">
        <v>10452</v>
      </c>
      <c r="Z57" s="14" t="s">
        <v>99</v>
      </c>
      <c r="AA57" s="14" t="s">
        <v>99</v>
      </c>
      <c r="AB57" s="14" t="s">
        <v>99</v>
      </c>
      <c r="AC57" s="14" t="s">
        <v>99</v>
      </c>
      <c r="AD57" s="14" t="s">
        <v>99</v>
      </c>
      <c r="AE57" s="14" t="s">
        <v>99</v>
      </c>
      <c r="AF57" s="14" t="s">
        <v>99</v>
      </c>
      <c r="AG57" s="14">
        <v>14.0</v>
      </c>
      <c r="AH57" s="14">
        <v>31.0</v>
      </c>
      <c r="AI57" s="14">
        <v>34.0</v>
      </c>
      <c r="AJ57" s="14">
        <v>0.0</v>
      </c>
      <c r="AK57" s="14">
        <v>25.0</v>
      </c>
      <c r="AL57" s="14" t="s">
        <v>341</v>
      </c>
      <c r="AM57" s="14" t="s">
        <v>342</v>
      </c>
      <c r="AN57" s="14" t="s">
        <v>343</v>
      </c>
      <c r="AO57" s="14" t="s">
        <v>5719</v>
      </c>
      <c r="AP57" s="14" t="s">
        <v>5720</v>
      </c>
      <c r="AQ57" s="14" t="s">
        <v>99</v>
      </c>
      <c r="AR57" s="14" t="s">
        <v>5721</v>
      </c>
      <c r="AS57" s="14" t="s">
        <v>5722</v>
      </c>
      <c r="AT57" s="14" t="s">
        <v>421</v>
      </c>
      <c r="AU57" s="14">
        <v>1991.0</v>
      </c>
      <c r="AV57" s="14">
        <v>29.0</v>
      </c>
      <c r="AW57" s="14">
        <v>3.0</v>
      </c>
      <c r="AX57" s="14" t="s">
        <v>99</v>
      </c>
      <c r="AY57" s="14" t="s">
        <v>99</v>
      </c>
      <c r="AZ57" s="14" t="s">
        <v>99</v>
      </c>
      <c r="BA57" s="14" t="s">
        <v>99</v>
      </c>
      <c r="BB57" s="14">
        <v>177.0</v>
      </c>
      <c r="BC57" s="14">
        <v>187.0</v>
      </c>
      <c r="BD57" s="14" t="s">
        <v>99</v>
      </c>
      <c r="BE57" s="14" t="s">
        <v>10453</v>
      </c>
      <c r="BF57" s="15" t="str">
        <f>HYPERLINK("http://dx.doi.org/10.1111/j.1365-2028.1991.tb01000.x","http://dx.doi.org/10.1111/j.1365-2028.1991.tb01000.x")</f>
        <v>http://dx.doi.org/10.1111/j.1365-2028.1991.tb01000.x</v>
      </c>
      <c r="BG57" s="14" t="s">
        <v>99</v>
      </c>
      <c r="BH57" s="14" t="s">
        <v>99</v>
      </c>
      <c r="BI57" s="14">
        <v>11.0</v>
      </c>
      <c r="BJ57" s="14" t="s">
        <v>259</v>
      </c>
      <c r="BK57" s="14" t="s">
        <v>122</v>
      </c>
      <c r="BL57" s="14" t="s">
        <v>260</v>
      </c>
      <c r="BM57" s="14" t="s">
        <v>10454</v>
      </c>
      <c r="BN57" s="14" t="s">
        <v>99</v>
      </c>
      <c r="BO57" s="14" t="s">
        <v>99</v>
      </c>
      <c r="BP57" s="14" t="s">
        <v>99</v>
      </c>
      <c r="BQ57" s="14" t="s">
        <v>99</v>
      </c>
      <c r="BR57" s="14" t="s">
        <v>124</v>
      </c>
      <c r="BS57" s="14" t="s">
        <v>10455</v>
      </c>
      <c r="BT57" s="14" t="str">
        <f>HYPERLINK("https%3A%2F%2Fwww.webofscience.com%2Fwos%2Fwoscc%2Ffull-record%2FWOS:A1991HC73800001","View Full Record in Web of Science")</f>
        <v>View Full Record in Web of Science</v>
      </c>
    </row>
    <row r="58" ht="12.75" customHeight="1">
      <c r="A58" s="14" t="s">
        <v>97</v>
      </c>
      <c r="B58" s="14" t="s">
        <v>10456</v>
      </c>
      <c r="C58" s="14" t="s">
        <v>99</v>
      </c>
      <c r="D58" s="14" t="s">
        <v>99</v>
      </c>
      <c r="E58" s="14" t="s">
        <v>99</v>
      </c>
      <c r="F58" s="14" t="s">
        <v>10456</v>
      </c>
      <c r="G58" s="14" t="s">
        <v>99</v>
      </c>
      <c r="H58" s="14" t="s">
        <v>99</v>
      </c>
      <c r="I58" s="14" t="s">
        <v>10457</v>
      </c>
      <c r="J58" s="14" t="s">
        <v>5708</v>
      </c>
      <c r="K58" s="14" t="s">
        <v>99</v>
      </c>
      <c r="L58" s="14" t="s">
        <v>99</v>
      </c>
      <c r="M58" s="14" t="s">
        <v>103</v>
      </c>
      <c r="N58" s="14" t="s">
        <v>104</v>
      </c>
      <c r="O58" s="14" t="s">
        <v>99</v>
      </c>
      <c r="P58" s="14" t="s">
        <v>99</v>
      </c>
      <c r="Q58" s="14" t="s">
        <v>99</v>
      </c>
      <c r="R58" s="14" t="s">
        <v>99</v>
      </c>
      <c r="S58" s="14" t="s">
        <v>99</v>
      </c>
      <c r="T58" s="14" t="s">
        <v>10458</v>
      </c>
      <c r="U58" s="14" t="s">
        <v>10459</v>
      </c>
      <c r="V58" s="14" t="s">
        <v>10460</v>
      </c>
      <c r="W58" s="14" t="s">
        <v>99</v>
      </c>
      <c r="X58" s="14" t="s">
        <v>99</v>
      </c>
      <c r="Y58" s="14" t="s">
        <v>99</v>
      </c>
      <c r="Z58" s="14" t="s">
        <v>99</v>
      </c>
      <c r="AA58" s="14" t="s">
        <v>99</v>
      </c>
      <c r="AB58" s="14" t="s">
        <v>99</v>
      </c>
      <c r="AC58" s="14" t="s">
        <v>99</v>
      </c>
      <c r="AD58" s="14" t="s">
        <v>99</v>
      </c>
      <c r="AE58" s="14" t="s">
        <v>99</v>
      </c>
      <c r="AF58" s="14" t="s">
        <v>99</v>
      </c>
      <c r="AG58" s="14">
        <v>21.0</v>
      </c>
      <c r="AH58" s="14">
        <v>118.0</v>
      </c>
      <c r="AI58" s="14">
        <v>140.0</v>
      </c>
      <c r="AJ58" s="14">
        <v>0.0</v>
      </c>
      <c r="AK58" s="14">
        <v>28.0</v>
      </c>
      <c r="AL58" s="14" t="s">
        <v>341</v>
      </c>
      <c r="AM58" s="14" t="s">
        <v>342</v>
      </c>
      <c r="AN58" s="14" t="s">
        <v>343</v>
      </c>
      <c r="AO58" s="14" t="s">
        <v>5719</v>
      </c>
      <c r="AP58" s="14" t="s">
        <v>5720</v>
      </c>
      <c r="AQ58" s="14" t="s">
        <v>99</v>
      </c>
      <c r="AR58" s="14" t="s">
        <v>5721</v>
      </c>
      <c r="AS58" s="14" t="s">
        <v>5722</v>
      </c>
      <c r="AT58" s="14" t="s">
        <v>1485</v>
      </c>
      <c r="AU58" s="14">
        <v>1991.0</v>
      </c>
      <c r="AV58" s="14">
        <v>29.0</v>
      </c>
      <c r="AW58" s="14">
        <v>1.0</v>
      </c>
      <c r="AX58" s="14" t="s">
        <v>99</v>
      </c>
      <c r="AY58" s="14" t="s">
        <v>99</v>
      </c>
      <c r="AZ58" s="14" t="s">
        <v>99</v>
      </c>
      <c r="BA58" s="14" t="s">
        <v>99</v>
      </c>
      <c r="BB58" s="14">
        <v>54.0</v>
      </c>
      <c r="BC58" s="14">
        <v>63.0</v>
      </c>
      <c r="BD58" s="14" t="s">
        <v>99</v>
      </c>
      <c r="BE58" s="14" t="s">
        <v>10461</v>
      </c>
      <c r="BF58" s="15" t="str">
        <f>HYPERLINK("http://dx.doi.org/10.1111/j.1365-2028.1991.tb00820.x","http://dx.doi.org/10.1111/j.1365-2028.1991.tb00820.x")</f>
        <v>http://dx.doi.org/10.1111/j.1365-2028.1991.tb00820.x</v>
      </c>
      <c r="BG58" s="14" t="s">
        <v>99</v>
      </c>
      <c r="BH58" s="14" t="s">
        <v>99</v>
      </c>
      <c r="BI58" s="14">
        <v>10.0</v>
      </c>
      <c r="BJ58" s="14" t="s">
        <v>259</v>
      </c>
      <c r="BK58" s="14" t="s">
        <v>122</v>
      </c>
      <c r="BL58" s="14" t="s">
        <v>260</v>
      </c>
      <c r="BM58" s="14" t="s">
        <v>10462</v>
      </c>
      <c r="BN58" s="14" t="s">
        <v>99</v>
      </c>
      <c r="BO58" s="14" t="s">
        <v>99</v>
      </c>
      <c r="BP58" s="14" t="s">
        <v>99</v>
      </c>
      <c r="BQ58" s="14" t="s">
        <v>99</v>
      </c>
      <c r="BR58" s="14" t="s">
        <v>124</v>
      </c>
      <c r="BS58" s="14" t="s">
        <v>10463</v>
      </c>
      <c r="BT58" s="14" t="str">
        <f>HYPERLINK("https%3A%2F%2Fwww.webofscience.com%2Fwos%2Fwoscc%2Ffull-record%2FWOS:A1991FW49800007","View Full Record in Web of Science")</f>
        <v>View Full Record in Web of Science</v>
      </c>
    </row>
    <row r="59" ht="12.75" customHeight="1">
      <c r="A59" s="14" t="s">
        <v>97</v>
      </c>
      <c r="B59" s="14" t="s">
        <v>10464</v>
      </c>
      <c r="C59" s="14" t="s">
        <v>99</v>
      </c>
      <c r="D59" s="14" t="s">
        <v>99</v>
      </c>
      <c r="E59" s="14" t="s">
        <v>99</v>
      </c>
      <c r="F59" s="14" t="s">
        <v>10464</v>
      </c>
      <c r="G59" s="14" t="s">
        <v>99</v>
      </c>
      <c r="H59" s="14" t="s">
        <v>99</v>
      </c>
      <c r="I59" s="14" t="s">
        <v>10465</v>
      </c>
      <c r="J59" s="14" t="s">
        <v>9030</v>
      </c>
      <c r="K59" s="14" t="s">
        <v>99</v>
      </c>
      <c r="L59" s="14" t="s">
        <v>99</v>
      </c>
      <c r="M59" s="14" t="s">
        <v>103</v>
      </c>
      <c r="N59" s="14" t="s">
        <v>104</v>
      </c>
      <c r="O59" s="14" t="s">
        <v>99</v>
      </c>
      <c r="P59" s="14" t="s">
        <v>99</v>
      </c>
      <c r="Q59" s="14" t="s">
        <v>99</v>
      </c>
      <c r="R59" s="14" t="s">
        <v>99</v>
      </c>
      <c r="S59" s="14" t="s">
        <v>99</v>
      </c>
      <c r="T59" s="14" t="s">
        <v>10466</v>
      </c>
      <c r="U59" s="14" t="s">
        <v>99</v>
      </c>
      <c r="V59" s="14" t="s">
        <v>10467</v>
      </c>
      <c r="W59" s="14" t="s">
        <v>99</v>
      </c>
      <c r="X59" s="14" t="s">
        <v>99</v>
      </c>
      <c r="Y59" s="14" t="s">
        <v>10468</v>
      </c>
      <c r="Z59" s="14" t="s">
        <v>99</v>
      </c>
      <c r="AA59" s="14" t="s">
        <v>99</v>
      </c>
      <c r="AB59" s="14" t="s">
        <v>99</v>
      </c>
      <c r="AC59" s="14" t="s">
        <v>99</v>
      </c>
      <c r="AD59" s="14" t="s">
        <v>99</v>
      </c>
      <c r="AE59" s="14" t="s">
        <v>99</v>
      </c>
      <c r="AF59" s="14" t="s">
        <v>99</v>
      </c>
      <c r="AG59" s="14">
        <v>0.0</v>
      </c>
      <c r="AH59" s="14">
        <v>33.0</v>
      </c>
      <c r="AI59" s="14">
        <v>37.0</v>
      </c>
      <c r="AJ59" s="14">
        <v>0.0</v>
      </c>
      <c r="AK59" s="14">
        <v>10.0</v>
      </c>
      <c r="AL59" s="14" t="s">
        <v>1593</v>
      </c>
      <c r="AM59" s="14" t="s">
        <v>1594</v>
      </c>
      <c r="AN59" s="14" t="s">
        <v>10264</v>
      </c>
      <c r="AO59" s="14" t="s">
        <v>9038</v>
      </c>
      <c r="AP59" s="14" t="s">
        <v>99</v>
      </c>
      <c r="AQ59" s="14" t="s">
        <v>99</v>
      </c>
      <c r="AR59" s="14" t="s">
        <v>9040</v>
      </c>
      <c r="AS59" s="14" t="s">
        <v>9041</v>
      </c>
      <c r="AT59" s="14" t="s">
        <v>280</v>
      </c>
      <c r="AU59" s="14">
        <v>1991.0</v>
      </c>
      <c r="AV59" s="14">
        <v>7.0</v>
      </c>
      <c r="AW59" s="14" t="s">
        <v>99</v>
      </c>
      <c r="AX59" s="14">
        <v>1.0</v>
      </c>
      <c r="AY59" s="14" t="s">
        <v>99</v>
      </c>
      <c r="AZ59" s="14" t="s">
        <v>99</v>
      </c>
      <c r="BA59" s="14" t="s">
        <v>99</v>
      </c>
      <c r="BB59" s="14">
        <v>25.0</v>
      </c>
      <c r="BC59" s="14">
        <v>36.0</v>
      </c>
      <c r="BD59" s="14" t="s">
        <v>99</v>
      </c>
      <c r="BE59" s="14" t="s">
        <v>10469</v>
      </c>
      <c r="BF59" s="15" t="str">
        <f>HYPERLINK("http://dx.doi.org/10.1017/S0266467400005022","http://dx.doi.org/10.1017/S0266467400005022")</f>
        <v>http://dx.doi.org/10.1017/S0266467400005022</v>
      </c>
      <c r="BG59" s="14" t="s">
        <v>99</v>
      </c>
      <c r="BH59" s="14" t="s">
        <v>99</v>
      </c>
      <c r="BI59" s="14">
        <v>12.0</v>
      </c>
      <c r="BJ59" s="14" t="s">
        <v>259</v>
      </c>
      <c r="BK59" s="14" t="s">
        <v>122</v>
      </c>
      <c r="BL59" s="14" t="s">
        <v>260</v>
      </c>
      <c r="BM59" s="14" t="s">
        <v>10470</v>
      </c>
      <c r="BN59" s="14" t="s">
        <v>99</v>
      </c>
      <c r="BO59" s="14" t="s">
        <v>99</v>
      </c>
      <c r="BP59" s="14" t="s">
        <v>99</v>
      </c>
      <c r="BQ59" s="14" t="s">
        <v>99</v>
      </c>
      <c r="BR59" s="14" t="s">
        <v>124</v>
      </c>
      <c r="BS59" s="14" t="s">
        <v>10471</v>
      </c>
      <c r="BT59" s="14" t="str">
        <f>HYPERLINK("https%3A%2F%2Fwww.webofscience.com%2Fwos%2Fwoscc%2Ffull-record%2FWOS:A1991FE80700002","View Full Record in Web of Science")</f>
        <v>View Full Record in Web of Science</v>
      </c>
    </row>
    <row r="60" ht="12.75" customHeight="1">
      <c r="A60" s="14" t="s">
        <v>97</v>
      </c>
      <c r="B60" s="14" t="s">
        <v>10492</v>
      </c>
      <c r="C60" s="14" t="s">
        <v>99</v>
      </c>
      <c r="D60" s="14" t="s">
        <v>99</v>
      </c>
      <c r="E60" s="14" t="s">
        <v>99</v>
      </c>
      <c r="F60" s="14" t="s">
        <v>10492</v>
      </c>
      <c r="G60" s="14" t="s">
        <v>99</v>
      </c>
      <c r="H60" s="14" t="s">
        <v>99</v>
      </c>
      <c r="I60" s="14" t="s">
        <v>10493</v>
      </c>
      <c r="J60" s="14" t="s">
        <v>6455</v>
      </c>
      <c r="K60" s="14" t="s">
        <v>99</v>
      </c>
      <c r="L60" s="14" t="s">
        <v>99</v>
      </c>
      <c r="M60" s="14" t="s">
        <v>103</v>
      </c>
      <c r="N60" s="14" t="s">
        <v>104</v>
      </c>
      <c r="O60" s="14" t="s">
        <v>99</v>
      </c>
      <c r="P60" s="14" t="s">
        <v>99</v>
      </c>
      <c r="Q60" s="14" t="s">
        <v>99</v>
      </c>
      <c r="R60" s="14" t="s">
        <v>99</v>
      </c>
      <c r="S60" s="14" t="s">
        <v>99</v>
      </c>
      <c r="T60" s="14" t="s">
        <v>99</v>
      </c>
      <c r="U60" s="14" t="s">
        <v>99</v>
      </c>
      <c r="V60" s="14" t="s">
        <v>99</v>
      </c>
      <c r="W60" s="14" t="s">
        <v>10494</v>
      </c>
      <c r="X60" s="14" t="s">
        <v>10495</v>
      </c>
      <c r="Y60" s="14" t="s">
        <v>99</v>
      </c>
      <c r="Z60" s="14" t="s">
        <v>99</v>
      </c>
      <c r="AA60" s="14" t="s">
        <v>99</v>
      </c>
      <c r="AB60" s="14" t="s">
        <v>99</v>
      </c>
      <c r="AC60" s="14" t="s">
        <v>99</v>
      </c>
      <c r="AD60" s="14" t="s">
        <v>99</v>
      </c>
      <c r="AE60" s="14" t="s">
        <v>99</v>
      </c>
      <c r="AF60" s="14" t="s">
        <v>99</v>
      </c>
      <c r="AG60" s="14">
        <v>63.0</v>
      </c>
      <c r="AH60" s="14">
        <v>55.0</v>
      </c>
      <c r="AI60" s="14">
        <v>67.0</v>
      </c>
      <c r="AJ60" s="14">
        <v>0.0</v>
      </c>
      <c r="AK60" s="14">
        <v>8.0</v>
      </c>
      <c r="AL60" s="14" t="s">
        <v>10496</v>
      </c>
      <c r="AM60" s="14" t="s">
        <v>317</v>
      </c>
      <c r="AN60" s="14" t="s">
        <v>10497</v>
      </c>
      <c r="AO60" s="14" t="s">
        <v>6468</v>
      </c>
      <c r="AP60" s="14" t="s">
        <v>99</v>
      </c>
      <c r="AQ60" s="14" t="s">
        <v>99</v>
      </c>
      <c r="AR60" s="14" t="s">
        <v>6455</v>
      </c>
      <c r="AS60" s="14" t="s">
        <v>6470</v>
      </c>
      <c r="AT60" s="14" t="s">
        <v>1485</v>
      </c>
      <c r="AU60" s="14">
        <v>1990.0</v>
      </c>
      <c r="AV60" s="14">
        <v>22.0</v>
      </c>
      <c r="AW60" s="14">
        <v>1.0</v>
      </c>
      <c r="AX60" s="14" t="s">
        <v>99</v>
      </c>
      <c r="AY60" s="14" t="s">
        <v>99</v>
      </c>
      <c r="AZ60" s="14" t="s">
        <v>99</v>
      </c>
      <c r="BA60" s="14" t="s">
        <v>99</v>
      </c>
      <c r="BB60" s="14">
        <v>90.0</v>
      </c>
      <c r="BC60" s="14">
        <v>99.0</v>
      </c>
      <c r="BD60" s="14" t="s">
        <v>99</v>
      </c>
      <c r="BE60" s="14" t="s">
        <v>10498</v>
      </c>
      <c r="BF60" s="15" t="str">
        <f>HYPERLINK("http://dx.doi.org/10.2307/2388723","http://dx.doi.org/10.2307/2388723")</f>
        <v>http://dx.doi.org/10.2307/2388723</v>
      </c>
      <c r="BG60" s="14" t="s">
        <v>99</v>
      </c>
      <c r="BH60" s="14" t="s">
        <v>99</v>
      </c>
      <c r="BI60" s="14">
        <v>10.0</v>
      </c>
      <c r="BJ60" s="14" t="s">
        <v>259</v>
      </c>
      <c r="BK60" s="14" t="s">
        <v>122</v>
      </c>
      <c r="BL60" s="14" t="s">
        <v>260</v>
      </c>
      <c r="BM60" s="14" t="s">
        <v>10499</v>
      </c>
      <c r="BN60" s="14" t="s">
        <v>99</v>
      </c>
      <c r="BO60" s="14" t="s">
        <v>99</v>
      </c>
      <c r="BP60" s="14" t="s">
        <v>99</v>
      </c>
      <c r="BQ60" s="14" t="s">
        <v>99</v>
      </c>
      <c r="BR60" s="14" t="s">
        <v>124</v>
      </c>
      <c r="BS60" s="14" t="s">
        <v>10500</v>
      </c>
      <c r="BT60" s="14" t="str">
        <f>HYPERLINK("https%3A%2F%2Fwww.webofscience.com%2Fwos%2Fwoscc%2Ffull-record%2FWOS:A1990DL16100011","View Full Record in Web of Science")</f>
        <v>View Full Record in Web of Science</v>
      </c>
    </row>
    <row r="61" ht="12.75" customHeight="1">
      <c r="A61" s="14" t="s">
        <v>97</v>
      </c>
      <c r="B61" s="14" t="s">
        <v>10517</v>
      </c>
      <c r="C61" s="14" t="s">
        <v>99</v>
      </c>
      <c r="D61" s="14" t="s">
        <v>99</v>
      </c>
      <c r="E61" s="14" t="s">
        <v>99</v>
      </c>
      <c r="F61" s="14" t="s">
        <v>10517</v>
      </c>
      <c r="G61" s="14" t="s">
        <v>99</v>
      </c>
      <c r="H61" s="14" t="s">
        <v>99</v>
      </c>
      <c r="I61" s="14" t="s">
        <v>10518</v>
      </c>
      <c r="J61" s="14" t="s">
        <v>6455</v>
      </c>
      <c r="K61" s="14" t="s">
        <v>99</v>
      </c>
      <c r="L61" s="14" t="s">
        <v>99</v>
      </c>
      <c r="M61" s="14" t="s">
        <v>103</v>
      </c>
      <c r="N61" s="14" t="s">
        <v>104</v>
      </c>
      <c r="O61" s="14" t="s">
        <v>99</v>
      </c>
      <c r="P61" s="14" t="s">
        <v>99</v>
      </c>
      <c r="Q61" s="14" t="s">
        <v>99</v>
      </c>
      <c r="R61" s="14" t="s">
        <v>99</v>
      </c>
      <c r="S61" s="14" t="s">
        <v>99</v>
      </c>
      <c r="T61" s="14" t="s">
        <v>99</v>
      </c>
      <c r="U61" s="14" t="s">
        <v>99</v>
      </c>
      <c r="V61" s="14" t="s">
        <v>10519</v>
      </c>
      <c r="W61" s="14" t="s">
        <v>99</v>
      </c>
      <c r="X61" s="14" t="s">
        <v>99</v>
      </c>
      <c r="Y61" s="14" t="s">
        <v>10520</v>
      </c>
      <c r="Z61" s="14" t="s">
        <v>99</v>
      </c>
      <c r="AA61" s="14" t="s">
        <v>99</v>
      </c>
      <c r="AB61" s="14" t="s">
        <v>99</v>
      </c>
      <c r="AC61" s="14" t="s">
        <v>99</v>
      </c>
      <c r="AD61" s="14" t="s">
        <v>99</v>
      </c>
      <c r="AE61" s="14" t="s">
        <v>99</v>
      </c>
      <c r="AF61" s="14" t="s">
        <v>99</v>
      </c>
      <c r="AG61" s="14">
        <v>0.0</v>
      </c>
      <c r="AH61" s="14">
        <v>194.0</v>
      </c>
      <c r="AI61" s="14">
        <v>231.0</v>
      </c>
      <c r="AJ61" s="14">
        <v>0.0</v>
      </c>
      <c r="AK61" s="14">
        <v>21.0</v>
      </c>
      <c r="AL61" s="14" t="s">
        <v>341</v>
      </c>
      <c r="AM61" s="14" t="s">
        <v>342</v>
      </c>
      <c r="AN61" s="14" t="s">
        <v>343</v>
      </c>
      <c r="AO61" s="14" t="s">
        <v>6468</v>
      </c>
      <c r="AP61" s="14" t="s">
        <v>6469</v>
      </c>
      <c r="AQ61" s="14" t="s">
        <v>99</v>
      </c>
      <c r="AR61" s="14" t="s">
        <v>6455</v>
      </c>
      <c r="AS61" s="14" t="s">
        <v>6470</v>
      </c>
      <c r="AT61" s="14" t="s">
        <v>99</v>
      </c>
      <c r="AU61" s="14">
        <v>1984.0</v>
      </c>
      <c r="AV61" s="14">
        <v>16.0</v>
      </c>
      <c r="AW61" s="14">
        <v>3.0</v>
      </c>
      <c r="AX61" s="14" t="s">
        <v>99</v>
      </c>
      <c r="AY61" s="14" t="s">
        <v>99</v>
      </c>
      <c r="AZ61" s="14" t="s">
        <v>99</v>
      </c>
      <c r="BA61" s="14" t="s">
        <v>99</v>
      </c>
      <c r="BB61" s="14">
        <v>210.0</v>
      </c>
      <c r="BC61" s="14">
        <v>222.0</v>
      </c>
      <c r="BD61" s="14" t="s">
        <v>99</v>
      </c>
      <c r="BE61" s="14" t="s">
        <v>10521</v>
      </c>
      <c r="BF61" s="15" t="str">
        <f>HYPERLINK("http://dx.doi.org/10.2307/2388054","http://dx.doi.org/10.2307/2388054")</f>
        <v>http://dx.doi.org/10.2307/2388054</v>
      </c>
      <c r="BG61" s="14" t="s">
        <v>99</v>
      </c>
      <c r="BH61" s="14" t="s">
        <v>99</v>
      </c>
      <c r="BI61" s="14">
        <v>13.0</v>
      </c>
      <c r="BJ61" s="14" t="s">
        <v>259</v>
      </c>
      <c r="BK61" s="14" t="s">
        <v>122</v>
      </c>
      <c r="BL61" s="14" t="s">
        <v>260</v>
      </c>
      <c r="BM61" s="14" t="s">
        <v>10522</v>
      </c>
      <c r="BN61" s="14" t="s">
        <v>99</v>
      </c>
      <c r="BO61" s="14" t="s">
        <v>99</v>
      </c>
      <c r="BP61" s="14" t="s">
        <v>99</v>
      </c>
      <c r="BQ61" s="14" t="s">
        <v>99</v>
      </c>
      <c r="BR61" s="14" t="s">
        <v>124</v>
      </c>
      <c r="BS61" s="14" t="s">
        <v>10523</v>
      </c>
      <c r="BT61" s="14" t="str">
        <f>HYPERLINK("https%3A%2F%2Fwww.webofscience.com%2Fwos%2Fwoscc%2Ffull-record%2FWOS:A1984TR49200005","View Full Record in Web of Science")</f>
        <v>View Full Record in Web of Science</v>
      </c>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773</v>
      </c>
      <c r="C2" s="14" t="s">
        <v>99</v>
      </c>
      <c r="D2" s="14" t="s">
        <v>99</v>
      </c>
      <c r="E2" s="14" t="s">
        <v>99</v>
      </c>
      <c r="F2" s="14" t="s">
        <v>774</v>
      </c>
      <c r="G2" s="14" t="s">
        <v>99</v>
      </c>
      <c r="H2" s="14" t="s">
        <v>99</v>
      </c>
      <c r="I2" s="14" t="s">
        <v>775</v>
      </c>
      <c r="J2" s="14" t="s">
        <v>776</v>
      </c>
      <c r="K2" s="14" t="s">
        <v>99</v>
      </c>
      <c r="L2" s="14" t="s">
        <v>99</v>
      </c>
      <c r="M2" s="14" t="s">
        <v>103</v>
      </c>
      <c r="N2" s="14" t="s">
        <v>104</v>
      </c>
      <c r="O2" s="14" t="s">
        <v>99</v>
      </c>
      <c r="P2" s="14" t="s">
        <v>99</v>
      </c>
      <c r="Q2" s="14" t="s">
        <v>99</v>
      </c>
      <c r="R2" s="14" t="s">
        <v>99</v>
      </c>
      <c r="S2" s="14" t="s">
        <v>99</v>
      </c>
      <c r="T2" s="14" t="s">
        <v>99</v>
      </c>
      <c r="U2" s="14" t="s">
        <v>777</v>
      </c>
      <c r="V2" s="14" t="s">
        <v>778</v>
      </c>
      <c r="W2" s="14" t="s">
        <v>779</v>
      </c>
      <c r="X2" s="14" t="s">
        <v>780</v>
      </c>
      <c r="Y2" s="14" t="s">
        <v>781</v>
      </c>
      <c r="Z2" s="14" t="s">
        <v>782</v>
      </c>
      <c r="AA2" s="14" t="s">
        <v>783</v>
      </c>
      <c r="AB2" s="14" t="s">
        <v>784</v>
      </c>
      <c r="AC2" s="14" t="s">
        <v>785</v>
      </c>
      <c r="AD2" s="14" t="s">
        <v>786</v>
      </c>
      <c r="AE2" s="14" t="s">
        <v>787</v>
      </c>
      <c r="AF2" s="14" t="s">
        <v>99</v>
      </c>
      <c r="AG2" s="14">
        <v>50.0</v>
      </c>
      <c r="AH2" s="14">
        <v>506.0</v>
      </c>
      <c r="AI2" s="14">
        <v>553.0</v>
      </c>
      <c r="AJ2" s="14">
        <v>16.0</v>
      </c>
      <c r="AK2" s="14">
        <v>296.0</v>
      </c>
      <c r="AL2" s="14" t="s">
        <v>788</v>
      </c>
      <c r="AM2" s="14" t="s">
        <v>789</v>
      </c>
      <c r="AN2" s="14" t="s">
        <v>790</v>
      </c>
      <c r="AO2" s="14" t="s">
        <v>791</v>
      </c>
      <c r="AP2" s="14" t="s">
        <v>792</v>
      </c>
      <c r="AQ2" s="14" t="s">
        <v>99</v>
      </c>
      <c r="AR2" s="14" t="s">
        <v>793</v>
      </c>
      <c r="AS2" s="14" t="s">
        <v>794</v>
      </c>
      <c r="AT2" s="14" t="s">
        <v>795</v>
      </c>
      <c r="AU2" s="14">
        <v>2018.0</v>
      </c>
      <c r="AV2" s="14">
        <v>115.0</v>
      </c>
      <c r="AW2" s="14">
        <v>10.0</v>
      </c>
      <c r="AX2" s="14" t="s">
        <v>99</v>
      </c>
      <c r="AY2" s="14" t="s">
        <v>99</v>
      </c>
      <c r="AZ2" s="14" t="s">
        <v>99</v>
      </c>
      <c r="BA2" s="14" t="s">
        <v>99</v>
      </c>
      <c r="BB2" s="14" t="s">
        <v>796</v>
      </c>
      <c r="BC2" s="14" t="s">
        <v>797</v>
      </c>
      <c r="BD2" s="14" t="s">
        <v>99</v>
      </c>
      <c r="BE2" s="14" t="s">
        <v>798</v>
      </c>
      <c r="BF2" s="15" t="str">
        <f>HYPERLINK("http://dx.doi.org/10.1073/pnas.1719429115","http://dx.doi.org/10.1073/pnas.1719429115")</f>
        <v>http://dx.doi.org/10.1073/pnas.1719429115</v>
      </c>
      <c r="BG2" s="14" t="s">
        <v>99</v>
      </c>
      <c r="BH2" s="14" t="s">
        <v>99</v>
      </c>
      <c r="BI2" s="14">
        <v>10.0</v>
      </c>
      <c r="BJ2" s="14" t="s">
        <v>799</v>
      </c>
      <c r="BK2" s="14" t="s">
        <v>800</v>
      </c>
      <c r="BL2" s="14" t="s">
        <v>801</v>
      </c>
      <c r="BM2" s="14" t="s">
        <v>802</v>
      </c>
      <c r="BN2" s="14">
        <v>2.9432147E7</v>
      </c>
      <c r="BO2" s="14" t="s">
        <v>373</v>
      </c>
      <c r="BP2" s="14" t="s">
        <v>99</v>
      </c>
      <c r="BQ2" s="14" t="s">
        <v>99</v>
      </c>
      <c r="BR2" s="14" t="s">
        <v>124</v>
      </c>
      <c r="BS2" s="14" t="s">
        <v>803</v>
      </c>
      <c r="BT2" s="14" t="str">
        <f>HYPERLINK("https%3A%2F%2Fwww.webofscience.com%2Fwos%2Fwoscc%2Ffull-record%2FWOS:000426671900017","View Full Record in Web of Science")</f>
        <v>View Full Record in Web of Science</v>
      </c>
    </row>
    <row r="3" ht="12.75" customHeight="1">
      <c r="A3" s="14" t="s">
        <v>97</v>
      </c>
      <c r="B3" s="14" t="s">
        <v>942</v>
      </c>
      <c r="C3" s="14" t="s">
        <v>99</v>
      </c>
      <c r="D3" s="14" t="s">
        <v>99</v>
      </c>
      <c r="E3" s="14" t="s">
        <v>99</v>
      </c>
      <c r="F3" s="14" t="s">
        <v>943</v>
      </c>
      <c r="G3" s="14" t="s">
        <v>99</v>
      </c>
      <c r="H3" s="14" t="s">
        <v>99</v>
      </c>
      <c r="I3" s="14" t="s">
        <v>944</v>
      </c>
      <c r="J3" s="14" t="s">
        <v>945</v>
      </c>
      <c r="K3" s="14" t="s">
        <v>99</v>
      </c>
      <c r="L3" s="14" t="s">
        <v>99</v>
      </c>
      <c r="M3" s="14" t="s">
        <v>103</v>
      </c>
      <c r="N3" s="14" t="s">
        <v>104</v>
      </c>
      <c r="O3" s="14" t="s">
        <v>99</v>
      </c>
      <c r="P3" s="14" t="s">
        <v>99</v>
      </c>
      <c r="Q3" s="14" t="s">
        <v>99</v>
      </c>
      <c r="R3" s="14" t="s">
        <v>99</v>
      </c>
      <c r="S3" s="14" t="s">
        <v>99</v>
      </c>
      <c r="T3" s="14" t="s">
        <v>99</v>
      </c>
      <c r="U3" s="14" t="s">
        <v>946</v>
      </c>
      <c r="V3" s="14" t="s">
        <v>99</v>
      </c>
      <c r="W3" s="14" t="s">
        <v>947</v>
      </c>
      <c r="X3" s="14" t="s">
        <v>948</v>
      </c>
      <c r="Y3" s="14" t="s">
        <v>949</v>
      </c>
      <c r="Z3" s="14" t="s">
        <v>99</v>
      </c>
      <c r="AA3" s="14" t="s">
        <v>950</v>
      </c>
      <c r="AB3" s="14" t="s">
        <v>951</v>
      </c>
      <c r="AC3" s="14" t="s">
        <v>99</v>
      </c>
      <c r="AD3" s="14" t="s">
        <v>99</v>
      </c>
      <c r="AE3" s="14" t="s">
        <v>99</v>
      </c>
      <c r="AF3" s="14" t="s">
        <v>99</v>
      </c>
      <c r="AG3" s="14">
        <v>21.0</v>
      </c>
      <c r="AH3" s="14">
        <v>50.0</v>
      </c>
      <c r="AI3" s="14">
        <v>53.0</v>
      </c>
      <c r="AJ3" s="14">
        <v>1.0</v>
      </c>
      <c r="AK3" s="14">
        <v>18.0</v>
      </c>
      <c r="AL3" s="14" t="s">
        <v>952</v>
      </c>
      <c r="AM3" s="14" t="s">
        <v>953</v>
      </c>
      <c r="AN3" s="14" t="s">
        <v>954</v>
      </c>
      <c r="AO3" s="14" t="s">
        <v>955</v>
      </c>
      <c r="AP3" s="14" t="s">
        <v>956</v>
      </c>
      <c r="AQ3" s="14" t="s">
        <v>99</v>
      </c>
      <c r="AR3" s="14" t="s">
        <v>957</v>
      </c>
      <c r="AS3" s="14" t="s">
        <v>958</v>
      </c>
      <c r="AT3" s="14" t="s">
        <v>935</v>
      </c>
      <c r="AU3" s="14">
        <v>2018.0</v>
      </c>
      <c r="AV3" s="14">
        <v>99.0</v>
      </c>
      <c r="AW3" s="14">
        <v>1.0</v>
      </c>
      <c r="AX3" s="14" t="s">
        <v>99</v>
      </c>
      <c r="AY3" s="14" t="s">
        <v>959</v>
      </c>
      <c r="AZ3" s="14" t="s">
        <v>99</v>
      </c>
      <c r="BA3" s="14" t="s">
        <v>99</v>
      </c>
      <c r="BB3" s="14" t="s">
        <v>960</v>
      </c>
      <c r="BC3" s="14" t="s">
        <v>961</v>
      </c>
      <c r="BD3" s="14" t="s">
        <v>99</v>
      </c>
      <c r="BE3" s="14" t="s">
        <v>962</v>
      </c>
      <c r="BF3" s="15" t="str">
        <f>HYPERLINK("http://dx.doi.org/10.1175/BAMS-D-17-0116.1","http://dx.doi.org/10.1175/BAMS-D-17-0116.1")</f>
        <v>http://dx.doi.org/10.1175/BAMS-D-17-0116.1</v>
      </c>
      <c r="BG3" s="14" t="s">
        <v>99</v>
      </c>
      <c r="BH3" s="14" t="s">
        <v>99</v>
      </c>
      <c r="BI3" s="14">
        <v>5.0</v>
      </c>
      <c r="BJ3" s="14" t="s">
        <v>963</v>
      </c>
      <c r="BK3" s="14" t="s">
        <v>122</v>
      </c>
      <c r="BL3" s="14" t="s">
        <v>963</v>
      </c>
      <c r="BM3" s="14" t="s">
        <v>964</v>
      </c>
      <c r="BN3" s="14" t="s">
        <v>99</v>
      </c>
      <c r="BO3" s="14" t="s">
        <v>99</v>
      </c>
      <c r="BP3" s="14" t="s">
        <v>99</v>
      </c>
      <c r="BQ3" s="14" t="s">
        <v>99</v>
      </c>
      <c r="BR3" s="14" t="s">
        <v>124</v>
      </c>
      <c r="BS3" s="14" t="s">
        <v>965</v>
      </c>
      <c r="BT3" s="14" t="str">
        <f>HYPERLINK("https%3A%2F%2Fwww.webofscience.com%2Fwos%2Fwoscc%2Ffull-record%2FWOS:000429319000004","View Full Record in Web of Science")</f>
        <v>View Full Record in Web of Science</v>
      </c>
    </row>
    <row r="4" ht="12.75" customHeight="1">
      <c r="A4" s="14" t="s">
        <v>97</v>
      </c>
      <c r="B4" s="14" t="s">
        <v>966</v>
      </c>
      <c r="C4" s="14" t="s">
        <v>99</v>
      </c>
      <c r="D4" s="14" t="s">
        <v>99</v>
      </c>
      <c r="E4" s="14" t="s">
        <v>99</v>
      </c>
      <c r="F4" s="14" t="s">
        <v>967</v>
      </c>
      <c r="G4" s="14" t="s">
        <v>99</v>
      </c>
      <c r="H4" s="14" t="s">
        <v>99</v>
      </c>
      <c r="I4" s="14" t="s">
        <v>968</v>
      </c>
      <c r="J4" s="14" t="s">
        <v>969</v>
      </c>
      <c r="K4" s="14" t="s">
        <v>99</v>
      </c>
      <c r="L4" s="14" t="s">
        <v>99</v>
      </c>
      <c r="M4" s="14" t="s">
        <v>103</v>
      </c>
      <c r="N4" s="14" t="s">
        <v>104</v>
      </c>
      <c r="O4" s="14" t="s">
        <v>99</v>
      </c>
      <c r="P4" s="14" t="s">
        <v>99</v>
      </c>
      <c r="Q4" s="14" t="s">
        <v>99</v>
      </c>
      <c r="R4" s="14" t="s">
        <v>99</v>
      </c>
      <c r="S4" s="14" t="s">
        <v>99</v>
      </c>
      <c r="T4" s="14" t="s">
        <v>970</v>
      </c>
      <c r="U4" s="14" t="s">
        <v>971</v>
      </c>
      <c r="V4" s="14" t="s">
        <v>972</v>
      </c>
      <c r="W4" s="14" t="s">
        <v>973</v>
      </c>
      <c r="X4" s="14" t="s">
        <v>974</v>
      </c>
      <c r="Y4" s="14" t="s">
        <v>975</v>
      </c>
      <c r="Z4" s="14" t="s">
        <v>976</v>
      </c>
      <c r="AA4" s="14" t="s">
        <v>977</v>
      </c>
      <c r="AB4" s="14" t="s">
        <v>978</v>
      </c>
      <c r="AC4" s="14" t="s">
        <v>979</v>
      </c>
      <c r="AD4" s="14" t="s">
        <v>980</v>
      </c>
      <c r="AE4" s="14" t="s">
        <v>981</v>
      </c>
      <c r="AF4" s="14" t="s">
        <v>99</v>
      </c>
      <c r="AG4" s="14">
        <v>22.0</v>
      </c>
      <c r="AH4" s="14">
        <v>276.0</v>
      </c>
      <c r="AI4" s="14">
        <v>326.0</v>
      </c>
      <c r="AJ4" s="14">
        <v>5.0</v>
      </c>
      <c r="AK4" s="14">
        <v>113.0</v>
      </c>
      <c r="AL4" s="14" t="s">
        <v>982</v>
      </c>
      <c r="AM4" s="14" t="s">
        <v>789</v>
      </c>
      <c r="AN4" s="14" t="s">
        <v>983</v>
      </c>
      <c r="AO4" s="14" t="s">
        <v>984</v>
      </c>
      <c r="AP4" s="14" t="s">
        <v>985</v>
      </c>
      <c r="AQ4" s="14" t="s">
        <v>99</v>
      </c>
      <c r="AR4" s="14" t="s">
        <v>986</v>
      </c>
      <c r="AS4" s="14" t="s">
        <v>987</v>
      </c>
      <c r="AT4" s="14" t="s">
        <v>988</v>
      </c>
      <c r="AU4" s="14">
        <v>2017.0</v>
      </c>
      <c r="AV4" s="14">
        <v>44.0</v>
      </c>
      <c r="AW4" s="14">
        <v>24.0</v>
      </c>
      <c r="AX4" s="14" t="s">
        <v>99</v>
      </c>
      <c r="AY4" s="14" t="s">
        <v>99</v>
      </c>
      <c r="AZ4" s="14" t="s">
        <v>99</v>
      </c>
      <c r="BA4" s="14" t="s">
        <v>99</v>
      </c>
      <c r="BB4" s="14">
        <v>12457.0</v>
      </c>
      <c r="BC4" s="14">
        <v>12464.0</v>
      </c>
      <c r="BD4" s="14" t="s">
        <v>99</v>
      </c>
      <c r="BE4" s="14" t="s">
        <v>989</v>
      </c>
      <c r="BF4" s="15" t="str">
        <f>HYPERLINK("http://dx.doi.org/10.1002/2017GL075888","http://dx.doi.org/10.1002/2017GL075888")</f>
        <v>http://dx.doi.org/10.1002/2017GL075888</v>
      </c>
      <c r="BG4" s="14" t="s">
        <v>99</v>
      </c>
      <c r="BH4" s="14" t="s">
        <v>99</v>
      </c>
      <c r="BI4" s="14">
        <v>8.0</v>
      </c>
      <c r="BJ4" s="14" t="s">
        <v>990</v>
      </c>
      <c r="BK4" s="14" t="s">
        <v>122</v>
      </c>
      <c r="BL4" s="14" t="s">
        <v>991</v>
      </c>
      <c r="BM4" s="14" t="s">
        <v>992</v>
      </c>
      <c r="BN4" s="14" t="s">
        <v>99</v>
      </c>
      <c r="BO4" s="14" t="s">
        <v>373</v>
      </c>
      <c r="BP4" s="14" t="s">
        <v>99</v>
      </c>
      <c r="BQ4" s="14" t="s">
        <v>99</v>
      </c>
      <c r="BR4" s="14" t="s">
        <v>124</v>
      </c>
      <c r="BS4" s="14" t="s">
        <v>993</v>
      </c>
      <c r="BT4" s="14" t="str">
        <f>HYPERLINK("https%3A%2F%2Fwww.webofscience.com%2Fwos%2Fwoscc%2Ffull-record%2FWOS:000422954700032","View Full Record in Web of Science")</f>
        <v>View Full Record in Web of Science</v>
      </c>
    </row>
    <row r="5" ht="12.75" customHeight="1">
      <c r="A5" s="14" t="s">
        <v>97</v>
      </c>
      <c r="B5" s="14" t="s">
        <v>1017</v>
      </c>
      <c r="C5" s="14" t="s">
        <v>99</v>
      </c>
      <c r="D5" s="14" t="s">
        <v>99</v>
      </c>
      <c r="E5" s="14" t="s">
        <v>99</v>
      </c>
      <c r="F5" s="14" t="s">
        <v>1018</v>
      </c>
      <c r="G5" s="14" t="s">
        <v>99</v>
      </c>
      <c r="H5" s="14" t="s">
        <v>99</v>
      </c>
      <c r="I5" s="14" t="s">
        <v>1019</v>
      </c>
      <c r="J5" s="14" t="s">
        <v>1020</v>
      </c>
      <c r="K5" s="14" t="s">
        <v>99</v>
      </c>
      <c r="L5" s="14" t="s">
        <v>99</v>
      </c>
      <c r="M5" s="14" t="s">
        <v>103</v>
      </c>
      <c r="N5" s="14" t="s">
        <v>104</v>
      </c>
      <c r="O5" s="14" t="s">
        <v>99</v>
      </c>
      <c r="P5" s="14" t="s">
        <v>99</v>
      </c>
      <c r="Q5" s="14" t="s">
        <v>99</v>
      </c>
      <c r="R5" s="14" t="s">
        <v>99</v>
      </c>
      <c r="S5" s="14" t="s">
        <v>99</v>
      </c>
      <c r="T5" s="14" t="s">
        <v>1021</v>
      </c>
      <c r="U5" s="14" t="s">
        <v>1022</v>
      </c>
      <c r="V5" s="14" t="s">
        <v>1023</v>
      </c>
      <c r="W5" s="14" t="s">
        <v>1024</v>
      </c>
      <c r="X5" s="14" t="s">
        <v>1025</v>
      </c>
      <c r="Y5" s="14" t="s">
        <v>1026</v>
      </c>
      <c r="Z5" s="14" t="s">
        <v>1027</v>
      </c>
      <c r="AA5" s="14" t="s">
        <v>1028</v>
      </c>
      <c r="AB5" s="14" t="s">
        <v>1029</v>
      </c>
      <c r="AC5" s="14" t="s">
        <v>1030</v>
      </c>
      <c r="AD5" s="14" t="s">
        <v>1031</v>
      </c>
      <c r="AE5" s="14" t="s">
        <v>1032</v>
      </c>
      <c r="AF5" s="14" t="s">
        <v>99</v>
      </c>
      <c r="AG5" s="14">
        <v>38.0</v>
      </c>
      <c r="AH5" s="14">
        <v>112.0</v>
      </c>
      <c r="AI5" s="14">
        <v>121.0</v>
      </c>
      <c r="AJ5" s="14">
        <v>1.0</v>
      </c>
      <c r="AK5" s="14">
        <v>186.0</v>
      </c>
      <c r="AL5" s="14" t="s">
        <v>1033</v>
      </c>
      <c r="AM5" s="14" t="s">
        <v>442</v>
      </c>
      <c r="AN5" s="14" t="s">
        <v>1034</v>
      </c>
      <c r="AO5" s="14" t="s">
        <v>1035</v>
      </c>
      <c r="AP5" s="14" t="s">
        <v>1036</v>
      </c>
      <c r="AQ5" s="14" t="s">
        <v>99</v>
      </c>
      <c r="AR5" s="14" t="s">
        <v>1037</v>
      </c>
      <c r="AS5" s="14" t="s">
        <v>1038</v>
      </c>
      <c r="AT5" s="14" t="s">
        <v>1039</v>
      </c>
      <c r="AU5" s="14">
        <v>2017.0</v>
      </c>
      <c r="AV5" s="14">
        <v>599.0</v>
      </c>
      <c r="AW5" s="14" t="s">
        <v>99</v>
      </c>
      <c r="AX5" s="14" t="s">
        <v>99</v>
      </c>
      <c r="AY5" s="14" t="s">
        <v>99</v>
      </c>
      <c r="AZ5" s="14" t="s">
        <v>99</v>
      </c>
      <c r="BA5" s="14" t="s">
        <v>99</v>
      </c>
      <c r="BB5" s="14">
        <v>1372.0</v>
      </c>
      <c r="BC5" s="14">
        <v>1381.0</v>
      </c>
      <c r="BD5" s="14" t="s">
        <v>99</v>
      </c>
      <c r="BE5" s="14" t="s">
        <v>1040</v>
      </c>
      <c r="BF5" s="15" t="str">
        <f>HYPERLINK("http://dx.doi.org/10.1016/j.scitotenv.2017.05.039","http://dx.doi.org/10.1016/j.scitotenv.2017.05.039")</f>
        <v>http://dx.doi.org/10.1016/j.scitotenv.2017.05.039</v>
      </c>
      <c r="BG5" s="14" t="s">
        <v>99</v>
      </c>
      <c r="BH5" s="14" t="s">
        <v>99</v>
      </c>
      <c r="BI5" s="14">
        <v>10.0</v>
      </c>
      <c r="BJ5" s="14" t="s">
        <v>1041</v>
      </c>
      <c r="BK5" s="14" t="s">
        <v>122</v>
      </c>
      <c r="BL5" s="14" t="s">
        <v>260</v>
      </c>
      <c r="BM5" s="14" t="s">
        <v>1042</v>
      </c>
      <c r="BN5" s="14">
        <v>2.8531948E7</v>
      </c>
      <c r="BO5" s="14" t="s">
        <v>1043</v>
      </c>
      <c r="BP5" s="14" t="s">
        <v>99</v>
      </c>
      <c r="BQ5" s="14" t="s">
        <v>99</v>
      </c>
      <c r="BR5" s="14" t="s">
        <v>124</v>
      </c>
      <c r="BS5" s="14" t="s">
        <v>1044</v>
      </c>
      <c r="BT5" s="14" t="str">
        <f>HYPERLINK("https%3A%2F%2Fwww.webofscience.com%2Fwos%2Fwoscc%2Ffull-record%2FWOS:000405253500033","View Full Record in Web of Science")</f>
        <v>View Full Record in Web of Science</v>
      </c>
    </row>
    <row r="6" ht="12.75" customHeight="1">
      <c r="A6" s="14" t="s">
        <v>97</v>
      </c>
      <c r="B6" s="14" t="s">
        <v>1063</v>
      </c>
      <c r="C6" s="14" t="s">
        <v>99</v>
      </c>
      <c r="D6" s="14" t="s">
        <v>99</v>
      </c>
      <c r="E6" s="14" t="s">
        <v>99</v>
      </c>
      <c r="F6" s="14" t="s">
        <v>1064</v>
      </c>
      <c r="G6" s="14" t="s">
        <v>99</v>
      </c>
      <c r="H6" s="14" t="s">
        <v>99</v>
      </c>
      <c r="I6" s="14" t="s">
        <v>1065</v>
      </c>
      <c r="J6" s="14" t="s">
        <v>776</v>
      </c>
      <c r="K6" s="14" t="s">
        <v>99</v>
      </c>
      <c r="L6" s="14" t="s">
        <v>99</v>
      </c>
      <c r="M6" s="14" t="s">
        <v>103</v>
      </c>
      <c r="N6" s="14" t="s">
        <v>104</v>
      </c>
      <c r="O6" s="14" t="s">
        <v>99</v>
      </c>
      <c r="P6" s="14" t="s">
        <v>99</v>
      </c>
      <c r="Q6" s="14" t="s">
        <v>99</v>
      </c>
      <c r="R6" s="14" t="s">
        <v>99</v>
      </c>
      <c r="S6" s="14" t="s">
        <v>99</v>
      </c>
      <c r="T6" s="14" t="s">
        <v>1066</v>
      </c>
      <c r="U6" s="14" t="s">
        <v>1067</v>
      </c>
      <c r="V6" s="14" t="s">
        <v>1068</v>
      </c>
      <c r="W6" s="14" t="s">
        <v>1069</v>
      </c>
      <c r="X6" s="14" t="s">
        <v>1070</v>
      </c>
      <c r="Y6" s="14" t="s">
        <v>1071</v>
      </c>
      <c r="Z6" s="14" t="s">
        <v>1072</v>
      </c>
      <c r="AA6" s="14" t="s">
        <v>1073</v>
      </c>
      <c r="AB6" s="14" t="s">
        <v>99</v>
      </c>
      <c r="AC6" s="14" t="s">
        <v>1074</v>
      </c>
      <c r="AD6" s="14" t="s">
        <v>1075</v>
      </c>
      <c r="AE6" s="14" t="s">
        <v>1076</v>
      </c>
      <c r="AF6" s="14" t="s">
        <v>99</v>
      </c>
      <c r="AG6" s="14">
        <v>12.0</v>
      </c>
      <c r="AH6" s="14">
        <v>384.0</v>
      </c>
      <c r="AI6" s="14">
        <v>459.0</v>
      </c>
      <c r="AJ6" s="14">
        <v>2.0</v>
      </c>
      <c r="AK6" s="14">
        <v>88.0</v>
      </c>
      <c r="AL6" s="14" t="s">
        <v>788</v>
      </c>
      <c r="AM6" s="14" t="s">
        <v>789</v>
      </c>
      <c r="AN6" s="14" t="s">
        <v>790</v>
      </c>
      <c r="AO6" s="14" t="s">
        <v>791</v>
      </c>
      <c r="AP6" s="14" t="s">
        <v>99</v>
      </c>
      <c r="AQ6" s="14" t="s">
        <v>99</v>
      </c>
      <c r="AR6" s="14" t="s">
        <v>793</v>
      </c>
      <c r="AS6" s="14" t="s">
        <v>794</v>
      </c>
      <c r="AT6" s="14" t="s">
        <v>1077</v>
      </c>
      <c r="AU6" s="14">
        <v>2017.0</v>
      </c>
      <c r="AV6" s="14">
        <v>114.0</v>
      </c>
      <c r="AW6" s="14">
        <v>48.0</v>
      </c>
      <c r="AX6" s="14" t="s">
        <v>99</v>
      </c>
      <c r="AY6" s="14" t="s">
        <v>99</v>
      </c>
      <c r="AZ6" s="14" t="s">
        <v>99</v>
      </c>
      <c r="BA6" s="14" t="s">
        <v>99</v>
      </c>
      <c r="BB6" s="14">
        <v>12681.0</v>
      </c>
      <c r="BC6" s="14">
        <v>12684.0</v>
      </c>
      <c r="BD6" s="14" t="s">
        <v>99</v>
      </c>
      <c r="BE6" s="14" t="s">
        <v>1078</v>
      </c>
      <c r="BF6" s="15" t="str">
        <f>HYPERLINK("http://dx.doi.org/10.1073/pnas.1716222114","http://dx.doi.org/10.1073/pnas.1716222114")</f>
        <v>http://dx.doi.org/10.1073/pnas.1716222114</v>
      </c>
      <c r="BG6" s="14" t="s">
        <v>99</v>
      </c>
      <c r="BH6" s="14" t="s">
        <v>99</v>
      </c>
      <c r="BI6" s="14">
        <v>4.0</v>
      </c>
      <c r="BJ6" s="14" t="s">
        <v>799</v>
      </c>
      <c r="BK6" s="14" t="s">
        <v>122</v>
      </c>
      <c r="BL6" s="14" t="s">
        <v>801</v>
      </c>
      <c r="BM6" s="14" t="s">
        <v>1079</v>
      </c>
      <c r="BN6" s="14">
        <v>2.9133388E7</v>
      </c>
      <c r="BO6" s="14" t="s">
        <v>373</v>
      </c>
      <c r="BP6" s="14" t="s">
        <v>99</v>
      </c>
      <c r="BQ6" s="14" t="s">
        <v>99</v>
      </c>
      <c r="BR6" s="14" t="s">
        <v>124</v>
      </c>
      <c r="BS6" s="14" t="s">
        <v>1080</v>
      </c>
      <c r="BT6" s="14" t="str">
        <f>HYPERLINK("https%3A%2F%2Fwww.webofscience.com%2Fwos%2Fwoscc%2Ffull-record%2FWOS:000416891600045","View Full Record in Web of Science")</f>
        <v>View Full Record in Web of Science</v>
      </c>
    </row>
    <row r="7" ht="12.75" customHeight="1">
      <c r="A7" s="14" t="s">
        <v>97</v>
      </c>
      <c r="B7" s="14" t="s">
        <v>1205</v>
      </c>
      <c r="C7" s="14" t="s">
        <v>99</v>
      </c>
      <c r="D7" s="14" t="s">
        <v>99</v>
      </c>
      <c r="E7" s="14" t="s">
        <v>99</v>
      </c>
      <c r="F7" s="14" t="s">
        <v>1206</v>
      </c>
      <c r="G7" s="14" t="s">
        <v>99</v>
      </c>
      <c r="H7" s="14" t="s">
        <v>99</v>
      </c>
      <c r="I7" s="14" t="s">
        <v>1207</v>
      </c>
      <c r="J7" s="14" t="s">
        <v>1208</v>
      </c>
      <c r="K7" s="14" t="s">
        <v>99</v>
      </c>
      <c r="L7" s="14" t="s">
        <v>99</v>
      </c>
      <c r="M7" s="14" t="s">
        <v>103</v>
      </c>
      <c r="N7" s="14" t="s">
        <v>104</v>
      </c>
      <c r="O7" s="14" t="s">
        <v>99</v>
      </c>
      <c r="P7" s="14" t="s">
        <v>99</v>
      </c>
      <c r="Q7" s="14" t="s">
        <v>99</v>
      </c>
      <c r="R7" s="14" t="s">
        <v>99</v>
      </c>
      <c r="S7" s="14" t="s">
        <v>99</v>
      </c>
      <c r="T7" s="14" t="s">
        <v>99</v>
      </c>
      <c r="U7" s="14" t="s">
        <v>1209</v>
      </c>
      <c r="V7" s="14" t="s">
        <v>1210</v>
      </c>
      <c r="W7" s="14" t="s">
        <v>1211</v>
      </c>
      <c r="X7" s="14" t="s">
        <v>1212</v>
      </c>
      <c r="Y7" s="14" t="s">
        <v>1213</v>
      </c>
      <c r="Z7" s="14" t="s">
        <v>1214</v>
      </c>
      <c r="AA7" s="14" t="s">
        <v>1215</v>
      </c>
      <c r="AB7" s="14" t="s">
        <v>1216</v>
      </c>
      <c r="AC7" s="14" t="s">
        <v>1217</v>
      </c>
      <c r="AD7" s="14" t="s">
        <v>1218</v>
      </c>
      <c r="AE7" s="14" t="s">
        <v>1219</v>
      </c>
      <c r="AF7" s="14" t="s">
        <v>99</v>
      </c>
      <c r="AG7" s="14">
        <v>45.0</v>
      </c>
      <c r="AH7" s="14">
        <v>354.0</v>
      </c>
      <c r="AI7" s="14">
        <v>392.0</v>
      </c>
      <c r="AJ7" s="14">
        <v>19.0</v>
      </c>
      <c r="AK7" s="14">
        <v>362.0</v>
      </c>
      <c r="AL7" s="14" t="s">
        <v>909</v>
      </c>
      <c r="AM7" s="14" t="s">
        <v>910</v>
      </c>
      <c r="AN7" s="14" t="s">
        <v>911</v>
      </c>
      <c r="AO7" s="14" t="s">
        <v>1220</v>
      </c>
      <c r="AP7" s="14" t="s">
        <v>99</v>
      </c>
      <c r="AQ7" s="14" t="s">
        <v>99</v>
      </c>
      <c r="AR7" s="14" t="s">
        <v>1221</v>
      </c>
      <c r="AS7" s="14" t="s">
        <v>1222</v>
      </c>
      <c r="AT7" s="14" t="s">
        <v>525</v>
      </c>
      <c r="AU7" s="14">
        <v>2017.0</v>
      </c>
      <c r="AV7" s="14">
        <v>1.0</v>
      </c>
      <c r="AW7" s="14">
        <v>7.0</v>
      </c>
      <c r="AX7" s="14" t="s">
        <v>99</v>
      </c>
      <c r="AY7" s="14" t="s">
        <v>99</v>
      </c>
      <c r="AZ7" s="14" t="s">
        <v>99</v>
      </c>
      <c r="BA7" s="14" t="s">
        <v>99</v>
      </c>
      <c r="BB7" s="14" t="s">
        <v>99</v>
      </c>
      <c r="BC7" s="14" t="s">
        <v>99</v>
      </c>
      <c r="BD7" s="14">
        <v>186.0</v>
      </c>
      <c r="BE7" s="14" t="s">
        <v>1223</v>
      </c>
      <c r="BF7" s="15" t="str">
        <f>HYPERLINK("http://dx.doi.org/10.1038/s41559-017-0186","http://dx.doi.org/10.1038/s41559-017-0186")</f>
        <v>http://dx.doi.org/10.1038/s41559-017-0186</v>
      </c>
      <c r="BG7" s="14" t="s">
        <v>99</v>
      </c>
      <c r="BH7" s="14" t="s">
        <v>99</v>
      </c>
      <c r="BI7" s="14">
        <v>7.0</v>
      </c>
      <c r="BJ7" s="14" t="s">
        <v>1224</v>
      </c>
      <c r="BK7" s="14" t="s">
        <v>122</v>
      </c>
      <c r="BL7" s="14" t="s">
        <v>1225</v>
      </c>
      <c r="BM7" s="14" t="s">
        <v>1226</v>
      </c>
      <c r="BN7" s="14" t="s">
        <v>99</v>
      </c>
      <c r="BO7" s="14" t="s">
        <v>576</v>
      </c>
      <c r="BP7" s="14" t="s">
        <v>99</v>
      </c>
      <c r="BQ7" s="14" t="s">
        <v>99</v>
      </c>
      <c r="BR7" s="14" t="s">
        <v>124</v>
      </c>
      <c r="BS7" s="14" t="s">
        <v>1227</v>
      </c>
      <c r="BT7" s="14" t="str">
        <f>HYPERLINK("https%3A%2F%2Fwww.webofscience.com%2Fwos%2Fwoscc%2Ffull-record%2FWOS:000417179000015","View Full Record in Web of Science")</f>
        <v>View Full Record in Web of Science</v>
      </c>
    </row>
    <row r="8" ht="12.75" customHeight="1">
      <c r="A8" s="14" t="s">
        <v>97</v>
      </c>
      <c r="B8" s="14" t="s">
        <v>1228</v>
      </c>
      <c r="C8" s="14" t="s">
        <v>99</v>
      </c>
      <c r="D8" s="14" t="s">
        <v>99</v>
      </c>
      <c r="E8" s="14" t="s">
        <v>99</v>
      </c>
      <c r="F8" s="14" t="s">
        <v>1229</v>
      </c>
      <c r="G8" s="14" t="s">
        <v>99</v>
      </c>
      <c r="H8" s="14" t="s">
        <v>99</v>
      </c>
      <c r="I8" s="14" t="s">
        <v>1230</v>
      </c>
      <c r="J8" s="14" t="s">
        <v>1231</v>
      </c>
      <c r="K8" s="14" t="s">
        <v>99</v>
      </c>
      <c r="L8" s="14" t="s">
        <v>99</v>
      </c>
      <c r="M8" s="14" t="s">
        <v>103</v>
      </c>
      <c r="N8" s="14" t="s">
        <v>104</v>
      </c>
      <c r="O8" s="14" t="s">
        <v>99</v>
      </c>
      <c r="P8" s="14" t="s">
        <v>99</v>
      </c>
      <c r="Q8" s="14" t="s">
        <v>99</v>
      </c>
      <c r="R8" s="14" t="s">
        <v>99</v>
      </c>
      <c r="S8" s="14" t="s">
        <v>99</v>
      </c>
      <c r="T8" s="14" t="s">
        <v>99</v>
      </c>
      <c r="U8" s="14" t="s">
        <v>1232</v>
      </c>
      <c r="V8" s="14" t="s">
        <v>1233</v>
      </c>
      <c r="W8" s="14" t="s">
        <v>1234</v>
      </c>
      <c r="X8" s="14" t="s">
        <v>1235</v>
      </c>
      <c r="Y8" s="14" t="s">
        <v>1236</v>
      </c>
      <c r="Z8" s="14" t="s">
        <v>1237</v>
      </c>
      <c r="AA8" s="14" t="s">
        <v>1238</v>
      </c>
      <c r="AB8" s="14" t="s">
        <v>1239</v>
      </c>
      <c r="AC8" s="14" t="s">
        <v>1240</v>
      </c>
      <c r="AD8" s="14" t="s">
        <v>1241</v>
      </c>
      <c r="AE8" s="14" t="s">
        <v>1242</v>
      </c>
      <c r="AF8" s="14" t="s">
        <v>99</v>
      </c>
      <c r="AG8" s="14">
        <v>42.0</v>
      </c>
      <c r="AH8" s="14">
        <v>12057.0</v>
      </c>
      <c r="AI8" s="14">
        <v>14062.0</v>
      </c>
      <c r="AJ8" s="14">
        <v>444.0</v>
      </c>
      <c r="AK8" s="14">
        <v>7717.0</v>
      </c>
      <c r="AL8" s="14" t="s">
        <v>1243</v>
      </c>
      <c r="AM8" s="14" t="s">
        <v>789</v>
      </c>
      <c r="AN8" s="14" t="s">
        <v>1244</v>
      </c>
      <c r="AO8" s="14" t="s">
        <v>1245</v>
      </c>
      <c r="AP8" s="14" t="s">
        <v>99</v>
      </c>
      <c r="AQ8" s="14" t="s">
        <v>99</v>
      </c>
      <c r="AR8" s="14" t="s">
        <v>1246</v>
      </c>
      <c r="AS8" s="14" t="s">
        <v>1247</v>
      </c>
      <c r="AT8" s="14" t="s">
        <v>525</v>
      </c>
      <c r="AU8" s="14">
        <v>2017.0</v>
      </c>
      <c r="AV8" s="14">
        <v>3.0</v>
      </c>
      <c r="AW8" s="14">
        <v>7.0</v>
      </c>
      <c r="AX8" s="14" t="s">
        <v>99</v>
      </c>
      <c r="AY8" s="14" t="s">
        <v>99</v>
      </c>
      <c r="AZ8" s="14" t="s">
        <v>99</v>
      </c>
      <c r="BA8" s="14" t="s">
        <v>99</v>
      </c>
      <c r="BB8" s="14" t="s">
        <v>99</v>
      </c>
      <c r="BC8" s="14" t="s">
        <v>99</v>
      </c>
      <c r="BD8" s="14" t="s">
        <v>1248</v>
      </c>
      <c r="BE8" s="14" t="s">
        <v>1249</v>
      </c>
      <c r="BF8" s="15" t="str">
        <f>HYPERLINK("http://dx.doi.org/10.1126/sciadv.1700782","http://dx.doi.org/10.1126/sciadv.1700782")</f>
        <v>http://dx.doi.org/10.1126/sciadv.1700782</v>
      </c>
      <c r="BG8" s="14" t="s">
        <v>99</v>
      </c>
      <c r="BH8" s="14" t="s">
        <v>99</v>
      </c>
      <c r="BI8" s="14">
        <v>5.0</v>
      </c>
      <c r="BJ8" s="14" t="s">
        <v>799</v>
      </c>
      <c r="BK8" s="14" t="s">
        <v>122</v>
      </c>
      <c r="BL8" s="14" t="s">
        <v>801</v>
      </c>
      <c r="BM8" s="14" t="s">
        <v>1250</v>
      </c>
      <c r="BN8" s="14">
        <v>2.8776036E7</v>
      </c>
      <c r="BO8" s="14" t="s">
        <v>1251</v>
      </c>
      <c r="BP8" s="14" t="s">
        <v>99</v>
      </c>
      <c r="BQ8" s="14" t="s">
        <v>99</v>
      </c>
      <c r="BR8" s="14" t="s">
        <v>124</v>
      </c>
      <c r="BS8" s="14" t="s">
        <v>1252</v>
      </c>
      <c r="BT8" s="14" t="str">
        <f>HYPERLINK("https%3A%2F%2Fwww.webofscience.com%2Fwos%2Fwoscc%2Ffull-record%2FWOS:000411588000033","View Full Record in Web of Science")</f>
        <v>View Full Record in Web of Science</v>
      </c>
    </row>
    <row r="9" ht="12.75" customHeight="1">
      <c r="A9" s="14" t="s">
        <v>97</v>
      </c>
      <c r="B9" s="14" t="s">
        <v>1277</v>
      </c>
      <c r="C9" s="14" t="s">
        <v>99</v>
      </c>
      <c r="D9" s="14" t="s">
        <v>99</v>
      </c>
      <c r="E9" s="14" t="s">
        <v>99</v>
      </c>
      <c r="F9" s="14" t="s">
        <v>1278</v>
      </c>
      <c r="G9" s="14" t="s">
        <v>99</v>
      </c>
      <c r="H9" s="14" t="s">
        <v>99</v>
      </c>
      <c r="I9" s="14" t="s">
        <v>1279</v>
      </c>
      <c r="J9" s="14" t="s">
        <v>945</v>
      </c>
      <c r="K9" s="14" t="s">
        <v>99</v>
      </c>
      <c r="L9" s="14" t="s">
        <v>99</v>
      </c>
      <c r="M9" s="14" t="s">
        <v>103</v>
      </c>
      <c r="N9" s="14" t="s">
        <v>104</v>
      </c>
      <c r="O9" s="14" t="s">
        <v>99</v>
      </c>
      <c r="P9" s="14" t="s">
        <v>99</v>
      </c>
      <c r="Q9" s="14" t="s">
        <v>99</v>
      </c>
      <c r="R9" s="14" t="s">
        <v>99</v>
      </c>
      <c r="S9" s="14" t="s">
        <v>99</v>
      </c>
      <c r="T9" s="14" t="s">
        <v>99</v>
      </c>
      <c r="U9" s="14" t="s">
        <v>1280</v>
      </c>
      <c r="V9" s="14" t="s">
        <v>1281</v>
      </c>
      <c r="W9" s="14" t="s">
        <v>1282</v>
      </c>
      <c r="X9" s="14" t="s">
        <v>1283</v>
      </c>
      <c r="Y9" s="14" t="s">
        <v>1284</v>
      </c>
      <c r="Z9" s="14" t="s">
        <v>1285</v>
      </c>
      <c r="AA9" s="14" t="s">
        <v>1286</v>
      </c>
      <c r="AB9" s="14" t="s">
        <v>1287</v>
      </c>
      <c r="AC9" s="14" t="s">
        <v>1288</v>
      </c>
      <c r="AD9" s="14" t="s">
        <v>1289</v>
      </c>
      <c r="AE9" s="14" t="s">
        <v>1290</v>
      </c>
      <c r="AF9" s="14" t="s">
        <v>99</v>
      </c>
      <c r="AG9" s="14">
        <v>56.0</v>
      </c>
      <c r="AH9" s="14">
        <v>292.0</v>
      </c>
      <c r="AI9" s="14">
        <v>306.0</v>
      </c>
      <c r="AJ9" s="14">
        <v>4.0</v>
      </c>
      <c r="AK9" s="14">
        <v>64.0</v>
      </c>
      <c r="AL9" s="14" t="s">
        <v>952</v>
      </c>
      <c r="AM9" s="14" t="s">
        <v>953</v>
      </c>
      <c r="AN9" s="14" t="s">
        <v>954</v>
      </c>
      <c r="AO9" s="14" t="s">
        <v>955</v>
      </c>
      <c r="AP9" s="14" t="s">
        <v>956</v>
      </c>
      <c r="AQ9" s="14" t="s">
        <v>99</v>
      </c>
      <c r="AR9" s="14" t="s">
        <v>957</v>
      </c>
      <c r="AS9" s="14" t="s">
        <v>958</v>
      </c>
      <c r="AT9" s="14" t="s">
        <v>525</v>
      </c>
      <c r="AU9" s="14">
        <v>2017.0</v>
      </c>
      <c r="AV9" s="14">
        <v>98.0</v>
      </c>
      <c r="AW9" s="14">
        <v>7.0</v>
      </c>
      <c r="AX9" s="14" t="s">
        <v>99</v>
      </c>
      <c r="AY9" s="14" t="s">
        <v>99</v>
      </c>
      <c r="AZ9" s="14" t="s">
        <v>99</v>
      </c>
      <c r="BA9" s="14" t="s">
        <v>99</v>
      </c>
      <c r="BB9" s="14">
        <v>1363.0</v>
      </c>
      <c r="BC9" s="14">
        <v>1382.0</v>
      </c>
      <c r="BD9" s="14" t="s">
        <v>99</v>
      </c>
      <c r="BE9" s="14" t="s">
        <v>1291</v>
      </c>
      <c r="BF9" s="15" t="str">
        <f>HYPERLINK("http://dx.doi.org/10.1175/BAMS-D-16-0009.1","http://dx.doi.org/10.1175/BAMS-D-16-0009.1")</f>
        <v>http://dx.doi.org/10.1175/BAMS-D-16-0009.1</v>
      </c>
      <c r="BG9" s="14" t="s">
        <v>99</v>
      </c>
      <c r="BH9" s="14" t="s">
        <v>99</v>
      </c>
      <c r="BI9" s="14">
        <v>20.0</v>
      </c>
      <c r="BJ9" s="14" t="s">
        <v>963</v>
      </c>
      <c r="BK9" s="14" t="s">
        <v>122</v>
      </c>
      <c r="BL9" s="14" t="s">
        <v>963</v>
      </c>
      <c r="BM9" s="14" t="s">
        <v>1292</v>
      </c>
      <c r="BN9" s="14" t="s">
        <v>99</v>
      </c>
      <c r="BO9" s="14" t="s">
        <v>576</v>
      </c>
      <c r="BP9" s="14" t="s">
        <v>99</v>
      </c>
      <c r="BQ9" s="14" t="s">
        <v>99</v>
      </c>
      <c r="BR9" s="14" t="s">
        <v>124</v>
      </c>
      <c r="BS9" s="14" t="s">
        <v>1293</v>
      </c>
      <c r="BT9" s="14" t="str">
        <f>HYPERLINK("https%3A%2F%2Fwww.webofscience.com%2Fwos%2Fwoscc%2Ffull-record%2FWOS:000406502800006","View Full Record in Web of Science")</f>
        <v>View Full Record in Web of Science</v>
      </c>
    </row>
    <row r="10" ht="12.75" customHeight="1">
      <c r="A10" s="14" t="s">
        <v>97</v>
      </c>
      <c r="B10" s="14" t="s">
        <v>1313</v>
      </c>
      <c r="C10" s="14" t="s">
        <v>99</v>
      </c>
      <c r="D10" s="14" t="s">
        <v>99</v>
      </c>
      <c r="E10" s="14" t="s">
        <v>99</v>
      </c>
      <c r="F10" s="14" t="s">
        <v>1314</v>
      </c>
      <c r="G10" s="14" t="s">
        <v>99</v>
      </c>
      <c r="H10" s="14" t="s">
        <v>99</v>
      </c>
      <c r="I10" s="14" t="s">
        <v>1315</v>
      </c>
      <c r="J10" s="14" t="s">
        <v>997</v>
      </c>
      <c r="K10" s="14" t="s">
        <v>99</v>
      </c>
      <c r="L10" s="14" t="s">
        <v>99</v>
      </c>
      <c r="M10" s="14" t="s">
        <v>103</v>
      </c>
      <c r="N10" s="14" t="s">
        <v>104</v>
      </c>
      <c r="O10" s="14" t="s">
        <v>99</v>
      </c>
      <c r="P10" s="14" t="s">
        <v>99</v>
      </c>
      <c r="Q10" s="14" t="s">
        <v>99</v>
      </c>
      <c r="R10" s="14" t="s">
        <v>99</v>
      </c>
      <c r="S10" s="14" t="s">
        <v>99</v>
      </c>
      <c r="T10" s="14" t="s">
        <v>99</v>
      </c>
      <c r="U10" s="14" t="s">
        <v>1316</v>
      </c>
      <c r="V10" s="14" t="s">
        <v>1317</v>
      </c>
      <c r="W10" s="14" t="s">
        <v>1318</v>
      </c>
      <c r="X10" s="14" t="s">
        <v>1319</v>
      </c>
      <c r="Y10" s="14" t="s">
        <v>1320</v>
      </c>
      <c r="Z10" s="14" t="s">
        <v>1321</v>
      </c>
      <c r="AA10" s="14" t="s">
        <v>1322</v>
      </c>
      <c r="AB10" s="14" t="s">
        <v>1323</v>
      </c>
      <c r="AC10" s="14" t="s">
        <v>1324</v>
      </c>
      <c r="AD10" s="14" t="s">
        <v>1324</v>
      </c>
      <c r="AE10" s="14" t="s">
        <v>1325</v>
      </c>
      <c r="AF10" s="14" t="s">
        <v>99</v>
      </c>
      <c r="AG10" s="14">
        <v>44.0</v>
      </c>
      <c r="AH10" s="14">
        <v>2775.0</v>
      </c>
      <c r="AI10" s="14">
        <v>3185.0</v>
      </c>
      <c r="AJ10" s="14">
        <v>88.0</v>
      </c>
      <c r="AK10" s="14">
        <v>1760.0</v>
      </c>
      <c r="AL10" s="14" t="s">
        <v>1326</v>
      </c>
      <c r="AM10" s="14" t="s">
        <v>274</v>
      </c>
      <c r="AN10" s="14" t="s">
        <v>1327</v>
      </c>
      <c r="AO10" s="14" t="s">
        <v>1009</v>
      </c>
      <c r="AP10" s="14" t="s">
        <v>99</v>
      </c>
      <c r="AQ10" s="14" t="s">
        <v>99</v>
      </c>
      <c r="AR10" s="14" t="s">
        <v>1010</v>
      </c>
      <c r="AS10" s="14" t="s">
        <v>1011</v>
      </c>
      <c r="AT10" s="14" t="s">
        <v>1328</v>
      </c>
      <c r="AU10" s="14">
        <v>2017.0</v>
      </c>
      <c r="AV10" s="14">
        <v>8.0</v>
      </c>
      <c r="AW10" s="14" t="s">
        <v>99</v>
      </c>
      <c r="AX10" s="14" t="s">
        <v>99</v>
      </c>
      <c r="AY10" s="14" t="s">
        <v>99</v>
      </c>
      <c r="AZ10" s="14" t="s">
        <v>99</v>
      </c>
      <c r="BA10" s="14" t="s">
        <v>99</v>
      </c>
      <c r="BB10" s="14" t="s">
        <v>99</v>
      </c>
      <c r="BC10" s="14" t="s">
        <v>99</v>
      </c>
      <c r="BD10" s="14">
        <v>15611.0</v>
      </c>
      <c r="BE10" s="14" t="s">
        <v>1329</v>
      </c>
      <c r="BF10" s="15" t="str">
        <f>HYPERLINK("http://dx.doi.org/10.1038/ncomms15611","http://dx.doi.org/10.1038/ncomms15611")</f>
        <v>http://dx.doi.org/10.1038/ncomms15611</v>
      </c>
      <c r="BG10" s="14" t="s">
        <v>99</v>
      </c>
      <c r="BH10" s="14" t="s">
        <v>99</v>
      </c>
      <c r="BI10" s="14">
        <v>10.0</v>
      </c>
      <c r="BJ10" s="14" t="s">
        <v>799</v>
      </c>
      <c r="BK10" s="14" t="s">
        <v>122</v>
      </c>
      <c r="BL10" s="14" t="s">
        <v>801</v>
      </c>
      <c r="BM10" s="14" t="s">
        <v>1330</v>
      </c>
      <c r="BN10" s="14">
        <v>2.8589961E7</v>
      </c>
      <c r="BO10" s="14" t="s">
        <v>1251</v>
      </c>
      <c r="BP10" s="14" t="s">
        <v>99</v>
      </c>
      <c r="BQ10" s="14" t="s">
        <v>99</v>
      </c>
      <c r="BR10" s="14" t="s">
        <v>124</v>
      </c>
      <c r="BS10" s="14" t="s">
        <v>1331</v>
      </c>
      <c r="BT10" s="14" t="str">
        <f>HYPERLINK("https%3A%2F%2Fwww.webofscience.com%2Fwos%2Fwoscc%2Ffull-record%2FWOS:000402803800001","View Full Record in Web of Science")</f>
        <v>View Full Record in Web of Science</v>
      </c>
    </row>
    <row r="11" ht="12.75" customHeight="1">
      <c r="A11" s="14" t="s">
        <v>97</v>
      </c>
      <c r="B11" s="14" t="s">
        <v>1400</v>
      </c>
      <c r="C11" s="14" t="s">
        <v>99</v>
      </c>
      <c r="D11" s="14" t="s">
        <v>99</v>
      </c>
      <c r="E11" s="14" t="s">
        <v>99</v>
      </c>
      <c r="F11" s="14" t="s">
        <v>1401</v>
      </c>
      <c r="G11" s="14" t="s">
        <v>99</v>
      </c>
      <c r="H11" s="14" t="s">
        <v>99</v>
      </c>
      <c r="I11" s="14" t="s">
        <v>1402</v>
      </c>
      <c r="J11" s="14" t="s">
        <v>776</v>
      </c>
      <c r="K11" s="14" t="s">
        <v>99</v>
      </c>
      <c r="L11" s="14" t="s">
        <v>99</v>
      </c>
      <c r="M11" s="14" t="s">
        <v>103</v>
      </c>
      <c r="N11" s="14" t="s">
        <v>104</v>
      </c>
      <c r="O11" s="14" t="s">
        <v>99</v>
      </c>
      <c r="P11" s="14" t="s">
        <v>99</v>
      </c>
      <c r="Q11" s="14" t="s">
        <v>99</v>
      </c>
      <c r="R11" s="14" t="s">
        <v>99</v>
      </c>
      <c r="S11" s="14" t="s">
        <v>99</v>
      </c>
      <c r="T11" s="14" t="s">
        <v>1403</v>
      </c>
      <c r="U11" s="14" t="s">
        <v>1404</v>
      </c>
      <c r="V11" s="14" t="s">
        <v>1405</v>
      </c>
      <c r="W11" s="14" t="s">
        <v>1406</v>
      </c>
      <c r="X11" s="14" t="s">
        <v>1407</v>
      </c>
      <c r="Y11" s="14" t="s">
        <v>1408</v>
      </c>
      <c r="Z11" s="14" t="s">
        <v>1409</v>
      </c>
      <c r="AA11" s="14" t="s">
        <v>1410</v>
      </c>
      <c r="AB11" s="14" t="s">
        <v>1411</v>
      </c>
      <c r="AC11" s="14" t="s">
        <v>1412</v>
      </c>
      <c r="AD11" s="14" t="s">
        <v>1413</v>
      </c>
      <c r="AE11" s="14" t="s">
        <v>1414</v>
      </c>
      <c r="AF11" s="14" t="s">
        <v>99</v>
      </c>
      <c r="AG11" s="14">
        <v>71.0</v>
      </c>
      <c r="AH11" s="14">
        <v>227.0</v>
      </c>
      <c r="AI11" s="14">
        <v>258.0</v>
      </c>
      <c r="AJ11" s="14">
        <v>2.0</v>
      </c>
      <c r="AK11" s="14">
        <v>343.0</v>
      </c>
      <c r="AL11" s="14" t="s">
        <v>788</v>
      </c>
      <c r="AM11" s="14" t="s">
        <v>789</v>
      </c>
      <c r="AN11" s="14" t="s">
        <v>790</v>
      </c>
      <c r="AO11" s="14" t="s">
        <v>791</v>
      </c>
      <c r="AP11" s="14" t="s">
        <v>99</v>
      </c>
      <c r="AQ11" s="14" t="s">
        <v>99</v>
      </c>
      <c r="AR11" s="14" t="s">
        <v>793</v>
      </c>
      <c r="AS11" s="14" t="s">
        <v>794</v>
      </c>
      <c r="AT11" s="14" t="s">
        <v>1415</v>
      </c>
      <c r="AU11" s="14">
        <v>2017.0</v>
      </c>
      <c r="AV11" s="14">
        <v>114.0</v>
      </c>
      <c r="AW11" s="14">
        <v>14.0</v>
      </c>
      <c r="AX11" s="14" t="s">
        <v>99</v>
      </c>
      <c r="AY11" s="14" t="s">
        <v>99</v>
      </c>
      <c r="AZ11" s="14" t="s">
        <v>99</v>
      </c>
      <c r="BA11" s="14" t="s">
        <v>99</v>
      </c>
      <c r="BB11" s="14">
        <v>3660.0</v>
      </c>
      <c r="BC11" s="14">
        <v>3665.0</v>
      </c>
      <c r="BD11" s="14" t="s">
        <v>99</v>
      </c>
      <c r="BE11" s="14" t="s">
        <v>1416</v>
      </c>
      <c r="BF11" s="15" t="str">
        <f>HYPERLINK("http://dx.doi.org/10.1073/pnas.1621517114","http://dx.doi.org/10.1073/pnas.1621517114")</f>
        <v>http://dx.doi.org/10.1073/pnas.1621517114</v>
      </c>
      <c r="BG11" s="14" t="s">
        <v>99</v>
      </c>
      <c r="BH11" s="14" t="s">
        <v>99</v>
      </c>
      <c r="BI11" s="14">
        <v>6.0</v>
      </c>
      <c r="BJ11" s="14" t="s">
        <v>799</v>
      </c>
      <c r="BK11" s="14" t="s">
        <v>122</v>
      </c>
      <c r="BL11" s="14" t="s">
        <v>801</v>
      </c>
      <c r="BM11" s="14" t="s">
        <v>1417</v>
      </c>
      <c r="BN11" s="14">
        <v>2.8320966E7</v>
      </c>
      <c r="BO11" s="14" t="s">
        <v>373</v>
      </c>
      <c r="BP11" s="14" t="s">
        <v>99</v>
      </c>
      <c r="BQ11" s="14" t="s">
        <v>99</v>
      </c>
      <c r="BR11" s="14" t="s">
        <v>124</v>
      </c>
      <c r="BS11" s="14" t="s">
        <v>1418</v>
      </c>
      <c r="BT11" s="14" t="str">
        <f>HYPERLINK("https%3A%2F%2Fwww.webofscience.com%2Fwos%2Fwoscc%2Ffull-record%2FWOS:000398159000048","View Full Record in Web of Science")</f>
        <v>View Full Record in Web of Science</v>
      </c>
    </row>
    <row r="12" ht="12.75" customHeight="1">
      <c r="A12" s="14" t="s">
        <v>97</v>
      </c>
      <c r="B12" s="14" t="s">
        <v>1491</v>
      </c>
      <c r="C12" s="14" t="s">
        <v>99</v>
      </c>
      <c r="D12" s="14" t="s">
        <v>99</v>
      </c>
      <c r="E12" s="14" t="s">
        <v>99</v>
      </c>
      <c r="F12" s="14" t="s">
        <v>1492</v>
      </c>
      <c r="G12" s="14" t="s">
        <v>99</v>
      </c>
      <c r="H12" s="14" t="s">
        <v>99</v>
      </c>
      <c r="I12" s="14" t="s">
        <v>1493</v>
      </c>
      <c r="J12" s="14" t="s">
        <v>997</v>
      </c>
      <c r="K12" s="14" t="s">
        <v>99</v>
      </c>
      <c r="L12" s="14" t="s">
        <v>99</v>
      </c>
      <c r="M12" s="14" t="s">
        <v>103</v>
      </c>
      <c r="N12" s="14" t="s">
        <v>104</v>
      </c>
      <c r="O12" s="14" t="s">
        <v>99</v>
      </c>
      <c r="P12" s="14" t="s">
        <v>99</v>
      </c>
      <c r="Q12" s="14" t="s">
        <v>99</v>
      </c>
      <c r="R12" s="14" t="s">
        <v>99</v>
      </c>
      <c r="S12" s="14" t="s">
        <v>99</v>
      </c>
      <c r="T12" s="14" t="s">
        <v>99</v>
      </c>
      <c r="U12" s="14" t="s">
        <v>1494</v>
      </c>
      <c r="V12" s="14" t="s">
        <v>1495</v>
      </c>
      <c r="W12" s="14" t="s">
        <v>1496</v>
      </c>
      <c r="X12" s="14" t="s">
        <v>1497</v>
      </c>
      <c r="Y12" s="14" t="s">
        <v>1498</v>
      </c>
      <c r="Z12" s="14" t="s">
        <v>1499</v>
      </c>
      <c r="AA12" s="14" t="s">
        <v>1500</v>
      </c>
      <c r="AB12" s="14" t="s">
        <v>1501</v>
      </c>
      <c r="AC12" s="14" t="s">
        <v>1502</v>
      </c>
      <c r="AD12" s="14" t="s">
        <v>1503</v>
      </c>
      <c r="AE12" s="14" t="s">
        <v>1504</v>
      </c>
      <c r="AF12" s="14" t="s">
        <v>99</v>
      </c>
      <c r="AG12" s="14">
        <v>44.0</v>
      </c>
      <c r="AH12" s="14">
        <v>1748.0</v>
      </c>
      <c r="AI12" s="14">
        <v>1939.0</v>
      </c>
      <c r="AJ12" s="14">
        <v>26.0</v>
      </c>
      <c r="AK12" s="14">
        <v>265.0</v>
      </c>
      <c r="AL12" s="14" t="s">
        <v>909</v>
      </c>
      <c r="AM12" s="14" t="s">
        <v>910</v>
      </c>
      <c r="AN12" s="14" t="s">
        <v>911</v>
      </c>
      <c r="AO12" s="14" t="s">
        <v>99</v>
      </c>
      <c r="AP12" s="14" t="s">
        <v>1009</v>
      </c>
      <c r="AQ12" s="14" t="s">
        <v>99</v>
      </c>
      <c r="AR12" s="14" t="s">
        <v>1010</v>
      </c>
      <c r="AS12" s="14" t="s">
        <v>1011</v>
      </c>
      <c r="AT12" s="14" t="s">
        <v>1505</v>
      </c>
      <c r="AU12" s="14">
        <v>2017.0</v>
      </c>
      <c r="AV12" s="14">
        <v>8.0</v>
      </c>
      <c r="AW12" s="14" t="s">
        <v>99</v>
      </c>
      <c r="AX12" s="14" t="s">
        <v>99</v>
      </c>
      <c r="AY12" s="14" t="s">
        <v>99</v>
      </c>
      <c r="AZ12" s="14" t="s">
        <v>99</v>
      </c>
      <c r="BA12" s="14" t="s">
        <v>99</v>
      </c>
      <c r="BB12" s="14" t="s">
        <v>99</v>
      </c>
      <c r="BC12" s="14" t="s">
        <v>99</v>
      </c>
      <c r="BD12" s="14">
        <v>14435.0</v>
      </c>
      <c r="BE12" s="14" t="s">
        <v>1506</v>
      </c>
      <c r="BF12" s="15" t="str">
        <f>HYPERLINK("http://dx.doi.org/10.1038/ncomms14435","http://dx.doi.org/10.1038/ncomms14435")</f>
        <v>http://dx.doi.org/10.1038/ncomms14435</v>
      </c>
      <c r="BG12" s="14" t="s">
        <v>99</v>
      </c>
      <c r="BH12" s="14" t="s">
        <v>99</v>
      </c>
      <c r="BI12" s="14">
        <v>9.0</v>
      </c>
      <c r="BJ12" s="14" t="s">
        <v>799</v>
      </c>
      <c r="BK12" s="14" t="s">
        <v>122</v>
      </c>
      <c r="BL12" s="14" t="s">
        <v>801</v>
      </c>
      <c r="BM12" s="14" t="s">
        <v>1507</v>
      </c>
      <c r="BN12" s="14">
        <v>2.819842E7</v>
      </c>
      <c r="BO12" s="14" t="s">
        <v>1508</v>
      </c>
      <c r="BP12" s="14" t="s">
        <v>99</v>
      </c>
      <c r="BQ12" s="14" t="s">
        <v>99</v>
      </c>
      <c r="BR12" s="14" t="s">
        <v>124</v>
      </c>
      <c r="BS12" s="14" t="s">
        <v>1509</v>
      </c>
      <c r="BT12" s="14" t="str">
        <f>HYPERLINK("https%3A%2F%2Fwww.webofscience.com%2Fwos%2Fwoscc%2Ffull-record%2FWOS:000394221600001","View Full Record in Web of Science")</f>
        <v>View Full Record in Web of Science</v>
      </c>
    </row>
    <row r="13" ht="12.75" customHeight="1">
      <c r="A13" s="14" t="s">
        <v>97</v>
      </c>
      <c r="B13" s="14" t="s">
        <v>1510</v>
      </c>
      <c r="C13" s="14" t="s">
        <v>99</v>
      </c>
      <c r="D13" s="14" t="s">
        <v>99</v>
      </c>
      <c r="E13" s="14" t="s">
        <v>99</v>
      </c>
      <c r="F13" s="14" t="s">
        <v>1511</v>
      </c>
      <c r="G13" s="14" t="s">
        <v>99</v>
      </c>
      <c r="H13" s="14" t="s">
        <v>99</v>
      </c>
      <c r="I13" s="14" t="s">
        <v>1512</v>
      </c>
      <c r="J13" s="14" t="s">
        <v>1256</v>
      </c>
      <c r="K13" s="14" t="s">
        <v>99</v>
      </c>
      <c r="L13" s="14" t="s">
        <v>99</v>
      </c>
      <c r="M13" s="14" t="s">
        <v>103</v>
      </c>
      <c r="N13" s="14" t="s">
        <v>104</v>
      </c>
      <c r="O13" s="14" t="s">
        <v>99</v>
      </c>
      <c r="P13" s="14" t="s">
        <v>99</v>
      </c>
      <c r="Q13" s="14" t="s">
        <v>99</v>
      </c>
      <c r="R13" s="14" t="s">
        <v>99</v>
      </c>
      <c r="S13" s="14" t="s">
        <v>99</v>
      </c>
      <c r="T13" s="14" t="s">
        <v>1513</v>
      </c>
      <c r="U13" s="14" t="s">
        <v>1514</v>
      </c>
      <c r="V13" s="14" t="s">
        <v>1515</v>
      </c>
      <c r="W13" s="14" t="s">
        <v>1516</v>
      </c>
      <c r="X13" s="14" t="s">
        <v>1517</v>
      </c>
      <c r="Y13" s="14" t="s">
        <v>1518</v>
      </c>
      <c r="Z13" s="14" t="s">
        <v>1519</v>
      </c>
      <c r="AA13" s="14" t="s">
        <v>1520</v>
      </c>
      <c r="AB13" s="14" t="s">
        <v>1521</v>
      </c>
      <c r="AC13" s="14" t="s">
        <v>1522</v>
      </c>
      <c r="AD13" s="14" t="s">
        <v>1523</v>
      </c>
      <c r="AE13" s="14" t="s">
        <v>1524</v>
      </c>
      <c r="AF13" s="14" t="s">
        <v>99</v>
      </c>
      <c r="AG13" s="14">
        <v>117.0</v>
      </c>
      <c r="AH13" s="14">
        <v>33.0</v>
      </c>
      <c r="AI13" s="14">
        <v>38.0</v>
      </c>
      <c r="AJ13" s="14">
        <v>3.0</v>
      </c>
      <c r="AK13" s="14">
        <v>58.0</v>
      </c>
      <c r="AL13" s="14" t="s">
        <v>341</v>
      </c>
      <c r="AM13" s="14" t="s">
        <v>342</v>
      </c>
      <c r="AN13" s="14" t="s">
        <v>343</v>
      </c>
      <c r="AO13" s="14" t="s">
        <v>1269</v>
      </c>
      <c r="AP13" s="14" t="s">
        <v>1270</v>
      </c>
      <c r="AQ13" s="14" t="s">
        <v>99</v>
      </c>
      <c r="AR13" s="14" t="s">
        <v>1271</v>
      </c>
      <c r="AS13" s="14" t="s">
        <v>1272</v>
      </c>
      <c r="AT13" s="14" t="s">
        <v>280</v>
      </c>
      <c r="AU13" s="14">
        <v>2017.0</v>
      </c>
      <c r="AV13" s="14">
        <v>62.0</v>
      </c>
      <c r="AW13" s="14">
        <v>2.0</v>
      </c>
      <c r="AX13" s="14" t="s">
        <v>99</v>
      </c>
      <c r="AY13" s="14" t="s">
        <v>99</v>
      </c>
      <c r="AZ13" s="14" t="s">
        <v>99</v>
      </c>
      <c r="BA13" s="14" t="s">
        <v>99</v>
      </c>
      <c r="BB13" s="14">
        <v>243.0</v>
      </c>
      <c r="BC13" s="14">
        <v>257.0</v>
      </c>
      <c r="BD13" s="14" t="s">
        <v>99</v>
      </c>
      <c r="BE13" s="14" t="s">
        <v>1525</v>
      </c>
      <c r="BF13" s="15" t="str">
        <f>HYPERLINK("http://dx.doi.org/10.1111/fwb.12864","http://dx.doi.org/10.1111/fwb.12864")</f>
        <v>http://dx.doi.org/10.1111/fwb.12864</v>
      </c>
      <c r="BG13" s="14" t="s">
        <v>99</v>
      </c>
      <c r="BH13" s="14" t="s">
        <v>99</v>
      </c>
      <c r="BI13" s="14">
        <v>15.0</v>
      </c>
      <c r="BJ13" s="14" t="s">
        <v>1274</v>
      </c>
      <c r="BK13" s="14" t="s">
        <v>122</v>
      </c>
      <c r="BL13" s="14" t="s">
        <v>397</v>
      </c>
      <c r="BM13" s="14" t="s">
        <v>1526</v>
      </c>
      <c r="BN13" s="14" t="s">
        <v>99</v>
      </c>
      <c r="BO13" s="14" t="s">
        <v>99</v>
      </c>
      <c r="BP13" s="14" t="s">
        <v>99</v>
      </c>
      <c r="BQ13" s="14" t="s">
        <v>99</v>
      </c>
      <c r="BR13" s="14" t="s">
        <v>124</v>
      </c>
      <c r="BS13" s="14" t="s">
        <v>1527</v>
      </c>
      <c r="BT13" s="14" t="str">
        <f>HYPERLINK("https%3A%2F%2Fwww.webofscience.com%2Fwos%2Fwoscc%2Ffull-record%2FWOS:000393793100003","View Full Record in Web of Science")</f>
        <v>View Full Record in Web of Science</v>
      </c>
    </row>
    <row r="14" ht="12.75" customHeight="1">
      <c r="A14" s="14" t="s">
        <v>97</v>
      </c>
      <c r="B14" s="14" t="s">
        <v>1528</v>
      </c>
      <c r="C14" s="14" t="s">
        <v>99</v>
      </c>
      <c r="D14" s="14" t="s">
        <v>99</v>
      </c>
      <c r="E14" s="14" t="s">
        <v>99</v>
      </c>
      <c r="F14" s="14" t="s">
        <v>1529</v>
      </c>
      <c r="G14" s="14" t="s">
        <v>99</v>
      </c>
      <c r="H14" s="14" t="s">
        <v>99</v>
      </c>
      <c r="I14" s="14" t="s">
        <v>1530</v>
      </c>
      <c r="J14" s="14" t="s">
        <v>1531</v>
      </c>
      <c r="K14" s="14" t="s">
        <v>99</v>
      </c>
      <c r="L14" s="14" t="s">
        <v>99</v>
      </c>
      <c r="M14" s="14" t="s">
        <v>103</v>
      </c>
      <c r="N14" s="14" t="s">
        <v>104</v>
      </c>
      <c r="O14" s="14" t="s">
        <v>99</v>
      </c>
      <c r="P14" s="14" t="s">
        <v>99</v>
      </c>
      <c r="Q14" s="14" t="s">
        <v>99</v>
      </c>
      <c r="R14" s="14" t="s">
        <v>99</v>
      </c>
      <c r="S14" s="14" t="s">
        <v>99</v>
      </c>
      <c r="T14" s="14" t="s">
        <v>1532</v>
      </c>
      <c r="U14" s="14" t="s">
        <v>1533</v>
      </c>
      <c r="V14" s="14" t="s">
        <v>1534</v>
      </c>
      <c r="W14" s="14" t="s">
        <v>1535</v>
      </c>
      <c r="X14" s="14" t="s">
        <v>1536</v>
      </c>
      <c r="Y14" s="14" t="s">
        <v>1537</v>
      </c>
      <c r="Z14" s="14" t="s">
        <v>1538</v>
      </c>
      <c r="AA14" s="14" t="s">
        <v>1539</v>
      </c>
      <c r="AB14" s="14" t="s">
        <v>1540</v>
      </c>
      <c r="AC14" s="14" t="s">
        <v>1541</v>
      </c>
      <c r="AD14" s="14" t="s">
        <v>1542</v>
      </c>
      <c r="AE14" s="14" t="s">
        <v>1543</v>
      </c>
      <c r="AF14" s="14" t="s">
        <v>99</v>
      </c>
      <c r="AG14" s="14">
        <v>21.0</v>
      </c>
      <c r="AH14" s="14">
        <v>26.0</v>
      </c>
      <c r="AI14" s="14">
        <v>29.0</v>
      </c>
      <c r="AJ14" s="14">
        <v>1.0</v>
      </c>
      <c r="AK14" s="14">
        <v>39.0</v>
      </c>
      <c r="AL14" s="14" t="s">
        <v>1544</v>
      </c>
      <c r="AM14" s="14" t="s">
        <v>274</v>
      </c>
      <c r="AN14" s="14" t="s">
        <v>1545</v>
      </c>
      <c r="AO14" s="14" t="s">
        <v>1546</v>
      </c>
      <c r="AP14" s="14" t="s">
        <v>1547</v>
      </c>
      <c r="AQ14" s="14" t="s">
        <v>99</v>
      </c>
      <c r="AR14" s="14" t="s">
        <v>1548</v>
      </c>
      <c r="AS14" s="14" t="s">
        <v>1549</v>
      </c>
      <c r="AT14" s="14" t="s">
        <v>1550</v>
      </c>
      <c r="AU14" s="14">
        <v>2017.0</v>
      </c>
      <c r="AV14" s="14">
        <v>13.0</v>
      </c>
      <c r="AW14" s="14">
        <v>2.0</v>
      </c>
      <c r="AX14" s="14" t="s">
        <v>99</v>
      </c>
      <c r="AY14" s="14" t="s">
        <v>99</v>
      </c>
      <c r="AZ14" s="14" t="s">
        <v>99</v>
      </c>
      <c r="BA14" s="14" t="s">
        <v>99</v>
      </c>
      <c r="BB14" s="14" t="s">
        <v>99</v>
      </c>
      <c r="BC14" s="14" t="s">
        <v>99</v>
      </c>
      <c r="BD14" s="14">
        <v>2.0160774E7</v>
      </c>
      <c r="BE14" s="14" t="s">
        <v>1551</v>
      </c>
      <c r="BF14" s="15" t="str">
        <f>HYPERLINK("http://dx.doi.org/10.1098/rsbl.2016.0774","http://dx.doi.org/10.1098/rsbl.2016.0774")</f>
        <v>http://dx.doi.org/10.1098/rsbl.2016.0774</v>
      </c>
      <c r="BG14" s="14" t="s">
        <v>99</v>
      </c>
      <c r="BH14" s="14" t="s">
        <v>99</v>
      </c>
      <c r="BI14" s="14">
        <v>4.0</v>
      </c>
      <c r="BJ14" s="14" t="s">
        <v>1552</v>
      </c>
      <c r="BK14" s="14" t="s">
        <v>122</v>
      </c>
      <c r="BL14" s="14" t="s">
        <v>1553</v>
      </c>
      <c r="BM14" s="14" t="s">
        <v>1554</v>
      </c>
      <c r="BN14" s="14">
        <v>2.8148833E7</v>
      </c>
      <c r="BO14" s="14" t="s">
        <v>1555</v>
      </c>
      <c r="BP14" s="14" t="s">
        <v>99</v>
      </c>
      <c r="BQ14" s="14" t="s">
        <v>99</v>
      </c>
      <c r="BR14" s="14" t="s">
        <v>124</v>
      </c>
      <c r="BS14" s="14" t="s">
        <v>1556</v>
      </c>
      <c r="BT14" s="14" t="str">
        <f>HYPERLINK("https%3A%2F%2Fwww.webofscience.com%2Fwos%2Fwoscc%2Ffull-record%2FWOS:000396015400004","View Full Record in Web of Science")</f>
        <v>View Full Record in Web of Science</v>
      </c>
    </row>
    <row r="15" ht="12.75" customHeight="1">
      <c r="A15" s="14" t="s">
        <v>97</v>
      </c>
      <c r="B15" s="14" t="s">
        <v>1625</v>
      </c>
      <c r="C15" s="14" t="s">
        <v>99</v>
      </c>
      <c r="D15" s="14" t="s">
        <v>99</v>
      </c>
      <c r="E15" s="14" t="s">
        <v>99</v>
      </c>
      <c r="F15" s="14" t="s">
        <v>1626</v>
      </c>
      <c r="G15" s="14" t="s">
        <v>99</v>
      </c>
      <c r="H15" s="14" t="s">
        <v>99</v>
      </c>
      <c r="I15" s="14" t="s">
        <v>1627</v>
      </c>
      <c r="J15" s="14" t="s">
        <v>1231</v>
      </c>
      <c r="K15" s="14" t="s">
        <v>99</v>
      </c>
      <c r="L15" s="14" t="s">
        <v>99</v>
      </c>
      <c r="M15" s="14" t="s">
        <v>103</v>
      </c>
      <c r="N15" s="14" t="s">
        <v>104</v>
      </c>
      <c r="O15" s="14" t="s">
        <v>99</v>
      </c>
      <c r="P15" s="14" t="s">
        <v>99</v>
      </c>
      <c r="Q15" s="14" t="s">
        <v>99</v>
      </c>
      <c r="R15" s="14" t="s">
        <v>99</v>
      </c>
      <c r="S15" s="14" t="s">
        <v>99</v>
      </c>
      <c r="T15" s="14" t="s">
        <v>99</v>
      </c>
      <c r="U15" s="14" t="s">
        <v>1628</v>
      </c>
      <c r="V15" s="14" t="s">
        <v>1629</v>
      </c>
      <c r="W15" s="14" t="s">
        <v>1630</v>
      </c>
      <c r="X15" s="14" t="s">
        <v>1631</v>
      </c>
      <c r="Y15" s="14" t="s">
        <v>1632</v>
      </c>
      <c r="Z15" s="14" t="s">
        <v>1633</v>
      </c>
      <c r="AA15" s="14" t="s">
        <v>1634</v>
      </c>
      <c r="AB15" s="14" t="s">
        <v>1635</v>
      </c>
      <c r="AC15" s="14" t="s">
        <v>1636</v>
      </c>
      <c r="AD15" s="14" t="s">
        <v>1636</v>
      </c>
      <c r="AE15" s="14" t="s">
        <v>1637</v>
      </c>
      <c r="AF15" s="14" t="s">
        <v>99</v>
      </c>
      <c r="AG15" s="14">
        <v>53.0</v>
      </c>
      <c r="AH15" s="14">
        <v>597.0</v>
      </c>
      <c r="AI15" s="14">
        <v>666.0</v>
      </c>
      <c r="AJ15" s="14">
        <v>17.0</v>
      </c>
      <c r="AK15" s="14">
        <v>345.0</v>
      </c>
      <c r="AL15" s="14" t="s">
        <v>1243</v>
      </c>
      <c r="AM15" s="14" t="s">
        <v>789</v>
      </c>
      <c r="AN15" s="14" t="s">
        <v>1244</v>
      </c>
      <c r="AO15" s="14" t="s">
        <v>1245</v>
      </c>
      <c r="AP15" s="14" t="s">
        <v>99</v>
      </c>
      <c r="AQ15" s="14" t="s">
        <v>99</v>
      </c>
      <c r="AR15" s="14" t="s">
        <v>1246</v>
      </c>
      <c r="AS15" s="14" t="s">
        <v>1247</v>
      </c>
      <c r="AT15" s="14" t="s">
        <v>935</v>
      </c>
      <c r="AU15" s="14">
        <v>2017.0</v>
      </c>
      <c r="AV15" s="14">
        <v>3.0</v>
      </c>
      <c r="AW15" s="14">
        <v>1.0</v>
      </c>
      <c r="AX15" s="14" t="s">
        <v>99</v>
      </c>
      <c r="AY15" s="14" t="s">
        <v>99</v>
      </c>
      <c r="AZ15" s="14" t="s">
        <v>99</v>
      </c>
      <c r="BA15" s="14" t="s">
        <v>99</v>
      </c>
      <c r="BB15" s="14" t="s">
        <v>99</v>
      </c>
      <c r="BC15" s="14" t="s">
        <v>99</v>
      </c>
      <c r="BD15" s="14" t="s">
        <v>1638</v>
      </c>
      <c r="BE15" s="14" t="s">
        <v>1639</v>
      </c>
      <c r="BF15" s="15" t="str">
        <f>HYPERLINK("http://dx.doi.org/10.1126/sciadv.1600821","http://dx.doi.org/10.1126/sciadv.1600821")</f>
        <v>http://dx.doi.org/10.1126/sciadv.1600821</v>
      </c>
      <c r="BG15" s="14" t="s">
        <v>99</v>
      </c>
      <c r="BH15" s="14" t="s">
        <v>99</v>
      </c>
      <c r="BI15" s="14">
        <v>13.0</v>
      </c>
      <c r="BJ15" s="14" t="s">
        <v>799</v>
      </c>
      <c r="BK15" s="14" t="s">
        <v>122</v>
      </c>
      <c r="BL15" s="14" t="s">
        <v>801</v>
      </c>
      <c r="BM15" s="14" t="s">
        <v>1640</v>
      </c>
      <c r="BN15" s="14">
        <v>2.8097216E7</v>
      </c>
      <c r="BO15" s="14" t="s">
        <v>1251</v>
      </c>
      <c r="BP15" s="14" t="s">
        <v>99</v>
      </c>
      <c r="BQ15" s="14" t="s">
        <v>99</v>
      </c>
      <c r="BR15" s="14" t="s">
        <v>124</v>
      </c>
      <c r="BS15" s="14" t="s">
        <v>1641</v>
      </c>
      <c r="BT15" s="14" t="str">
        <f>HYPERLINK("https%3A%2F%2Fwww.webofscience.com%2Fwos%2Fwoscc%2Ffull-record%2FWOS:000393789900007","View Full Record in Web of Science")</f>
        <v>View Full Record in Web of Science</v>
      </c>
    </row>
    <row r="16" ht="12.75" customHeight="1">
      <c r="A16" s="14" t="s">
        <v>97</v>
      </c>
      <c r="B16" s="14" t="s">
        <v>1642</v>
      </c>
      <c r="C16" s="14" t="s">
        <v>99</v>
      </c>
      <c r="D16" s="14" t="s">
        <v>99</v>
      </c>
      <c r="E16" s="14" t="s">
        <v>99</v>
      </c>
      <c r="F16" s="14" t="s">
        <v>1643</v>
      </c>
      <c r="G16" s="14" t="s">
        <v>99</v>
      </c>
      <c r="H16" s="14" t="s">
        <v>99</v>
      </c>
      <c r="I16" s="14" t="s">
        <v>1644</v>
      </c>
      <c r="J16" s="14" t="s">
        <v>1645</v>
      </c>
      <c r="K16" s="14" t="s">
        <v>99</v>
      </c>
      <c r="L16" s="14" t="s">
        <v>99</v>
      </c>
      <c r="M16" s="14" t="s">
        <v>103</v>
      </c>
      <c r="N16" s="14" t="s">
        <v>104</v>
      </c>
      <c r="O16" s="14" t="s">
        <v>99</v>
      </c>
      <c r="P16" s="14" t="s">
        <v>99</v>
      </c>
      <c r="Q16" s="14" t="s">
        <v>99</v>
      </c>
      <c r="R16" s="14" t="s">
        <v>99</v>
      </c>
      <c r="S16" s="14" t="s">
        <v>99</v>
      </c>
      <c r="T16" s="14" t="s">
        <v>99</v>
      </c>
      <c r="U16" s="14" t="s">
        <v>1646</v>
      </c>
      <c r="V16" s="14" t="s">
        <v>1647</v>
      </c>
      <c r="W16" s="14" t="s">
        <v>1648</v>
      </c>
      <c r="X16" s="14" t="s">
        <v>1649</v>
      </c>
      <c r="Y16" s="14" t="s">
        <v>1650</v>
      </c>
      <c r="Z16" s="14" t="s">
        <v>1651</v>
      </c>
      <c r="AA16" s="14" t="s">
        <v>1652</v>
      </c>
      <c r="AB16" s="14" t="s">
        <v>1653</v>
      </c>
      <c r="AC16" s="14" t="s">
        <v>1654</v>
      </c>
      <c r="AD16" s="14" t="s">
        <v>1655</v>
      </c>
      <c r="AE16" s="14" t="s">
        <v>1656</v>
      </c>
      <c r="AF16" s="14" t="s">
        <v>99</v>
      </c>
      <c r="AG16" s="14">
        <v>75.0</v>
      </c>
      <c r="AH16" s="14">
        <v>404.0</v>
      </c>
      <c r="AI16" s="14">
        <v>471.0</v>
      </c>
      <c r="AJ16" s="14">
        <v>1.0</v>
      </c>
      <c r="AK16" s="14">
        <v>450.0</v>
      </c>
      <c r="AL16" s="14" t="s">
        <v>909</v>
      </c>
      <c r="AM16" s="14" t="s">
        <v>910</v>
      </c>
      <c r="AN16" s="14" t="s">
        <v>911</v>
      </c>
      <c r="AO16" s="14" t="s">
        <v>1657</v>
      </c>
      <c r="AP16" s="14" t="s">
        <v>99</v>
      </c>
      <c r="AQ16" s="14" t="s">
        <v>99</v>
      </c>
      <c r="AR16" s="14" t="s">
        <v>1658</v>
      </c>
      <c r="AS16" s="14" t="s">
        <v>1659</v>
      </c>
      <c r="AT16" s="14" t="s">
        <v>1660</v>
      </c>
      <c r="AU16" s="14">
        <v>2016.0</v>
      </c>
      <c r="AV16" s="14">
        <v>6.0</v>
      </c>
      <c r="AW16" s="14" t="s">
        <v>99</v>
      </c>
      <c r="AX16" s="14" t="s">
        <v>99</v>
      </c>
      <c r="AY16" s="14" t="s">
        <v>99</v>
      </c>
      <c r="AZ16" s="14" t="s">
        <v>99</v>
      </c>
      <c r="BA16" s="14" t="s">
        <v>99</v>
      </c>
      <c r="BB16" s="14" t="s">
        <v>99</v>
      </c>
      <c r="BC16" s="14" t="s">
        <v>99</v>
      </c>
      <c r="BD16" s="14">
        <v>38402.0</v>
      </c>
      <c r="BE16" s="14" t="s">
        <v>1661</v>
      </c>
      <c r="BF16" s="15" t="str">
        <f>HYPERLINK("http://dx.doi.org/10.1038/srep38402","http://dx.doi.org/10.1038/srep38402")</f>
        <v>http://dx.doi.org/10.1038/srep38402</v>
      </c>
      <c r="BG16" s="14" t="s">
        <v>99</v>
      </c>
      <c r="BH16" s="14" t="s">
        <v>99</v>
      </c>
      <c r="BI16" s="14">
        <v>14.0</v>
      </c>
      <c r="BJ16" s="14" t="s">
        <v>799</v>
      </c>
      <c r="BK16" s="14" t="s">
        <v>122</v>
      </c>
      <c r="BL16" s="14" t="s">
        <v>801</v>
      </c>
      <c r="BM16" s="14" t="s">
        <v>1662</v>
      </c>
      <c r="BN16" s="14">
        <v>2.792208E7</v>
      </c>
      <c r="BO16" s="14" t="s">
        <v>1251</v>
      </c>
      <c r="BP16" s="14" t="s">
        <v>99</v>
      </c>
      <c r="BQ16" s="14" t="s">
        <v>99</v>
      </c>
      <c r="BR16" s="14" t="s">
        <v>124</v>
      </c>
      <c r="BS16" s="14" t="s">
        <v>1663</v>
      </c>
      <c r="BT16" s="14" t="str">
        <f>HYPERLINK("https%3A%2F%2Fwww.webofscience.com%2Fwos%2Fwoscc%2Ffull-record%2FWOS:000389239400001","View Full Record in Web of Science")</f>
        <v>View Full Record in Web of Science</v>
      </c>
    </row>
    <row r="17" ht="12.75" customHeight="1">
      <c r="A17" s="14" t="s">
        <v>97</v>
      </c>
      <c r="B17" s="14" t="s">
        <v>1700</v>
      </c>
      <c r="C17" s="14" t="s">
        <v>99</v>
      </c>
      <c r="D17" s="14" t="s">
        <v>99</v>
      </c>
      <c r="E17" s="14" t="s">
        <v>99</v>
      </c>
      <c r="F17" s="14" t="s">
        <v>1701</v>
      </c>
      <c r="G17" s="14" t="s">
        <v>99</v>
      </c>
      <c r="H17" s="14" t="s">
        <v>99</v>
      </c>
      <c r="I17" s="14" t="s">
        <v>1702</v>
      </c>
      <c r="J17" s="14" t="s">
        <v>1048</v>
      </c>
      <c r="K17" s="14" t="s">
        <v>99</v>
      </c>
      <c r="L17" s="14" t="s">
        <v>99</v>
      </c>
      <c r="M17" s="14" t="s">
        <v>103</v>
      </c>
      <c r="N17" s="14" t="s">
        <v>104</v>
      </c>
      <c r="O17" s="14" t="s">
        <v>99</v>
      </c>
      <c r="P17" s="14" t="s">
        <v>99</v>
      </c>
      <c r="Q17" s="14" t="s">
        <v>99</v>
      </c>
      <c r="R17" s="14" t="s">
        <v>99</v>
      </c>
      <c r="S17" s="14" t="s">
        <v>99</v>
      </c>
      <c r="T17" s="14" t="s">
        <v>1703</v>
      </c>
      <c r="U17" s="14" t="s">
        <v>1704</v>
      </c>
      <c r="V17" s="14" t="s">
        <v>1705</v>
      </c>
      <c r="W17" s="14" t="s">
        <v>1706</v>
      </c>
      <c r="X17" s="14" t="s">
        <v>1707</v>
      </c>
      <c r="Y17" s="14" t="s">
        <v>1708</v>
      </c>
      <c r="Z17" s="14" t="s">
        <v>99</v>
      </c>
      <c r="AA17" s="14" t="s">
        <v>1709</v>
      </c>
      <c r="AB17" s="14" t="s">
        <v>1710</v>
      </c>
      <c r="AC17" s="14" t="s">
        <v>1711</v>
      </c>
      <c r="AD17" s="14" t="s">
        <v>1712</v>
      </c>
      <c r="AE17" s="14" t="s">
        <v>1713</v>
      </c>
      <c r="AF17" s="14" t="s">
        <v>99</v>
      </c>
      <c r="AG17" s="14">
        <v>49.0</v>
      </c>
      <c r="AH17" s="14">
        <v>64.0</v>
      </c>
      <c r="AI17" s="14">
        <v>81.0</v>
      </c>
      <c r="AJ17" s="14">
        <v>1.0</v>
      </c>
      <c r="AK17" s="14">
        <v>176.0</v>
      </c>
      <c r="AL17" s="14" t="s">
        <v>493</v>
      </c>
      <c r="AM17" s="14" t="s">
        <v>468</v>
      </c>
      <c r="AN17" s="14" t="s">
        <v>635</v>
      </c>
      <c r="AO17" s="14" t="s">
        <v>1055</v>
      </c>
      <c r="AP17" s="14" t="s">
        <v>1056</v>
      </c>
      <c r="AQ17" s="14" t="s">
        <v>99</v>
      </c>
      <c r="AR17" s="14" t="s">
        <v>1048</v>
      </c>
      <c r="AS17" s="14" t="s">
        <v>1057</v>
      </c>
      <c r="AT17" s="14" t="s">
        <v>1714</v>
      </c>
      <c r="AU17" s="14">
        <v>2016.0</v>
      </c>
      <c r="AV17" s="14">
        <v>57.0</v>
      </c>
      <c r="AW17" s="14" t="s">
        <v>99</v>
      </c>
      <c r="AX17" s="14" t="s">
        <v>99</v>
      </c>
      <c r="AY17" s="14" t="s">
        <v>99</v>
      </c>
      <c r="AZ17" s="14" t="s">
        <v>99</v>
      </c>
      <c r="BA17" s="14" t="s">
        <v>99</v>
      </c>
      <c r="BB17" s="14">
        <v>777.0</v>
      </c>
      <c r="BC17" s="14">
        <v>785.0</v>
      </c>
      <c r="BD17" s="14" t="s">
        <v>99</v>
      </c>
      <c r="BE17" s="14" t="s">
        <v>1715</v>
      </c>
      <c r="BF17" s="15" t="str">
        <f>HYPERLINK("http://dx.doi.org/10.1016/j.landusepol.2014.12.005","http://dx.doi.org/10.1016/j.landusepol.2014.12.005")</f>
        <v>http://dx.doi.org/10.1016/j.landusepol.2014.12.005</v>
      </c>
      <c r="BG17" s="14" t="s">
        <v>99</v>
      </c>
      <c r="BH17" s="14" t="s">
        <v>99</v>
      </c>
      <c r="BI17" s="14">
        <v>9.0</v>
      </c>
      <c r="BJ17" s="14" t="s">
        <v>1060</v>
      </c>
      <c r="BK17" s="14" t="s">
        <v>643</v>
      </c>
      <c r="BL17" s="14" t="s">
        <v>260</v>
      </c>
      <c r="BM17" s="14" t="s">
        <v>1716</v>
      </c>
      <c r="BN17" s="14" t="s">
        <v>99</v>
      </c>
      <c r="BO17" s="14" t="s">
        <v>99</v>
      </c>
      <c r="BP17" s="14" t="s">
        <v>99</v>
      </c>
      <c r="BQ17" s="14" t="s">
        <v>99</v>
      </c>
      <c r="BR17" s="14" t="s">
        <v>124</v>
      </c>
      <c r="BS17" s="14" t="s">
        <v>1717</v>
      </c>
      <c r="BT17" s="14" t="str">
        <f>HYPERLINK("https%3A%2F%2Fwww.webofscience.com%2Fwos%2Fwoscc%2Ffull-record%2FWOS:000382341200071","View Full Record in Web of Science")</f>
        <v>View Full Record in Web of Science</v>
      </c>
    </row>
    <row r="18" ht="12.75" customHeight="1">
      <c r="A18" s="14" t="s">
        <v>97</v>
      </c>
      <c r="B18" s="14" t="s">
        <v>1742</v>
      </c>
      <c r="C18" s="14" t="s">
        <v>99</v>
      </c>
      <c r="D18" s="14" t="s">
        <v>99</v>
      </c>
      <c r="E18" s="14" t="s">
        <v>99</v>
      </c>
      <c r="F18" s="14" t="s">
        <v>1743</v>
      </c>
      <c r="G18" s="14" t="s">
        <v>99</v>
      </c>
      <c r="H18" s="14" t="s">
        <v>99</v>
      </c>
      <c r="I18" s="14" t="s">
        <v>1744</v>
      </c>
      <c r="J18" s="14" t="s">
        <v>1231</v>
      </c>
      <c r="K18" s="14" t="s">
        <v>99</v>
      </c>
      <c r="L18" s="14" t="s">
        <v>99</v>
      </c>
      <c r="M18" s="14" t="s">
        <v>103</v>
      </c>
      <c r="N18" s="14" t="s">
        <v>104</v>
      </c>
      <c r="O18" s="14" t="s">
        <v>99</v>
      </c>
      <c r="P18" s="14" t="s">
        <v>99</v>
      </c>
      <c r="Q18" s="14" t="s">
        <v>99</v>
      </c>
      <c r="R18" s="14" t="s">
        <v>99</v>
      </c>
      <c r="S18" s="14" t="s">
        <v>99</v>
      </c>
      <c r="T18" s="14" t="s">
        <v>99</v>
      </c>
      <c r="U18" s="14" t="s">
        <v>1745</v>
      </c>
      <c r="V18" s="14" t="s">
        <v>1746</v>
      </c>
      <c r="W18" s="14" t="s">
        <v>1747</v>
      </c>
      <c r="X18" s="14" t="s">
        <v>1748</v>
      </c>
      <c r="Y18" s="14" t="s">
        <v>1749</v>
      </c>
      <c r="Z18" s="14" t="s">
        <v>1750</v>
      </c>
      <c r="AA18" s="14" t="s">
        <v>1751</v>
      </c>
      <c r="AB18" s="14" t="s">
        <v>1752</v>
      </c>
      <c r="AC18" s="14" t="s">
        <v>1753</v>
      </c>
      <c r="AD18" s="14" t="s">
        <v>1754</v>
      </c>
      <c r="AE18" s="14" t="s">
        <v>1755</v>
      </c>
      <c r="AF18" s="14" t="s">
        <v>99</v>
      </c>
      <c r="AG18" s="14">
        <v>98.0</v>
      </c>
      <c r="AH18" s="14">
        <v>126.0</v>
      </c>
      <c r="AI18" s="14">
        <v>141.0</v>
      </c>
      <c r="AJ18" s="14">
        <v>0.0</v>
      </c>
      <c r="AK18" s="14">
        <v>36.0</v>
      </c>
      <c r="AL18" s="14" t="s">
        <v>1243</v>
      </c>
      <c r="AM18" s="14" t="s">
        <v>789</v>
      </c>
      <c r="AN18" s="14" t="s">
        <v>1244</v>
      </c>
      <c r="AO18" s="14" t="s">
        <v>1245</v>
      </c>
      <c r="AP18" s="14" t="s">
        <v>99</v>
      </c>
      <c r="AQ18" s="14" t="s">
        <v>99</v>
      </c>
      <c r="AR18" s="14" t="s">
        <v>1246</v>
      </c>
      <c r="AS18" s="14" t="s">
        <v>1247</v>
      </c>
      <c r="AT18" s="14" t="s">
        <v>348</v>
      </c>
      <c r="AU18" s="14">
        <v>2016.0</v>
      </c>
      <c r="AV18" s="14">
        <v>2.0</v>
      </c>
      <c r="AW18" s="14">
        <v>11.0</v>
      </c>
      <c r="AX18" s="14" t="s">
        <v>99</v>
      </c>
      <c r="AY18" s="14" t="s">
        <v>99</v>
      </c>
      <c r="AZ18" s="14" t="s">
        <v>99</v>
      </c>
      <c r="BA18" s="14" t="s">
        <v>99</v>
      </c>
      <c r="BB18" s="14" t="s">
        <v>99</v>
      </c>
      <c r="BC18" s="14" t="s">
        <v>99</v>
      </c>
      <c r="BD18" s="14" t="s">
        <v>1756</v>
      </c>
      <c r="BE18" s="14" t="s">
        <v>1757</v>
      </c>
      <c r="BF18" s="15" t="str">
        <f>HYPERLINK("http://dx.doi.org/10.1126/sciadv.1501923","http://dx.doi.org/10.1126/sciadv.1501923")</f>
        <v>http://dx.doi.org/10.1126/sciadv.1501923</v>
      </c>
      <c r="BG18" s="14" t="s">
        <v>99</v>
      </c>
      <c r="BH18" s="14" t="s">
        <v>99</v>
      </c>
      <c r="BI18" s="14">
        <v>11.0</v>
      </c>
      <c r="BJ18" s="14" t="s">
        <v>799</v>
      </c>
      <c r="BK18" s="14" t="s">
        <v>122</v>
      </c>
      <c r="BL18" s="14" t="s">
        <v>801</v>
      </c>
      <c r="BM18" s="14" t="s">
        <v>1758</v>
      </c>
      <c r="BN18" s="14">
        <v>2.8861462E7</v>
      </c>
      <c r="BO18" s="14" t="s">
        <v>1251</v>
      </c>
      <c r="BP18" s="14" t="s">
        <v>99</v>
      </c>
      <c r="BQ18" s="14" t="s">
        <v>99</v>
      </c>
      <c r="BR18" s="14" t="s">
        <v>124</v>
      </c>
      <c r="BS18" s="14" t="s">
        <v>1759</v>
      </c>
      <c r="BT18" s="14" t="str">
        <f>HYPERLINK("https%3A%2F%2Fwww.webofscience.com%2Fwos%2Fwoscc%2Ffull-record%2FWOS:000391267800002","View Full Record in Web of Science")</f>
        <v>View Full Record in Web of Science</v>
      </c>
    </row>
    <row r="19" ht="12.75" customHeight="1">
      <c r="A19" s="14" t="s">
        <v>97</v>
      </c>
      <c r="B19" s="14" t="s">
        <v>1783</v>
      </c>
      <c r="C19" s="14" t="s">
        <v>99</v>
      </c>
      <c r="D19" s="14" t="s">
        <v>99</v>
      </c>
      <c r="E19" s="14" t="s">
        <v>99</v>
      </c>
      <c r="F19" s="14" t="s">
        <v>1784</v>
      </c>
      <c r="G19" s="14" t="s">
        <v>99</v>
      </c>
      <c r="H19" s="14" t="s">
        <v>99</v>
      </c>
      <c r="I19" s="14" t="s">
        <v>1785</v>
      </c>
      <c r="J19" s="14" t="s">
        <v>1786</v>
      </c>
      <c r="K19" s="14" t="s">
        <v>99</v>
      </c>
      <c r="L19" s="14" t="s">
        <v>99</v>
      </c>
      <c r="M19" s="14" t="s">
        <v>103</v>
      </c>
      <c r="N19" s="14" t="s">
        <v>104</v>
      </c>
      <c r="O19" s="14" t="s">
        <v>99</v>
      </c>
      <c r="P19" s="14" t="s">
        <v>99</v>
      </c>
      <c r="Q19" s="14" t="s">
        <v>99</v>
      </c>
      <c r="R19" s="14" t="s">
        <v>99</v>
      </c>
      <c r="S19" s="14" t="s">
        <v>99</v>
      </c>
      <c r="T19" s="14" t="s">
        <v>1787</v>
      </c>
      <c r="U19" s="14" t="s">
        <v>1788</v>
      </c>
      <c r="V19" s="14" t="s">
        <v>1789</v>
      </c>
      <c r="W19" s="14" t="s">
        <v>1790</v>
      </c>
      <c r="X19" s="14" t="s">
        <v>1791</v>
      </c>
      <c r="Y19" s="14" t="s">
        <v>1792</v>
      </c>
      <c r="Z19" s="14" t="s">
        <v>1793</v>
      </c>
      <c r="AA19" s="14" t="s">
        <v>1794</v>
      </c>
      <c r="AB19" s="14" t="s">
        <v>1795</v>
      </c>
      <c r="AC19" s="14" t="s">
        <v>1796</v>
      </c>
      <c r="AD19" s="14" t="s">
        <v>1796</v>
      </c>
      <c r="AE19" s="14" t="s">
        <v>1797</v>
      </c>
      <c r="AF19" s="14" t="s">
        <v>99</v>
      </c>
      <c r="AG19" s="14">
        <v>295.0</v>
      </c>
      <c r="AH19" s="14">
        <v>594.0</v>
      </c>
      <c r="AI19" s="14">
        <v>684.0</v>
      </c>
      <c r="AJ19" s="14">
        <v>17.0</v>
      </c>
      <c r="AK19" s="14">
        <v>466.0</v>
      </c>
      <c r="AL19" s="14" t="s">
        <v>341</v>
      </c>
      <c r="AM19" s="14" t="s">
        <v>342</v>
      </c>
      <c r="AN19" s="14" t="s">
        <v>343</v>
      </c>
      <c r="AO19" s="14" t="s">
        <v>1798</v>
      </c>
      <c r="AP19" s="14" t="s">
        <v>1799</v>
      </c>
      <c r="AQ19" s="14" t="s">
        <v>99</v>
      </c>
      <c r="AR19" s="14" t="s">
        <v>1800</v>
      </c>
      <c r="AS19" s="14" t="s">
        <v>1801</v>
      </c>
      <c r="AT19" s="14" t="s">
        <v>348</v>
      </c>
      <c r="AU19" s="14">
        <v>2016.0</v>
      </c>
      <c r="AV19" s="14">
        <v>91.0</v>
      </c>
      <c r="AW19" s="14">
        <v>4.0</v>
      </c>
      <c r="AX19" s="14" t="s">
        <v>99</v>
      </c>
      <c r="AY19" s="14" t="s">
        <v>99</v>
      </c>
      <c r="AZ19" s="14" t="s">
        <v>99</v>
      </c>
      <c r="BA19" s="14" t="s">
        <v>99</v>
      </c>
      <c r="BB19" s="14">
        <v>982.0</v>
      </c>
      <c r="BC19" s="14">
        <v>1005.0</v>
      </c>
      <c r="BD19" s="14" t="s">
        <v>99</v>
      </c>
      <c r="BE19" s="14" t="s">
        <v>1802</v>
      </c>
      <c r="BF19" s="15" t="str">
        <f>HYPERLINK("http://dx.doi.org/10.1111/brv.12207","http://dx.doi.org/10.1111/brv.12207")</f>
        <v>http://dx.doi.org/10.1111/brv.12207</v>
      </c>
      <c r="BG19" s="14" t="s">
        <v>99</v>
      </c>
      <c r="BH19" s="14" t="s">
        <v>99</v>
      </c>
      <c r="BI19" s="14">
        <v>24.0</v>
      </c>
      <c r="BJ19" s="14" t="s">
        <v>1803</v>
      </c>
      <c r="BK19" s="14" t="s">
        <v>122</v>
      </c>
      <c r="BL19" s="14" t="s">
        <v>1804</v>
      </c>
      <c r="BM19" s="14" t="s">
        <v>1805</v>
      </c>
      <c r="BN19" s="14">
        <v>2.6118691E7</v>
      </c>
      <c r="BO19" s="14" t="s">
        <v>99</v>
      </c>
      <c r="BP19" s="14" t="s">
        <v>99</v>
      </c>
      <c r="BQ19" s="14" t="s">
        <v>99</v>
      </c>
      <c r="BR19" s="14" t="s">
        <v>124</v>
      </c>
      <c r="BS19" s="14" t="s">
        <v>1806</v>
      </c>
      <c r="BT19" s="14" t="str">
        <f>HYPERLINK("https%3A%2F%2Fwww.webofscience.com%2Fwos%2Fwoscc%2Ffull-record%2FWOS:000385570300006","View Full Record in Web of Science")</f>
        <v>View Full Record in Web of Science</v>
      </c>
    </row>
    <row r="20" ht="12.75" customHeight="1">
      <c r="A20" s="14" t="s">
        <v>97</v>
      </c>
      <c r="B20" s="14" t="s">
        <v>1826</v>
      </c>
      <c r="C20" s="14" t="s">
        <v>99</v>
      </c>
      <c r="D20" s="14" t="s">
        <v>99</v>
      </c>
      <c r="E20" s="14" t="s">
        <v>99</v>
      </c>
      <c r="F20" s="14" t="s">
        <v>1827</v>
      </c>
      <c r="G20" s="14" t="s">
        <v>99</v>
      </c>
      <c r="H20" s="14" t="s">
        <v>99</v>
      </c>
      <c r="I20" s="14" t="s">
        <v>1828</v>
      </c>
      <c r="J20" s="14" t="s">
        <v>1829</v>
      </c>
      <c r="K20" s="14" t="s">
        <v>99</v>
      </c>
      <c r="L20" s="14" t="s">
        <v>99</v>
      </c>
      <c r="M20" s="14" t="s">
        <v>103</v>
      </c>
      <c r="N20" s="14" t="s">
        <v>104</v>
      </c>
      <c r="O20" s="14" t="s">
        <v>99</v>
      </c>
      <c r="P20" s="14" t="s">
        <v>99</v>
      </c>
      <c r="Q20" s="14" t="s">
        <v>99</v>
      </c>
      <c r="R20" s="14" t="s">
        <v>99</v>
      </c>
      <c r="S20" s="14" t="s">
        <v>99</v>
      </c>
      <c r="T20" s="14" t="s">
        <v>1830</v>
      </c>
      <c r="U20" s="14" t="s">
        <v>1831</v>
      </c>
      <c r="V20" s="14" t="s">
        <v>1832</v>
      </c>
      <c r="W20" s="14" t="s">
        <v>1833</v>
      </c>
      <c r="X20" s="14" t="s">
        <v>1834</v>
      </c>
      <c r="Y20" s="14" t="s">
        <v>1835</v>
      </c>
      <c r="Z20" s="14" t="s">
        <v>1836</v>
      </c>
      <c r="AA20" s="14" t="s">
        <v>1837</v>
      </c>
      <c r="AB20" s="14" t="s">
        <v>1838</v>
      </c>
      <c r="AC20" s="14" t="s">
        <v>1839</v>
      </c>
      <c r="AD20" s="14" t="s">
        <v>1840</v>
      </c>
      <c r="AE20" s="14" t="s">
        <v>1841</v>
      </c>
      <c r="AF20" s="14" t="s">
        <v>99</v>
      </c>
      <c r="AG20" s="14">
        <v>59.0</v>
      </c>
      <c r="AH20" s="14">
        <v>426.0</v>
      </c>
      <c r="AI20" s="14">
        <v>478.0</v>
      </c>
      <c r="AJ20" s="14">
        <v>7.0</v>
      </c>
      <c r="AK20" s="14">
        <v>311.0</v>
      </c>
      <c r="AL20" s="14" t="s">
        <v>493</v>
      </c>
      <c r="AM20" s="14" t="s">
        <v>468</v>
      </c>
      <c r="AN20" s="14" t="s">
        <v>635</v>
      </c>
      <c r="AO20" s="14" t="s">
        <v>1842</v>
      </c>
      <c r="AP20" s="14" t="s">
        <v>1843</v>
      </c>
      <c r="AQ20" s="14" t="s">
        <v>99</v>
      </c>
      <c r="AR20" s="14" t="s">
        <v>1844</v>
      </c>
      <c r="AS20" s="14" t="s">
        <v>1845</v>
      </c>
      <c r="AT20" s="14" t="s">
        <v>1846</v>
      </c>
      <c r="AU20" s="14">
        <v>2016.0</v>
      </c>
      <c r="AV20" s="14">
        <v>132.0</v>
      </c>
      <c r="AW20" s="14" t="s">
        <v>99</v>
      </c>
      <c r="AX20" s="14" t="s">
        <v>99</v>
      </c>
      <c r="AY20" s="14" t="s">
        <v>99</v>
      </c>
      <c r="AZ20" s="14" t="s">
        <v>99</v>
      </c>
      <c r="BA20" s="14" t="s">
        <v>99</v>
      </c>
      <c r="BB20" s="14">
        <v>45.0</v>
      </c>
      <c r="BC20" s="14">
        <v>56.0</v>
      </c>
      <c r="BD20" s="14" t="s">
        <v>99</v>
      </c>
      <c r="BE20" s="14" t="s">
        <v>1847</v>
      </c>
      <c r="BF20" s="15" t="str">
        <f>HYPERLINK("http://dx.doi.org/10.1016/j.jclepro.2015.06.100","http://dx.doi.org/10.1016/j.jclepro.2015.06.100")</f>
        <v>http://dx.doi.org/10.1016/j.jclepro.2015.06.100</v>
      </c>
      <c r="BG20" s="14" t="s">
        <v>99</v>
      </c>
      <c r="BH20" s="14" t="s">
        <v>99</v>
      </c>
      <c r="BI20" s="14">
        <v>12.0</v>
      </c>
      <c r="BJ20" s="14" t="s">
        <v>1848</v>
      </c>
      <c r="BK20" s="14" t="s">
        <v>800</v>
      </c>
      <c r="BL20" s="14" t="s">
        <v>1849</v>
      </c>
      <c r="BM20" s="14" t="s">
        <v>1850</v>
      </c>
      <c r="BN20" s="14" t="s">
        <v>99</v>
      </c>
      <c r="BO20" s="14" t="s">
        <v>99</v>
      </c>
      <c r="BP20" s="14" t="s">
        <v>99</v>
      </c>
      <c r="BQ20" s="14" t="s">
        <v>99</v>
      </c>
      <c r="BR20" s="14" t="s">
        <v>124</v>
      </c>
      <c r="BS20" s="14" t="s">
        <v>1851</v>
      </c>
      <c r="BT20" s="14" t="str">
        <f>HYPERLINK("https%3A%2F%2Fwww.webofscience.com%2Fwos%2Fwoscc%2Ffull-record%2FWOS:000380624400004","View Full Record in Web of Science")</f>
        <v>View Full Record in Web of Science</v>
      </c>
    </row>
    <row r="21" ht="12.75" customHeight="1">
      <c r="A21" s="14" t="s">
        <v>97</v>
      </c>
      <c r="B21" s="14" t="s">
        <v>1881</v>
      </c>
      <c r="C21" s="14" t="s">
        <v>99</v>
      </c>
      <c r="D21" s="14" t="s">
        <v>99</v>
      </c>
      <c r="E21" s="14" t="s">
        <v>99</v>
      </c>
      <c r="F21" s="14" t="s">
        <v>1882</v>
      </c>
      <c r="G21" s="14" t="s">
        <v>99</v>
      </c>
      <c r="H21" s="14" t="s">
        <v>99</v>
      </c>
      <c r="I21" s="14" t="s">
        <v>1883</v>
      </c>
      <c r="J21" s="14" t="s">
        <v>1884</v>
      </c>
      <c r="K21" s="14" t="s">
        <v>99</v>
      </c>
      <c r="L21" s="14" t="s">
        <v>99</v>
      </c>
      <c r="M21" s="14" t="s">
        <v>103</v>
      </c>
      <c r="N21" s="14" t="s">
        <v>1885</v>
      </c>
      <c r="O21" s="14" t="s">
        <v>99</v>
      </c>
      <c r="P21" s="14" t="s">
        <v>99</v>
      </c>
      <c r="Q21" s="14" t="s">
        <v>99</v>
      </c>
      <c r="R21" s="14" t="s">
        <v>99</v>
      </c>
      <c r="S21" s="14" t="s">
        <v>99</v>
      </c>
      <c r="T21" s="14" t="s">
        <v>99</v>
      </c>
      <c r="U21" s="14" t="s">
        <v>1886</v>
      </c>
      <c r="V21" s="14" t="s">
        <v>1887</v>
      </c>
      <c r="W21" s="14" t="s">
        <v>1888</v>
      </c>
      <c r="X21" s="14" t="s">
        <v>1889</v>
      </c>
      <c r="Y21" s="14" t="s">
        <v>1890</v>
      </c>
      <c r="Z21" s="14" t="s">
        <v>1891</v>
      </c>
      <c r="AA21" s="14" t="s">
        <v>1892</v>
      </c>
      <c r="AB21" s="14" t="s">
        <v>1893</v>
      </c>
      <c r="AC21" s="14" t="s">
        <v>1894</v>
      </c>
      <c r="AD21" s="14" t="s">
        <v>1895</v>
      </c>
      <c r="AE21" s="14" t="s">
        <v>1896</v>
      </c>
      <c r="AF21" s="14" t="s">
        <v>99</v>
      </c>
      <c r="AG21" s="14">
        <v>56.0</v>
      </c>
      <c r="AH21" s="14">
        <v>575.0</v>
      </c>
      <c r="AI21" s="14">
        <v>649.0</v>
      </c>
      <c r="AJ21" s="14">
        <v>18.0</v>
      </c>
      <c r="AK21" s="14">
        <v>323.0</v>
      </c>
      <c r="AL21" s="14" t="s">
        <v>1326</v>
      </c>
      <c r="AM21" s="14" t="s">
        <v>274</v>
      </c>
      <c r="AN21" s="14" t="s">
        <v>1327</v>
      </c>
      <c r="AO21" s="14" t="s">
        <v>99</v>
      </c>
      <c r="AP21" s="14" t="s">
        <v>1897</v>
      </c>
      <c r="AQ21" s="14" t="s">
        <v>99</v>
      </c>
      <c r="AR21" s="14" t="s">
        <v>1898</v>
      </c>
      <c r="AS21" s="14" t="s">
        <v>1899</v>
      </c>
      <c r="AT21" s="14" t="s">
        <v>1900</v>
      </c>
      <c r="AU21" s="14">
        <v>2016.0</v>
      </c>
      <c r="AV21" s="14">
        <v>3.0</v>
      </c>
      <c r="AW21" s="14" t="s">
        <v>99</v>
      </c>
      <c r="AX21" s="14" t="s">
        <v>99</v>
      </c>
      <c r="AY21" s="14" t="s">
        <v>99</v>
      </c>
      <c r="AZ21" s="14" t="s">
        <v>99</v>
      </c>
      <c r="BA21" s="14" t="s">
        <v>99</v>
      </c>
      <c r="BB21" s="14" t="s">
        <v>99</v>
      </c>
      <c r="BC21" s="14" t="s">
        <v>99</v>
      </c>
      <c r="BD21" s="14">
        <v>160067.0</v>
      </c>
      <c r="BE21" s="14" t="s">
        <v>1901</v>
      </c>
      <c r="BF21" s="15" t="str">
        <f>HYPERLINK("http://dx.doi.org/10.1038/sdata.2016.67","http://dx.doi.org/10.1038/sdata.2016.67")</f>
        <v>http://dx.doi.org/10.1038/sdata.2016.67</v>
      </c>
      <c r="BG21" s="14" t="s">
        <v>99</v>
      </c>
      <c r="BH21" s="14" t="s">
        <v>99</v>
      </c>
      <c r="BI21" s="14">
        <v>10.0</v>
      </c>
      <c r="BJ21" s="14" t="s">
        <v>799</v>
      </c>
      <c r="BK21" s="14" t="s">
        <v>122</v>
      </c>
      <c r="BL21" s="14" t="s">
        <v>801</v>
      </c>
      <c r="BM21" s="14" t="s">
        <v>1902</v>
      </c>
      <c r="BN21" s="14">
        <v>2.7552448E7</v>
      </c>
      <c r="BO21" s="14" t="s">
        <v>1251</v>
      </c>
      <c r="BP21" s="14" t="s">
        <v>99</v>
      </c>
      <c r="BQ21" s="14" t="s">
        <v>99</v>
      </c>
      <c r="BR21" s="14" t="s">
        <v>124</v>
      </c>
      <c r="BS21" s="14" t="s">
        <v>1903</v>
      </c>
      <c r="BT21" s="14" t="str">
        <f>HYPERLINK("https%3A%2F%2Fwww.webofscience.com%2Fwos%2Fwoscc%2Ffull-record%2FWOS:000390229900001","View Full Record in Web of Science")</f>
        <v>View Full Record in Web of Science</v>
      </c>
    </row>
    <row r="22" ht="12.75" customHeight="1">
      <c r="A22" s="14" t="s">
        <v>97</v>
      </c>
      <c r="B22" s="14" t="s">
        <v>1904</v>
      </c>
      <c r="C22" s="14" t="s">
        <v>99</v>
      </c>
      <c r="D22" s="14" t="s">
        <v>99</v>
      </c>
      <c r="E22" s="14" t="s">
        <v>99</v>
      </c>
      <c r="F22" s="14" t="s">
        <v>1905</v>
      </c>
      <c r="G22" s="14" t="s">
        <v>99</v>
      </c>
      <c r="H22" s="14" t="s">
        <v>99</v>
      </c>
      <c r="I22" s="14" t="s">
        <v>1906</v>
      </c>
      <c r="J22" s="14" t="s">
        <v>997</v>
      </c>
      <c r="K22" s="14" t="s">
        <v>99</v>
      </c>
      <c r="L22" s="14" t="s">
        <v>99</v>
      </c>
      <c r="M22" s="14" t="s">
        <v>103</v>
      </c>
      <c r="N22" s="14" t="s">
        <v>104</v>
      </c>
      <c r="O22" s="14" t="s">
        <v>99</v>
      </c>
      <c r="P22" s="14" t="s">
        <v>99</v>
      </c>
      <c r="Q22" s="14" t="s">
        <v>99</v>
      </c>
      <c r="R22" s="14" t="s">
        <v>99</v>
      </c>
      <c r="S22" s="14" t="s">
        <v>99</v>
      </c>
      <c r="T22" s="14" t="s">
        <v>99</v>
      </c>
      <c r="U22" s="14" t="s">
        <v>1907</v>
      </c>
      <c r="V22" s="14" t="s">
        <v>1908</v>
      </c>
      <c r="W22" s="14" t="s">
        <v>1909</v>
      </c>
      <c r="X22" s="14" t="s">
        <v>1910</v>
      </c>
      <c r="Y22" s="14" t="s">
        <v>1911</v>
      </c>
      <c r="Z22" s="14" t="s">
        <v>1912</v>
      </c>
      <c r="AA22" s="14" t="s">
        <v>1913</v>
      </c>
      <c r="AB22" s="14" t="s">
        <v>1914</v>
      </c>
      <c r="AC22" s="14" t="s">
        <v>1915</v>
      </c>
      <c r="AD22" s="14" t="s">
        <v>1916</v>
      </c>
      <c r="AE22" s="14" t="s">
        <v>1917</v>
      </c>
      <c r="AF22" s="14" t="s">
        <v>99</v>
      </c>
      <c r="AG22" s="14">
        <v>76.0</v>
      </c>
      <c r="AH22" s="14">
        <v>1006.0</v>
      </c>
      <c r="AI22" s="14">
        <v>1140.0</v>
      </c>
      <c r="AJ22" s="14">
        <v>32.0</v>
      </c>
      <c r="AK22" s="14">
        <v>678.0</v>
      </c>
      <c r="AL22" s="14" t="s">
        <v>1326</v>
      </c>
      <c r="AM22" s="14" t="s">
        <v>274</v>
      </c>
      <c r="AN22" s="14" t="s">
        <v>1327</v>
      </c>
      <c r="AO22" s="14" t="s">
        <v>1009</v>
      </c>
      <c r="AP22" s="14" t="s">
        <v>99</v>
      </c>
      <c r="AQ22" s="14" t="s">
        <v>99</v>
      </c>
      <c r="AR22" s="14" t="s">
        <v>1010</v>
      </c>
      <c r="AS22" s="14" t="s">
        <v>1011</v>
      </c>
      <c r="AT22" s="14" t="s">
        <v>474</v>
      </c>
      <c r="AU22" s="14">
        <v>2016.0</v>
      </c>
      <c r="AV22" s="14">
        <v>7.0</v>
      </c>
      <c r="AW22" s="14" t="s">
        <v>99</v>
      </c>
      <c r="AX22" s="14" t="s">
        <v>99</v>
      </c>
      <c r="AY22" s="14" t="s">
        <v>99</v>
      </c>
      <c r="AZ22" s="14" t="s">
        <v>99</v>
      </c>
      <c r="BA22" s="14" t="s">
        <v>99</v>
      </c>
      <c r="BB22" s="14" t="s">
        <v>99</v>
      </c>
      <c r="BC22" s="14" t="s">
        <v>99</v>
      </c>
      <c r="BD22" s="14">
        <v>12485.0</v>
      </c>
      <c r="BE22" s="14" t="s">
        <v>1918</v>
      </c>
      <c r="BF22" s="15" t="str">
        <f>HYPERLINK("http://dx.doi.org/10.1038/ncomms12485","http://dx.doi.org/10.1038/ncomms12485")</f>
        <v>http://dx.doi.org/10.1038/ncomms12485</v>
      </c>
      <c r="BG22" s="14" t="s">
        <v>99</v>
      </c>
      <c r="BH22" s="14" t="s">
        <v>99</v>
      </c>
      <c r="BI22" s="14">
        <v>9.0</v>
      </c>
      <c r="BJ22" s="14" t="s">
        <v>799</v>
      </c>
      <c r="BK22" s="14" t="s">
        <v>122</v>
      </c>
      <c r="BL22" s="14" t="s">
        <v>801</v>
      </c>
      <c r="BM22" s="14" t="s">
        <v>1919</v>
      </c>
      <c r="BN22" s="14">
        <v>2.7549569E7</v>
      </c>
      <c r="BO22" s="14" t="s">
        <v>1251</v>
      </c>
      <c r="BP22" s="14" t="s">
        <v>99</v>
      </c>
      <c r="BQ22" s="14" t="s">
        <v>99</v>
      </c>
      <c r="BR22" s="14" t="s">
        <v>124</v>
      </c>
      <c r="BS22" s="14" t="s">
        <v>1920</v>
      </c>
      <c r="BT22" s="14" t="str">
        <f>HYPERLINK("https%3A%2F%2Fwww.webofscience.com%2Fwos%2Fwoscc%2Ffull-record%2FWOS:000381947800001","View Full Record in Web of Science")</f>
        <v>View Full Record in Web of Science</v>
      </c>
    </row>
    <row r="23" ht="12.75" customHeight="1">
      <c r="A23" s="14" t="s">
        <v>97</v>
      </c>
      <c r="B23" s="14" t="s">
        <v>2015</v>
      </c>
      <c r="C23" s="14" t="s">
        <v>99</v>
      </c>
      <c r="D23" s="14" t="s">
        <v>99</v>
      </c>
      <c r="E23" s="14" t="s">
        <v>99</v>
      </c>
      <c r="F23" s="14" t="s">
        <v>2016</v>
      </c>
      <c r="G23" s="14" t="s">
        <v>99</v>
      </c>
      <c r="H23" s="14" t="s">
        <v>99</v>
      </c>
      <c r="I23" s="14" t="s">
        <v>2017</v>
      </c>
      <c r="J23" s="14" t="s">
        <v>2018</v>
      </c>
      <c r="K23" s="14" t="s">
        <v>99</v>
      </c>
      <c r="L23" s="14" t="s">
        <v>99</v>
      </c>
      <c r="M23" s="14" t="s">
        <v>103</v>
      </c>
      <c r="N23" s="14" t="s">
        <v>104</v>
      </c>
      <c r="O23" s="14" t="s">
        <v>99</v>
      </c>
      <c r="P23" s="14" t="s">
        <v>99</v>
      </c>
      <c r="Q23" s="14" t="s">
        <v>99</v>
      </c>
      <c r="R23" s="14" t="s">
        <v>99</v>
      </c>
      <c r="S23" s="14" t="s">
        <v>99</v>
      </c>
      <c r="T23" s="14" t="s">
        <v>99</v>
      </c>
      <c r="U23" s="14" t="s">
        <v>2019</v>
      </c>
      <c r="V23" s="14" t="s">
        <v>2020</v>
      </c>
      <c r="W23" s="14" t="s">
        <v>2021</v>
      </c>
      <c r="X23" s="14" t="s">
        <v>2022</v>
      </c>
      <c r="Y23" s="14" t="s">
        <v>2023</v>
      </c>
      <c r="Z23" s="14" t="s">
        <v>2024</v>
      </c>
      <c r="AA23" s="14" t="s">
        <v>2025</v>
      </c>
      <c r="AB23" s="14" t="s">
        <v>2026</v>
      </c>
      <c r="AC23" s="14" t="s">
        <v>2027</v>
      </c>
      <c r="AD23" s="14" t="s">
        <v>2028</v>
      </c>
      <c r="AE23" s="14" t="s">
        <v>2029</v>
      </c>
      <c r="AF23" s="14" t="s">
        <v>99</v>
      </c>
      <c r="AG23" s="14">
        <v>24.0</v>
      </c>
      <c r="AH23" s="14">
        <v>71.0</v>
      </c>
      <c r="AI23" s="14">
        <v>73.0</v>
      </c>
      <c r="AJ23" s="14">
        <v>0.0</v>
      </c>
      <c r="AK23" s="14">
        <v>6.0</v>
      </c>
      <c r="AL23" s="14" t="s">
        <v>2030</v>
      </c>
      <c r="AM23" s="14" t="s">
        <v>2031</v>
      </c>
      <c r="AN23" s="14" t="s">
        <v>2032</v>
      </c>
      <c r="AO23" s="14" t="s">
        <v>2033</v>
      </c>
      <c r="AP23" s="14" t="s">
        <v>99</v>
      </c>
      <c r="AQ23" s="14" t="s">
        <v>99</v>
      </c>
      <c r="AR23" s="14" t="s">
        <v>2018</v>
      </c>
      <c r="AS23" s="14" t="s">
        <v>2034</v>
      </c>
      <c r="AT23" s="14" t="s">
        <v>616</v>
      </c>
      <c r="AU23" s="14">
        <v>2016.0</v>
      </c>
      <c r="AV23" s="14">
        <v>29.0</v>
      </c>
      <c r="AW23" s="14">
        <v>2.0</v>
      </c>
      <c r="AX23" s="14" t="s">
        <v>99</v>
      </c>
      <c r="AY23" s="14" t="s">
        <v>99</v>
      </c>
      <c r="AZ23" s="14" t="s">
        <v>1738</v>
      </c>
      <c r="BA23" s="14" t="s">
        <v>99</v>
      </c>
      <c r="BB23" s="14">
        <v>28.0</v>
      </c>
      <c r="BC23" s="14">
        <v>37.0</v>
      </c>
      <c r="BD23" s="14" t="s">
        <v>99</v>
      </c>
      <c r="BE23" s="14" t="s">
        <v>2035</v>
      </c>
      <c r="BF23" s="15" t="str">
        <f>HYPERLINK("http://dx.doi.org/10.5670/oceanog.2016.36","http://dx.doi.org/10.5670/oceanog.2016.36")</f>
        <v>http://dx.doi.org/10.5670/oceanog.2016.36</v>
      </c>
      <c r="BG23" s="14" t="s">
        <v>99</v>
      </c>
      <c r="BH23" s="14" t="s">
        <v>99</v>
      </c>
      <c r="BI23" s="14">
        <v>10.0</v>
      </c>
      <c r="BJ23" s="14" t="s">
        <v>2034</v>
      </c>
      <c r="BK23" s="14" t="s">
        <v>122</v>
      </c>
      <c r="BL23" s="14" t="s">
        <v>2034</v>
      </c>
      <c r="BM23" s="14" t="s">
        <v>2036</v>
      </c>
      <c r="BN23" s="14" t="s">
        <v>99</v>
      </c>
      <c r="BO23" s="14" t="s">
        <v>2037</v>
      </c>
      <c r="BP23" s="14" t="s">
        <v>99</v>
      </c>
      <c r="BQ23" s="14" t="s">
        <v>99</v>
      </c>
      <c r="BR23" s="14" t="s">
        <v>124</v>
      </c>
      <c r="BS23" s="14" t="s">
        <v>2038</v>
      </c>
      <c r="BT23" s="14" t="str">
        <f>HYPERLINK("https%3A%2F%2Fwww.webofscience.com%2Fwos%2Fwoscc%2Ffull-record%2FWOS:000380572500007","View Full Record in Web of Science")</f>
        <v>View Full Record in Web of Science</v>
      </c>
    </row>
    <row r="24" ht="12.75" customHeight="1">
      <c r="A24" s="14" t="s">
        <v>97</v>
      </c>
      <c r="B24" s="14" t="s">
        <v>2057</v>
      </c>
      <c r="C24" s="14" t="s">
        <v>99</v>
      </c>
      <c r="D24" s="14" t="s">
        <v>99</v>
      </c>
      <c r="E24" s="14" t="s">
        <v>99</v>
      </c>
      <c r="F24" s="14" t="s">
        <v>2058</v>
      </c>
      <c r="G24" s="14" t="s">
        <v>99</v>
      </c>
      <c r="H24" s="14" t="s">
        <v>99</v>
      </c>
      <c r="I24" s="14" t="s">
        <v>2059</v>
      </c>
      <c r="J24" s="14" t="s">
        <v>2060</v>
      </c>
      <c r="K24" s="14" t="s">
        <v>99</v>
      </c>
      <c r="L24" s="14" t="s">
        <v>99</v>
      </c>
      <c r="M24" s="14" t="s">
        <v>103</v>
      </c>
      <c r="N24" s="14" t="s">
        <v>104</v>
      </c>
      <c r="O24" s="14" t="s">
        <v>99</v>
      </c>
      <c r="P24" s="14" t="s">
        <v>99</v>
      </c>
      <c r="Q24" s="14" t="s">
        <v>99</v>
      </c>
      <c r="R24" s="14" t="s">
        <v>99</v>
      </c>
      <c r="S24" s="14" t="s">
        <v>99</v>
      </c>
      <c r="T24" s="14" t="s">
        <v>2061</v>
      </c>
      <c r="U24" s="14" t="s">
        <v>2062</v>
      </c>
      <c r="V24" s="14" t="s">
        <v>2063</v>
      </c>
      <c r="W24" s="14" t="s">
        <v>2064</v>
      </c>
      <c r="X24" s="14" t="s">
        <v>2065</v>
      </c>
      <c r="Y24" s="14" t="s">
        <v>2066</v>
      </c>
      <c r="Z24" s="14" t="s">
        <v>2067</v>
      </c>
      <c r="AA24" s="14" t="s">
        <v>2068</v>
      </c>
      <c r="AB24" s="14" t="s">
        <v>2069</v>
      </c>
      <c r="AC24" s="14" t="s">
        <v>2070</v>
      </c>
      <c r="AD24" s="14" t="s">
        <v>2071</v>
      </c>
      <c r="AE24" s="14" t="s">
        <v>2072</v>
      </c>
      <c r="AF24" s="14" t="s">
        <v>99</v>
      </c>
      <c r="AG24" s="14">
        <v>56.0</v>
      </c>
      <c r="AH24" s="14">
        <v>256.0</v>
      </c>
      <c r="AI24" s="14">
        <v>283.0</v>
      </c>
      <c r="AJ24" s="14">
        <v>3.0</v>
      </c>
      <c r="AK24" s="14">
        <v>230.0</v>
      </c>
      <c r="AL24" s="14" t="s">
        <v>2073</v>
      </c>
      <c r="AM24" s="14" t="s">
        <v>274</v>
      </c>
      <c r="AN24" s="14" t="s">
        <v>2074</v>
      </c>
      <c r="AO24" s="14" t="s">
        <v>2075</v>
      </c>
      <c r="AP24" s="14" t="s">
        <v>2076</v>
      </c>
      <c r="AQ24" s="14" t="s">
        <v>99</v>
      </c>
      <c r="AR24" s="14" t="s">
        <v>2077</v>
      </c>
      <c r="AS24" s="14" t="s">
        <v>2078</v>
      </c>
      <c r="AT24" s="14" t="s">
        <v>2079</v>
      </c>
      <c r="AU24" s="14">
        <v>2016.0</v>
      </c>
      <c r="AV24" s="14">
        <v>171.0</v>
      </c>
      <c r="AW24" s="14" t="s">
        <v>99</v>
      </c>
      <c r="AX24" s="14" t="s">
        <v>99</v>
      </c>
      <c r="AY24" s="14" t="s">
        <v>99</v>
      </c>
      <c r="AZ24" s="14" t="s">
        <v>99</v>
      </c>
      <c r="BA24" s="14" t="s">
        <v>99</v>
      </c>
      <c r="BB24" s="14">
        <v>111.0</v>
      </c>
      <c r="BC24" s="14">
        <v>122.0</v>
      </c>
      <c r="BD24" s="14" t="s">
        <v>99</v>
      </c>
      <c r="BE24" s="14" t="s">
        <v>2080</v>
      </c>
      <c r="BF24" s="15" t="str">
        <f>HYPERLINK("http://dx.doi.org/10.1016/j.ecss.2016.01.036","http://dx.doi.org/10.1016/j.ecss.2016.01.036")</f>
        <v>http://dx.doi.org/10.1016/j.ecss.2016.01.036</v>
      </c>
      <c r="BG24" s="14" t="s">
        <v>99</v>
      </c>
      <c r="BH24" s="14" t="s">
        <v>99</v>
      </c>
      <c r="BI24" s="14">
        <v>12.0</v>
      </c>
      <c r="BJ24" s="14" t="s">
        <v>720</v>
      </c>
      <c r="BK24" s="14" t="s">
        <v>122</v>
      </c>
      <c r="BL24" s="14" t="s">
        <v>720</v>
      </c>
      <c r="BM24" s="14" t="s">
        <v>2081</v>
      </c>
      <c r="BN24" s="14" t="s">
        <v>99</v>
      </c>
      <c r="BO24" s="14" t="s">
        <v>99</v>
      </c>
      <c r="BP24" s="14" t="s">
        <v>99</v>
      </c>
      <c r="BQ24" s="14" t="s">
        <v>99</v>
      </c>
      <c r="BR24" s="14" t="s">
        <v>124</v>
      </c>
      <c r="BS24" s="14" t="s">
        <v>2082</v>
      </c>
      <c r="BT24" s="14" t="str">
        <f>HYPERLINK("https%3A%2F%2Fwww.webofscience.com%2Fwos%2Fwoscc%2Ffull-record%2FWOS:000374199400013","View Full Record in Web of Science")</f>
        <v>View Full Record in Web of Science</v>
      </c>
    </row>
    <row r="25" ht="12.75" customHeight="1">
      <c r="A25" s="14" t="s">
        <v>97</v>
      </c>
      <c r="B25" s="14" t="s">
        <v>2083</v>
      </c>
      <c r="C25" s="14" t="s">
        <v>99</v>
      </c>
      <c r="D25" s="14" t="s">
        <v>99</v>
      </c>
      <c r="E25" s="14" t="s">
        <v>99</v>
      </c>
      <c r="F25" s="14" t="s">
        <v>2084</v>
      </c>
      <c r="G25" s="14" t="s">
        <v>99</v>
      </c>
      <c r="H25" s="14" t="s">
        <v>99</v>
      </c>
      <c r="I25" s="14" t="s">
        <v>2085</v>
      </c>
      <c r="J25" s="14" t="s">
        <v>1231</v>
      </c>
      <c r="K25" s="14" t="s">
        <v>99</v>
      </c>
      <c r="L25" s="14" t="s">
        <v>99</v>
      </c>
      <c r="M25" s="14" t="s">
        <v>103</v>
      </c>
      <c r="N25" s="14" t="s">
        <v>104</v>
      </c>
      <c r="O25" s="14" t="s">
        <v>99</v>
      </c>
      <c r="P25" s="14" t="s">
        <v>99</v>
      </c>
      <c r="Q25" s="14" t="s">
        <v>99</v>
      </c>
      <c r="R25" s="14" t="s">
        <v>99</v>
      </c>
      <c r="S25" s="14" t="s">
        <v>99</v>
      </c>
      <c r="T25" s="14" t="s">
        <v>99</v>
      </c>
      <c r="U25" s="14" t="s">
        <v>2086</v>
      </c>
      <c r="V25" s="14" t="s">
        <v>2087</v>
      </c>
      <c r="W25" s="14" t="s">
        <v>2088</v>
      </c>
      <c r="X25" s="14" t="s">
        <v>2089</v>
      </c>
      <c r="Y25" s="14" t="s">
        <v>2090</v>
      </c>
      <c r="Z25" s="14" t="s">
        <v>2091</v>
      </c>
      <c r="AA25" s="14" t="s">
        <v>2092</v>
      </c>
      <c r="AB25" s="14" t="s">
        <v>2093</v>
      </c>
      <c r="AC25" s="14" t="s">
        <v>2094</v>
      </c>
      <c r="AD25" s="14" t="s">
        <v>2095</v>
      </c>
      <c r="AE25" s="14" t="s">
        <v>2096</v>
      </c>
      <c r="AF25" s="14" t="s">
        <v>99</v>
      </c>
      <c r="AG25" s="14">
        <v>55.0</v>
      </c>
      <c r="AH25" s="14">
        <v>196.0</v>
      </c>
      <c r="AI25" s="14">
        <v>220.0</v>
      </c>
      <c r="AJ25" s="14">
        <v>4.0</v>
      </c>
      <c r="AK25" s="14">
        <v>161.0</v>
      </c>
      <c r="AL25" s="14" t="s">
        <v>1243</v>
      </c>
      <c r="AM25" s="14" t="s">
        <v>789</v>
      </c>
      <c r="AN25" s="14" t="s">
        <v>1244</v>
      </c>
      <c r="AO25" s="14" t="s">
        <v>99</v>
      </c>
      <c r="AP25" s="14" t="s">
        <v>1245</v>
      </c>
      <c r="AQ25" s="14" t="s">
        <v>99</v>
      </c>
      <c r="AR25" s="14" t="s">
        <v>1246</v>
      </c>
      <c r="AS25" s="14" t="s">
        <v>1247</v>
      </c>
      <c r="AT25" s="14" t="s">
        <v>1485</v>
      </c>
      <c r="AU25" s="14">
        <v>2016.0</v>
      </c>
      <c r="AV25" s="14">
        <v>2.0</v>
      </c>
      <c r="AW25" s="14">
        <v>3.0</v>
      </c>
      <c r="AX25" s="14" t="s">
        <v>99</v>
      </c>
      <c r="AY25" s="14" t="s">
        <v>99</v>
      </c>
      <c r="AZ25" s="14" t="s">
        <v>99</v>
      </c>
      <c r="BA25" s="14" t="s">
        <v>99</v>
      </c>
      <c r="BB25" s="14" t="s">
        <v>99</v>
      </c>
      <c r="BC25" s="14" t="s">
        <v>99</v>
      </c>
      <c r="BD25" s="14" t="s">
        <v>2097</v>
      </c>
      <c r="BE25" s="14" t="s">
        <v>2098</v>
      </c>
      <c r="BF25" s="15" t="str">
        <f>HYPERLINK("http://dx.doi.org/10.1126/sciadv.1500965","http://dx.doi.org/10.1126/sciadv.1500965")</f>
        <v>http://dx.doi.org/10.1126/sciadv.1500965</v>
      </c>
      <c r="BG25" s="14" t="s">
        <v>99</v>
      </c>
      <c r="BH25" s="14" t="s">
        <v>99</v>
      </c>
      <c r="BI25" s="14">
        <v>7.0</v>
      </c>
      <c r="BJ25" s="14" t="s">
        <v>799</v>
      </c>
      <c r="BK25" s="14" t="s">
        <v>122</v>
      </c>
      <c r="BL25" s="14" t="s">
        <v>801</v>
      </c>
      <c r="BM25" s="14" t="s">
        <v>2099</v>
      </c>
      <c r="BN25" s="14">
        <v>2.703498E7</v>
      </c>
      <c r="BO25" s="14" t="s">
        <v>576</v>
      </c>
      <c r="BP25" s="14" t="s">
        <v>99</v>
      </c>
      <c r="BQ25" s="14" t="s">
        <v>99</v>
      </c>
      <c r="BR25" s="14" t="s">
        <v>124</v>
      </c>
      <c r="BS25" s="14" t="s">
        <v>2100</v>
      </c>
      <c r="BT25" s="14" t="str">
        <f>HYPERLINK("https%3A%2F%2Fwww.webofscience.com%2Fwos%2Fwoscc%2Ffull-record%2FWOS:000379620200006","View Full Record in Web of Science")</f>
        <v>View Full Record in Web of Science</v>
      </c>
    </row>
    <row r="26" ht="12.75" customHeight="1">
      <c r="A26" s="14" t="s">
        <v>97</v>
      </c>
      <c r="B26" s="14" t="s">
        <v>2201</v>
      </c>
      <c r="C26" s="14" t="s">
        <v>99</v>
      </c>
      <c r="D26" s="14" t="s">
        <v>99</v>
      </c>
      <c r="E26" s="14" t="s">
        <v>99</v>
      </c>
      <c r="F26" s="14" t="s">
        <v>2202</v>
      </c>
      <c r="G26" s="14" t="s">
        <v>99</v>
      </c>
      <c r="H26" s="14" t="s">
        <v>99</v>
      </c>
      <c r="I26" s="14" t="s">
        <v>2203</v>
      </c>
      <c r="J26" s="14" t="s">
        <v>1102</v>
      </c>
      <c r="K26" s="14" t="s">
        <v>99</v>
      </c>
      <c r="L26" s="14" t="s">
        <v>99</v>
      </c>
      <c r="M26" s="14" t="s">
        <v>103</v>
      </c>
      <c r="N26" s="14" t="s">
        <v>104</v>
      </c>
      <c r="O26" s="14" t="s">
        <v>99</v>
      </c>
      <c r="P26" s="14" t="s">
        <v>99</v>
      </c>
      <c r="Q26" s="14" t="s">
        <v>99</v>
      </c>
      <c r="R26" s="14" t="s">
        <v>99</v>
      </c>
      <c r="S26" s="14" t="s">
        <v>99</v>
      </c>
      <c r="T26" s="14" t="s">
        <v>2204</v>
      </c>
      <c r="U26" s="14" t="s">
        <v>2205</v>
      </c>
      <c r="V26" s="14" t="s">
        <v>2206</v>
      </c>
      <c r="W26" s="14" t="s">
        <v>2207</v>
      </c>
      <c r="X26" s="14" t="s">
        <v>2208</v>
      </c>
      <c r="Y26" s="14" t="s">
        <v>2209</v>
      </c>
      <c r="Z26" s="14" t="s">
        <v>2210</v>
      </c>
      <c r="AA26" s="14" t="s">
        <v>2211</v>
      </c>
      <c r="AB26" s="14" t="s">
        <v>2212</v>
      </c>
      <c r="AC26" s="14" t="s">
        <v>2213</v>
      </c>
      <c r="AD26" s="14" t="s">
        <v>2213</v>
      </c>
      <c r="AE26" s="14" t="s">
        <v>2214</v>
      </c>
      <c r="AF26" s="14" t="s">
        <v>99</v>
      </c>
      <c r="AG26" s="14">
        <v>52.0</v>
      </c>
      <c r="AH26" s="14">
        <v>182.0</v>
      </c>
      <c r="AI26" s="14">
        <v>210.0</v>
      </c>
      <c r="AJ26" s="14">
        <v>2.0</v>
      </c>
      <c r="AK26" s="14">
        <v>131.0</v>
      </c>
      <c r="AL26" s="14" t="s">
        <v>493</v>
      </c>
      <c r="AM26" s="14" t="s">
        <v>468</v>
      </c>
      <c r="AN26" s="14" t="s">
        <v>635</v>
      </c>
      <c r="AO26" s="14" t="s">
        <v>1112</v>
      </c>
      <c r="AP26" s="14" t="s">
        <v>1113</v>
      </c>
      <c r="AQ26" s="14" t="s">
        <v>99</v>
      </c>
      <c r="AR26" s="14" t="s">
        <v>1114</v>
      </c>
      <c r="AS26" s="14" t="s">
        <v>1115</v>
      </c>
      <c r="AT26" s="14" t="s">
        <v>935</v>
      </c>
      <c r="AU26" s="14">
        <v>2016.0</v>
      </c>
      <c r="AV26" s="14">
        <v>193.0</v>
      </c>
      <c r="AW26" s="14" t="s">
        <v>99</v>
      </c>
      <c r="AX26" s="14" t="s">
        <v>99</v>
      </c>
      <c r="AY26" s="14" t="s">
        <v>99</v>
      </c>
      <c r="AZ26" s="14" t="s">
        <v>99</v>
      </c>
      <c r="BA26" s="14" t="s">
        <v>99</v>
      </c>
      <c r="BB26" s="14">
        <v>27.0</v>
      </c>
      <c r="BC26" s="14">
        <v>35.0</v>
      </c>
      <c r="BD26" s="14" t="s">
        <v>99</v>
      </c>
      <c r="BE26" s="14" t="s">
        <v>2215</v>
      </c>
      <c r="BF26" s="15" t="str">
        <f>HYPERLINK("http://dx.doi.org/10.1016/j.biocon.2015.10.023","http://dx.doi.org/10.1016/j.biocon.2015.10.023")</f>
        <v>http://dx.doi.org/10.1016/j.biocon.2015.10.023</v>
      </c>
      <c r="BG26" s="14" t="s">
        <v>99</v>
      </c>
      <c r="BH26" s="14" t="s">
        <v>99</v>
      </c>
      <c r="BI26" s="14">
        <v>9.0</v>
      </c>
      <c r="BJ26" s="14" t="s">
        <v>351</v>
      </c>
      <c r="BK26" s="14" t="s">
        <v>122</v>
      </c>
      <c r="BL26" s="14" t="s">
        <v>352</v>
      </c>
      <c r="BM26" s="14" t="s">
        <v>2216</v>
      </c>
      <c r="BN26" s="14" t="s">
        <v>99</v>
      </c>
      <c r="BO26" s="14" t="s">
        <v>99</v>
      </c>
      <c r="BP26" s="14" t="s">
        <v>99</v>
      </c>
      <c r="BQ26" s="14" t="s">
        <v>99</v>
      </c>
      <c r="BR26" s="14" t="s">
        <v>124</v>
      </c>
      <c r="BS26" s="14" t="s">
        <v>2217</v>
      </c>
      <c r="BT26" s="14" t="str">
        <f>HYPERLINK("https%3A%2F%2Fwww.webofscience.com%2Fwos%2Fwoscc%2Ffull-record%2FWOS:000368963700004","View Full Record in Web of Science")</f>
        <v>View Full Record in Web of Science</v>
      </c>
    </row>
    <row r="27" ht="12.75" customHeight="1">
      <c r="A27" s="14" t="s">
        <v>97</v>
      </c>
      <c r="B27" s="14" t="s">
        <v>2261</v>
      </c>
      <c r="C27" s="14" t="s">
        <v>99</v>
      </c>
      <c r="D27" s="14" t="s">
        <v>99</v>
      </c>
      <c r="E27" s="14" t="s">
        <v>99</v>
      </c>
      <c r="F27" s="14" t="s">
        <v>2262</v>
      </c>
      <c r="G27" s="14" t="s">
        <v>99</v>
      </c>
      <c r="H27" s="14" t="s">
        <v>99</v>
      </c>
      <c r="I27" s="14" t="s">
        <v>2263</v>
      </c>
      <c r="J27" s="14" t="s">
        <v>456</v>
      </c>
      <c r="K27" s="14" t="s">
        <v>99</v>
      </c>
      <c r="L27" s="14" t="s">
        <v>99</v>
      </c>
      <c r="M27" s="14" t="s">
        <v>103</v>
      </c>
      <c r="N27" s="14" t="s">
        <v>104</v>
      </c>
      <c r="O27" s="14" t="s">
        <v>99</v>
      </c>
      <c r="P27" s="14" t="s">
        <v>99</v>
      </c>
      <c r="Q27" s="14" t="s">
        <v>99</v>
      </c>
      <c r="R27" s="14" t="s">
        <v>99</v>
      </c>
      <c r="S27" s="14" t="s">
        <v>99</v>
      </c>
      <c r="T27" s="14" t="s">
        <v>2264</v>
      </c>
      <c r="U27" s="14" t="s">
        <v>2265</v>
      </c>
      <c r="V27" s="14" t="s">
        <v>2266</v>
      </c>
      <c r="W27" s="14" t="s">
        <v>2267</v>
      </c>
      <c r="X27" s="14" t="s">
        <v>2268</v>
      </c>
      <c r="Y27" s="14" t="s">
        <v>2269</v>
      </c>
      <c r="Z27" s="14" t="s">
        <v>2270</v>
      </c>
      <c r="AA27" s="14" t="s">
        <v>2271</v>
      </c>
      <c r="AB27" s="14" t="s">
        <v>2272</v>
      </c>
      <c r="AC27" s="14" t="s">
        <v>2273</v>
      </c>
      <c r="AD27" s="14" t="s">
        <v>2274</v>
      </c>
      <c r="AE27" s="14" t="s">
        <v>2275</v>
      </c>
      <c r="AF27" s="14" t="s">
        <v>99</v>
      </c>
      <c r="AG27" s="14">
        <v>32.0</v>
      </c>
      <c r="AH27" s="14">
        <v>336.0</v>
      </c>
      <c r="AI27" s="14">
        <v>411.0</v>
      </c>
      <c r="AJ27" s="14">
        <v>2.0</v>
      </c>
      <c r="AK27" s="14">
        <v>175.0</v>
      </c>
      <c r="AL27" s="14" t="s">
        <v>467</v>
      </c>
      <c r="AM27" s="14" t="s">
        <v>468</v>
      </c>
      <c r="AN27" s="14" t="s">
        <v>469</v>
      </c>
      <c r="AO27" s="14" t="s">
        <v>470</v>
      </c>
      <c r="AP27" s="14" t="s">
        <v>471</v>
      </c>
      <c r="AQ27" s="14" t="s">
        <v>99</v>
      </c>
      <c r="AR27" s="14" t="s">
        <v>472</v>
      </c>
      <c r="AS27" s="14" t="s">
        <v>473</v>
      </c>
      <c r="AT27" s="14" t="s">
        <v>2276</v>
      </c>
      <c r="AU27" s="14">
        <v>2015.0</v>
      </c>
      <c r="AV27" s="14">
        <v>101.0</v>
      </c>
      <c r="AW27" s="14">
        <v>2.0</v>
      </c>
      <c r="AX27" s="14" t="s">
        <v>99</v>
      </c>
      <c r="AY27" s="14" t="s">
        <v>99</v>
      </c>
      <c r="AZ27" s="14" t="s">
        <v>99</v>
      </c>
      <c r="BA27" s="14" t="s">
        <v>99</v>
      </c>
      <c r="BB27" s="14">
        <v>618.0</v>
      </c>
      <c r="BC27" s="14">
        <v>623.0</v>
      </c>
      <c r="BD27" s="14" t="s">
        <v>99</v>
      </c>
      <c r="BE27" s="14" t="s">
        <v>2277</v>
      </c>
      <c r="BF27" s="15" t="str">
        <f>HYPERLINK("http://dx.doi.org/10.1016/j.marpolbul.2015.10.042","http://dx.doi.org/10.1016/j.marpolbul.2015.10.042")</f>
        <v>http://dx.doi.org/10.1016/j.marpolbul.2015.10.042</v>
      </c>
      <c r="BG27" s="14" t="s">
        <v>99</v>
      </c>
      <c r="BH27" s="14" t="s">
        <v>99</v>
      </c>
      <c r="BI27" s="14">
        <v>6.0</v>
      </c>
      <c r="BJ27" s="14" t="s">
        <v>396</v>
      </c>
      <c r="BK27" s="14" t="s">
        <v>122</v>
      </c>
      <c r="BL27" s="14" t="s">
        <v>397</v>
      </c>
      <c r="BM27" s="14" t="s">
        <v>2278</v>
      </c>
      <c r="BN27" s="14">
        <v>2.6522164E7</v>
      </c>
      <c r="BO27" s="14" t="s">
        <v>354</v>
      </c>
      <c r="BP27" s="14" t="s">
        <v>99</v>
      </c>
      <c r="BQ27" s="14" t="s">
        <v>99</v>
      </c>
      <c r="BR27" s="14" t="s">
        <v>124</v>
      </c>
      <c r="BS27" s="14" t="s">
        <v>2279</v>
      </c>
      <c r="BT27" s="14" t="str">
        <f>HYPERLINK("https%3A%2F%2Fwww.webofscience.com%2Fwos%2Fwoscc%2Ffull-record%2FWOS:000367107600019","View Full Record in Web of Science")</f>
        <v>View Full Record in Web of Science</v>
      </c>
    </row>
    <row r="28" ht="12.75" customHeight="1">
      <c r="A28" s="14" t="s">
        <v>97</v>
      </c>
      <c r="B28" s="14" t="s">
        <v>2280</v>
      </c>
      <c r="C28" s="14" t="s">
        <v>99</v>
      </c>
      <c r="D28" s="14" t="s">
        <v>99</v>
      </c>
      <c r="E28" s="14" t="s">
        <v>99</v>
      </c>
      <c r="F28" s="14" t="s">
        <v>2281</v>
      </c>
      <c r="G28" s="14" t="s">
        <v>99</v>
      </c>
      <c r="H28" s="14" t="s">
        <v>99</v>
      </c>
      <c r="I28" s="14" t="s">
        <v>2282</v>
      </c>
      <c r="J28" s="14" t="s">
        <v>2283</v>
      </c>
      <c r="K28" s="14" t="s">
        <v>99</v>
      </c>
      <c r="L28" s="14" t="s">
        <v>99</v>
      </c>
      <c r="M28" s="14" t="s">
        <v>103</v>
      </c>
      <c r="N28" s="14" t="s">
        <v>2284</v>
      </c>
      <c r="O28" s="14" t="s">
        <v>2285</v>
      </c>
      <c r="P28" s="14" t="s">
        <v>2286</v>
      </c>
      <c r="Q28" s="14" t="s">
        <v>2287</v>
      </c>
      <c r="R28" s="14" t="s">
        <v>99</v>
      </c>
      <c r="S28" s="14" t="s">
        <v>2288</v>
      </c>
      <c r="T28" s="14" t="s">
        <v>2289</v>
      </c>
      <c r="U28" s="14" t="s">
        <v>2290</v>
      </c>
      <c r="V28" s="14" t="s">
        <v>2291</v>
      </c>
      <c r="W28" s="14" t="s">
        <v>2292</v>
      </c>
      <c r="X28" s="14" t="s">
        <v>2293</v>
      </c>
      <c r="Y28" s="14" t="s">
        <v>2294</v>
      </c>
      <c r="Z28" s="14" t="s">
        <v>2295</v>
      </c>
      <c r="AA28" s="14" t="s">
        <v>2296</v>
      </c>
      <c r="AB28" s="14" t="s">
        <v>2297</v>
      </c>
      <c r="AC28" s="14" t="s">
        <v>2298</v>
      </c>
      <c r="AD28" s="14" t="s">
        <v>2299</v>
      </c>
      <c r="AE28" s="14" t="s">
        <v>2300</v>
      </c>
      <c r="AF28" s="14" t="s">
        <v>99</v>
      </c>
      <c r="AG28" s="14">
        <v>80.0</v>
      </c>
      <c r="AH28" s="14">
        <v>34.0</v>
      </c>
      <c r="AI28" s="14">
        <v>36.0</v>
      </c>
      <c r="AJ28" s="14">
        <v>1.0</v>
      </c>
      <c r="AK28" s="14">
        <v>30.0</v>
      </c>
      <c r="AL28" s="14" t="s">
        <v>2301</v>
      </c>
      <c r="AM28" s="14" t="s">
        <v>2302</v>
      </c>
      <c r="AN28" s="14" t="s">
        <v>2303</v>
      </c>
      <c r="AO28" s="14" t="s">
        <v>2304</v>
      </c>
      <c r="AP28" s="14" t="s">
        <v>2305</v>
      </c>
      <c r="AQ28" s="14" t="s">
        <v>99</v>
      </c>
      <c r="AR28" s="14" t="s">
        <v>2306</v>
      </c>
      <c r="AS28" s="14" t="s">
        <v>2307</v>
      </c>
      <c r="AT28" s="14" t="s">
        <v>1058</v>
      </c>
      <c r="AU28" s="14">
        <v>2015.0</v>
      </c>
      <c r="AV28" s="14">
        <v>156.0</v>
      </c>
      <c r="AW28" s="14" t="s">
        <v>99</v>
      </c>
      <c r="AX28" s="14" t="s">
        <v>99</v>
      </c>
      <c r="AY28" s="14">
        <v>1.0</v>
      </c>
      <c r="AZ28" s="14" t="s">
        <v>99</v>
      </c>
      <c r="BA28" s="14" t="s">
        <v>99</v>
      </c>
      <c r="BB28" s="14" t="s">
        <v>2308</v>
      </c>
      <c r="BC28" s="14" t="s">
        <v>2309</v>
      </c>
      <c r="BD28" s="14" t="s">
        <v>99</v>
      </c>
      <c r="BE28" s="14" t="s">
        <v>2310</v>
      </c>
      <c r="BF28" s="15" t="str">
        <f>HYPERLINK("http://dx.doi.org/10.1007/s10336-015-1155-z","http://dx.doi.org/10.1007/s10336-015-1155-z")</f>
        <v>http://dx.doi.org/10.1007/s10336-015-1155-z</v>
      </c>
      <c r="BG28" s="14" t="s">
        <v>99</v>
      </c>
      <c r="BH28" s="14" t="s">
        <v>99</v>
      </c>
      <c r="BI28" s="14">
        <v>11.0</v>
      </c>
      <c r="BJ28" s="14" t="s">
        <v>1183</v>
      </c>
      <c r="BK28" s="14" t="s">
        <v>2311</v>
      </c>
      <c r="BL28" s="14" t="s">
        <v>121</v>
      </c>
      <c r="BM28" s="14" t="s">
        <v>2312</v>
      </c>
      <c r="BN28" s="14" t="s">
        <v>99</v>
      </c>
      <c r="BO28" s="14" t="s">
        <v>425</v>
      </c>
      <c r="BP28" s="14" t="s">
        <v>99</v>
      </c>
      <c r="BQ28" s="14" t="s">
        <v>99</v>
      </c>
      <c r="BR28" s="14" t="s">
        <v>124</v>
      </c>
      <c r="BS28" s="14" t="s">
        <v>2313</v>
      </c>
      <c r="BT28" s="14" t="str">
        <f>HYPERLINK("https%3A%2F%2Fwww.webofscience.com%2Fwos%2Fwoscc%2Ffull-record%2FWOS:000367457200003","View Full Record in Web of Science")</f>
        <v>View Full Record in Web of Science</v>
      </c>
    </row>
    <row r="29" ht="12.75" customHeight="1">
      <c r="A29" s="14" t="s">
        <v>97</v>
      </c>
      <c r="B29" s="14" t="s">
        <v>2314</v>
      </c>
      <c r="C29" s="14" t="s">
        <v>99</v>
      </c>
      <c r="D29" s="14" t="s">
        <v>99</v>
      </c>
      <c r="E29" s="14" t="s">
        <v>99</v>
      </c>
      <c r="F29" s="14" t="s">
        <v>2315</v>
      </c>
      <c r="G29" s="14" t="s">
        <v>99</v>
      </c>
      <c r="H29" s="14" t="s">
        <v>99</v>
      </c>
      <c r="I29" s="14" t="s">
        <v>2316</v>
      </c>
      <c r="J29" s="14" t="s">
        <v>900</v>
      </c>
      <c r="K29" s="14" t="s">
        <v>99</v>
      </c>
      <c r="L29" s="14" t="s">
        <v>99</v>
      </c>
      <c r="M29" s="14" t="s">
        <v>103</v>
      </c>
      <c r="N29" s="14" t="s">
        <v>104</v>
      </c>
      <c r="O29" s="14" t="s">
        <v>99</v>
      </c>
      <c r="P29" s="14" t="s">
        <v>99</v>
      </c>
      <c r="Q29" s="14" t="s">
        <v>99</v>
      </c>
      <c r="R29" s="14" t="s">
        <v>99</v>
      </c>
      <c r="S29" s="14" t="s">
        <v>99</v>
      </c>
      <c r="T29" s="14" t="s">
        <v>99</v>
      </c>
      <c r="U29" s="14" t="s">
        <v>2317</v>
      </c>
      <c r="V29" s="14" t="s">
        <v>2318</v>
      </c>
      <c r="W29" s="14" t="s">
        <v>2319</v>
      </c>
      <c r="X29" s="14" t="s">
        <v>2320</v>
      </c>
      <c r="Y29" s="14" t="s">
        <v>2321</v>
      </c>
      <c r="Z29" s="14" t="s">
        <v>2322</v>
      </c>
      <c r="AA29" s="14" t="s">
        <v>2323</v>
      </c>
      <c r="AB29" s="14" t="s">
        <v>2324</v>
      </c>
      <c r="AC29" s="14" t="s">
        <v>99</v>
      </c>
      <c r="AD29" s="14" t="s">
        <v>99</v>
      </c>
      <c r="AE29" s="14" t="s">
        <v>99</v>
      </c>
      <c r="AF29" s="14" t="s">
        <v>99</v>
      </c>
      <c r="AG29" s="14">
        <v>27.0</v>
      </c>
      <c r="AH29" s="14">
        <v>1523.0</v>
      </c>
      <c r="AI29" s="14">
        <v>1971.0</v>
      </c>
      <c r="AJ29" s="14">
        <v>53.0</v>
      </c>
      <c r="AK29" s="14">
        <v>686.0</v>
      </c>
      <c r="AL29" s="14" t="s">
        <v>1326</v>
      </c>
      <c r="AM29" s="14" t="s">
        <v>274</v>
      </c>
      <c r="AN29" s="14" t="s">
        <v>1327</v>
      </c>
      <c r="AO29" s="14" t="s">
        <v>912</v>
      </c>
      <c r="AP29" s="14" t="s">
        <v>913</v>
      </c>
      <c r="AQ29" s="14" t="s">
        <v>99</v>
      </c>
      <c r="AR29" s="14" t="s">
        <v>900</v>
      </c>
      <c r="AS29" s="14" t="s">
        <v>914</v>
      </c>
      <c r="AT29" s="14" t="s">
        <v>2325</v>
      </c>
      <c r="AU29" s="14">
        <v>2015.0</v>
      </c>
      <c r="AV29" s="14">
        <v>527.0</v>
      </c>
      <c r="AW29" s="14">
        <v>7577.0</v>
      </c>
      <c r="AX29" s="14" t="s">
        <v>99</v>
      </c>
      <c r="AY29" s="14" t="s">
        <v>99</v>
      </c>
      <c r="AZ29" s="14" t="s">
        <v>99</v>
      </c>
      <c r="BA29" s="14" t="s">
        <v>99</v>
      </c>
      <c r="BB29" s="14">
        <v>235.0</v>
      </c>
      <c r="BC29" s="14" t="s">
        <v>916</v>
      </c>
      <c r="BD29" s="14" t="s">
        <v>99</v>
      </c>
      <c r="BE29" s="14" t="s">
        <v>2326</v>
      </c>
      <c r="BF29" s="15" t="str">
        <f>HYPERLINK("http://dx.doi.org/10.1038/nature15725","http://dx.doi.org/10.1038/nature15725")</f>
        <v>http://dx.doi.org/10.1038/nature15725</v>
      </c>
      <c r="BG29" s="14" t="s">
        <v>99</v>
      </c>
      <c r="BH29" s="14" t="s">
        <v>99</v>
      </c>
      <c r="BI29" s="14">
        <v>16.0</v>
      </c>
      <c r="BJ29" s="14" t="s">
        <v>799</v>
      </c>
      <c r="BK29" s="14" t="s">
        <v>800</v>
      </c>
      <c r="BL29" s="14" t="s">
        <v>801</v>
      </c>
      <c r="BM29" s="14" t="s">
        <v>2327</v>
      </c>
      <c r="BN29" s="14">
        <v>2.6503051E7</v>
      </c>
      <c r="BO29" s="14" t="s">
        <v>576</v>
      </c>
      <c r="BP29" s="14" t="s">
        <v>99</v>
      </c>
      <c r="BQ29" s="14" t="s">
        <v>99</v>
      </c>
      <c r="BR29" s="14" t="s">
        <v>124</v>
      </c>
      <c r="BS29" s="14" t="s">
        <v>2328</v>
      </c>
      <c r="BT29" s="14" t="str">
        <f>HYPERLINK("https%3A%2F%2Fwww.webofscience.com%2Fwos%2Fwoscc%2Ffull-record%2FWOS:000364396700045","View Full Record in Web of Science")</f>
        <v>View Full Record in Web of Science</v>
      </c>
    </row>
    <row r="30" ht="12.75" customHeight="1">
      <c r="A30" s="14" t="s">
        <v>97</v>
      </c>
      <c r="B30" s="14" t="s">
        <v>2329</v>
      </c>
      <c r="C30" s="14" t="s">
        <v>99</v>
      </c>
      <c r="D30" s="14" t="s">
        <v>99</v>
      </c>
      <c r="E30" s="14" t="s">
        <v>99</v>
      </c>
      <c r="F30" s="14" t="s">
        <v>2330</v>
      </c>
      <c r="G30" s="14" t="s">
        <v>99</v>
      </c>
      <c r="H30" s="14" t="s">
        <v>99</v>
      </c>
      <c r="I30" s="14" t="s">
        <v>2331</v>
      </c>
      <c r="J30" s="14" t="s">
        <v>2332</v>
      </c>
      <c r="K30" s="14" t="s">
        <v>99</v>
      </c>
      <c r="L30" s="14" t="s">
        <v>99</v>
      </c>
      <c r="M30" s="14" t="s">
        <v>103</v>
      </c>
      <c r="N30" s="14" t="s">
        <v>104</v>
      </c>
      <c r="O30" s="14" t="s">
        <v>99</v>
      </c>
      <c r="P30" s="14" t="s">
        <v>99</v>
      </c>
      <c r="Q30" s="14" t="s">
        <v>99</v>
      </c>
      <c r="R30" s="14" t="s">
        <v>99</v>
      </c>
      <c r="S30" s="14" t="s">
        <v>99</v>
      </c>
      <c r="T30" s="14" t="s">
        <v>2333</v>
      </c>
      <c r="U30" s="14" t="s">
        <v>2334</v>
      </c>
      <c r="V30" s="14" t="s">
        <v>2335</v>
      </c>
      <c r="W30" s="14" t="s">
        <v>2336</v>
      </c>
      <c r="X30" s="14" t="s">
        <v>2337</v>
      </c>
      <c r="Y30" s="14" t="s">
        <v>2338</v>
      </c>
      <c r="Z30" s="14" t="s">
        <v>2339</v>
      </c>
      <c r="AA30" s="14" t="s">
        <v>2340</v>
      </c>
      <c r="AB30" s="14" t="s">
        <v>2341</v>
      </c>
      <c r="AC30" s="14" t="s">
        <v>2342</v>
      </c>
      <c r="AD30" s="14" t="s">
        <v>2343</v>
      </c>
      <c r="AE30" s="14" t="s">
        <v>2344</v>
      </c>
      <c r="AF30" s="14" t="s">
        <v>99</v>
      </c>
      <c r="AG30" s="14">
        <v>65.0</v>
      </c>
      <c r="AH30" s="14">
        <v>293.0</v>
      </c>
      <c r="AI30" s="14">
        <v>339.0</v>
      </c>
      <c r="AJ30" s="14">
        <v>22.0</v>
      </c>
      <c r="AK30" s="14">
        <v>391.0</v>
      </c>
      <c r="AL30" s="14" t="s">
        <v>493</v>
      </c>
      <c r="AM30" s="14" t="s">
        <v>494</v>
      </c>
      <c r="AN30" s="14" t="s">
        <v>495</v>
      </c>
      <c r="AO30" s="14" t="s">
        <v>2345</v>
      </c>
      <c r="AP30" s="14" t="s">
        <v>2346</v>
      </c>
      <c r="AQ30" s="14" t="s">
        <v>99</v>
      </c>
      <c r="AR30" s="14" t="s">
        <v>2347</v>
      </c>
      <c r="AS30" s="14" t="s">
        <v>2348</v>
      </c>
      <c r="AT30" s="14" t="s">
        <v>348</v>
      </c>
      <c r="AU30" s="14">
        <v>2015.0</v>
      </c>
      <c r="AV30" s="14">
        <v>35.0</v>
      </c>
      <c r="AW30" s="14" t="s">
        <v>99</v>
      </c>
      <c r="AX30" s="14" t="s">
        <v>99</v>
      </c>
      <c r="AY30" s="14" t="s">
        <v>99</v>
      </c>
      <c r="AZ30" s="14" t="s">
        <v>99</v>
      </c>
      <c r="BA30" s="14" t="s">
        <v>99</v>
      </c>
      <c r="BB30" s="14">
        <v>138.0</v>
      </c>
      <c r="BC30" s="14">
        <v>147.0</v>
      </c>
      <c r="BD30" s="14" t="s">
        <v>99</v>
      </c>
      <c r="BE30" s="14" t="s">
        <v>2349</v>
      </c>
      <c r="BF30" s="15" t="str">
        <f>HYPERLINK("http://dx.doi.org/10.1016/j.gloenvcha.2015.08.011","http://dx.doi.org/10.1016/j.gloenvcha.2015.08.011")</f>
        <v>http://dx.doi.org/10.1016/j.gloenvcha.2015.08.011</v>
      </c>
      <c r="BG30" s="14" t="s">
        <v>99</v>
      </c>
      <c r="BH30" s="14" t="s">
        <v>99</v>
      </c>
      <c r="BI30" s="14">
        <v>10.0</v>
      </c>
      <c r="BJ30" s="14" t="s">
        <v>2350</v>
      </c>
      <c r="BK30" s="14" t="s">
        <v>800</v>
      </c>
      <c r="BL30" s="14" t="s">
        <v>2351</v>
      </c>
      <c r="BM30" s="14" t="s">
        <v>2352</v>
      </c>
      <c r="BN30" s="14" t="s">
        <v>99</v>
      </c>
      <c r="BO30" s="14" t="s">
        <v>425</v>
      </c>
      <c r="BP30" s="14" t="s">
        <v>99</v>
      </c>
      <c r="BQ30" s="14" t="s">
        <v>99</v>
      </c>
      <c r="BR30" s="14" t="s">
        <v>124</v>
      </c>
      <c r="BS30" s="14" t="s">
        <v>2353</v>
      </c>
      <c r="BT30" s="14" t="str">
        <f>HYPERLINK("https%3A%2F%2Fwww.webofscience.com%2Fwos%2Fwoscc%2Ffull-record%2FWOS:000366767100014","View Full Record in Web of Science")</f>
        <v>View Full Record in Web of Science</v>
      </c>
    </row>
    <row r="31" ht="12.75" customHeight="1">
      <c r="A31" s="14" t="s">
        <v>97</v>
      </c>
      <c r="B31" s="14" t="s">
        <v>2394</v>
      </c>
      <c r="C31" s="14" t="s">
        <v>99</v>
      </c>
      <c r="D31" s="14" t="s">
        <v>99</v>
      </c>
      <c r="E31" s="14" t="s">
        <v>99</v>
      </c>
      <c r="F31" s="14" t="s">
        <v>2395</v>
      </c>
      <c r="G31" s="14" t="s">
        <v>99</v>
      </c>
      <c r="H31" s="14" t="s">
        <v>99</v>
      </c>
      <c r="I31" s="14" t="s">
        <v>2396</v>
      </c>
      <c r="J31" s="14" t="s">
        <v>2397</v>
      </c>
      <c r="K31" s="14" t="s">
        <v>99</v>
      </c>
      <c r="L31" s="14" t="s">
        <v>99</v>
      </c>
      <c r="M31" s="14" t="s">
        <v>103</v>
      </c>
      <c r="N31" s="14" t="s">
        <v>2284</v>
      </c>
      <c r="O31" s="14" t="s">
        <v>2398</v>
      </c>
      <c r="P31" s="14" t="s">
        <v>2399</v>
      </c>
      <c r="Q31" s="14" t="s">
        <v>2400</v>
      </c>
      <c r="R31" s="14" t="s">
        <v>99</v>
      </c>
      <c r="S31" s="14" t="s">
        <v>99</v>
      </c>
      <c r="T31" s="14" t="s">
        <v>2401</v>
      </c>
      <c r="U31" s="14" t="s">
        <v>2402</v>
      </c>
      <c r="V31" s="14" t="s">
        <v>2403</v>
      </c>
      <c r="W31" s="14" t="s">
        <v>2404</v>
      </c>
      <c r="X31" s="14" t="s">
        <v>2405</v>
      </c>
      <c r="Y31" s="14" t="s">
        <v>2406</v>
      </c>
      <c r="Z31" s="14" t="s">
        <v>2407</v>
      </c>
      <c r="AA31" s="14" t="s">
        <v>2408</v>
      </c>
      <c r="AB31" s="14" t="s">
        <v>2409</v>
      </c>
      <c r="AC31" s="14" t="s">
        <v>2410</v>
      </c>
      <c r="AD31" s="14" t="s">
        <v>2411</v>
      </c>
      <c r="AE31" s="14" t="s">
        <v>2412</v>
      </c>
      <c r="AF31" s="14" t="s">
        <v>99</v>
      </c>
      <c r="AG31" s="14">
        <v>47.0</v>
      </c>
      <c r="AH31" s="14">
        <v>268.0</v>
      </c>
      <c r="AI31" s="14">
        <v>306.0</v>
      </c>
      <c r="AJ31" s="14">
        <v>7.0</v>
      </c>
      <c r="AK31" s="14">
        <v>215.0</v>
      </c>
      <c r="AL31" s="14" t="s">
        <v>493</v>
      </c>
      <c r="AM31" s="14" t="s">
        <v>468</v>
      </c>
      <c r="AN31" s="14" t="s">
        <v>635</v>
      </c>
      <c r="AO31" s="14" t="s">
        <v>2413</v>
      </c>
      <c r="AP31" s="14" t="s">
        <v>2414</v>
      </c>
      <c r="AQ31" s="14" t="s">
        <v>99</v>
      </c>
      <c r="AR31" s="14" t="s">
        <v>2415</v>
      </c>
      <c r="AS31" s="14" t="s">
        <v>2416</v>
      </c>
      <c r="AT31" s="14" t="s">
        <v>2372</v>
      </c>
      <c r="AU31" s="14">
        <v>2015.0</v>
      </c>
      <c r="AV31" s="14">
        <v>115.0</v>
      </c>
      <c r="AW31" s="14" t="s">
        <v>99</v>
      </c>
      <c r="AX31" s="14" t="s">
        <v>99</v>
      </c>
      <c r="AY31" s="14" t="s">
        <v>99</v>
      </c>
      <c r="AZ31" s="14" t="s">
        <v>99</v>
      </c>
      <c r="BA31" s="14" t="s">
        <v>99</v>
      </c>
      <c r="BB31" s="14">
        <v>17.0</v>
      </c>
      <c r="BC31" s="14">
        <v>24.0</v>
      </c>
      <c r="BD31" s="14" t="s">
        <v>99</v>
      </c>
      <c r="BE31" s="14" t="s">
        <v>2417</v>
      </c>
      <c r="BF31" s="15" t="str">
        <f>HYPERLINK("http://dx.doi.org/10.1016/j.ocecoaman.2015.05.021","http://dx.doi.org/10.1016/j.ocecoaman.2015.05.021")</f>
        <v>http://dx.doi.org/10.1016/j.ocecoaman.2015.05.021</v>
      </c>
      <c r="BG31" s="14" t="s">
        <v>99</v>
      </c>
      <c r="BH31" s="14" t="s">
        <v>99</v>
      </c>
      <c r="BI31" s="14">
        <v>8.0</v>
      </c>
      <c r="BJ31" s="14" t="s">
        <v>2418</v>
      </c>
      <c r="BK31" s="14" t="s">
        <v>2311</v>
      </c>
      <c r="BL31" s="14" t="s">
        <v>2418</v>
      </c>
      <c r="BM31" s="14" t="s">
        <v>2419</v>
      </c>
      <c r="BN31" s="14" t="s">
        <v>99</v>
      </c>
      <c r="BO31" s="14" t="s">
        <v>1118</v>
      </c>
      <c r="BP31" s="14" t="s">
        <v>99</v>
      </c>
      <c r="BQ31" s="14" t="s">
        <v>99</v>
      </c>
      <c r="BR31" s="14" t="s">
        <v>124</v>
      </c>
      <c r="BS31" s="14" t="s">
        <v>2420</v>
      </c>
      <c r="BT31" s="14" t="str">
        <f>HYPERLINK("https%3A%2F%2Fwww.webofscience.com%2Fwos%2Fwoscc%2Ffull-record%2FWOS:000364252300004","View Full Record in Web of Science")</f>
        <v>View Full Record in Web of Science</v>
      </c>
    </row>
    <row r="32" ht="12.75" customHeight="1">
      <c r="A32" s="14" t="s">
        <v>97</v>
      </c>
      <c r="B32" s="14" t="s">
        <v>2421</v>
      </c>
      <c r="C32" s="14" t="s">
        <v>99</v>
      </c>
      <c r="D32" s="14" t="s">
        <v>99</v>
      </c>
      <c r="E32" s="14" t="s">
        <v>99</v>
      </c>
      <c r="F32" s="14" t="s">
        <v>2422</v>
      </c>
      <c r="G32" s="14" t="s">
        <v>99</v>
      </c>
      <c r="H32" s="14" t="s">
        <v>99</v>
      </c>
      <c r="I32" s="14" t="s">
        <v>2423</v>
      </c>
      <c r="J32" s="14" t="s">
        <v>1645</v>
      </c>
      <c r="K32" s="14" t="s">
        <v>99</v>
      </c>
      <c r="L32" s="14" t="s">
        <v>99</v>
      </c>
      <c r="M32" s="14" t="s">
        <v>103</v>
      </c>
      <c r="N32" s="14" t="s">
        <v>104</v>
      </c>
      <c r="O32" s="14" t="s">
        <v>99</v>
      </c>
      <c r="P32" s="14" t="s">
        <v>99</v>
      </c>
      <c r="Q32" s="14" t="s">
        <v>99</v>
      </c>
      <c r="R32" s="14" t="s">
        <v>99</v>
      </c>
      <c r="S32" s="14" t="s">
        <v>99</v>
      </c>
      <c r="T32" s="14" t="s">
        <v>99</v>
      </c>
      <c r="U32" s="14" t="s">
        <v>2424</v>
      </c>
      <c r="V32" s="14" t="s">
        <v>2425</v>
      </c>
      <c r="W32" s="14" t="s">
        <v>2426</v>
      </c>
      <c r="X32" s="14" t="s">
        <v>2427</v>
      </c>
      <c r="Y32" s="14" t="s">
        <v>2428</v>
      </c>
      <c r="Z32" s="14" t="s">
        <v>2429</v>
      </c>
      <c r="AA32" s="14" t="s">
        <v>2430</v>
      </c>
      <c r="AB32" s="14" t="s">
        <v>2431</v>
      </c>
      <c r="AC32" s="14" t="s">
        <v>2432</v>
      </c>
      <c r="AD32" s="14" t="s">
        <v>2433</v>
      </c>
      <c r="AE32" s="14" t="s">
        <v>2434</v>
      </c>
      <c r="AF32" s="14" t="s">
        <v>99</v>
      </c>
      <c r="AG32" s="14">
        <v>52.0</v>
      </c>
      <c r="AH32" s="14">
        <v>1006.0</v>
      </c>
      <c r="AI32" s="14">
        <v>1205.0</v>
      </c>
      <c r="AJ32" s="14">
        <v>6.0</v>
      </c>
      <c r="AK32" s="14">
        <v>495.0</v>
      </c>
      <c r="AL32" s="14" t="s">
        <v>909</v>
      </c>
      <c r="AM32" s="14" t="s">
        <v>910</v>
      </c>
      <c r="AN32" s="14" t="s">
        <v>911</v>
      </c>
      <c r="AO32" s="14" t="s">
        <v>1657</v>
      </c>
      <c r="AP32" s="14" t="s">
        <v>99</v>
      </c>
      <c r="AQ32" s="14" t="s">
        <v>99</v>
      </c>
      <c r="AR32" s="14" t="s">
        <v>1658</v>
      </c>
      <c r="AS32" s="14" t="s">
        <v>1659</v>
      </c>
      <c r="AT32" s="14" t="s">
        <v>2435</v>
      </c>
      <c r="AU32" s="14">
        <v>2015.0</v>
      </c>
      <c r="AV32" s="14">
        <v>5.0</v>
      </c>
      <c r="AW32" s="14" t="s">
        <v>99</v>
      </c>
      <c r="AX32" s="14" t="s">
        <v>99</v>
      </c>
      <c r="AY32" s="14" t="s">
        <v>99</v>
      </c>
      <c r="AZ32" s="14" t="s">
        <v>99</v>
      </c>
      <c r="BA32" s="14" t="s">
        <v>99</v>
      </c>
      <c r="BB32" s="14" t="s">
        <v>99</v>
      </c>
      <c r="BC32" s="14" t="s">
        <v>99</v>
      </c>
      <c r="BD32" s="14">
        <v>14340.0</v>
      </c>
      <c r="BE32" s="14" t="s">
        <v>2436</v>
      </c>
      <c r="BF32" s="15" t="str">
        <f>HYPERLINK("http://dx.doi.org/10.1038/srep14340","http://dx.doi.org/10.1038/srep14340")</f>
        <v>http://dx.doi.org/10.1038/srep14340</v>
      </c>
      <c r="BG32" s="14" t="s">
        <v>99</v>
      </c>
      <c r="BH32" s="14" t="s">
        <v>99</v>
      </c>
      <c r="BI32" s="14">
        <v>10.0</v>
      </c>
      <c r="BJ32" s="14" t="s">
        <v>799</v>
      </c>
      <c r="BK32" s="14" t="s">
        <v>122</v>
      </c>
      <c r="BL32" s="14" t="s">
        <v>801</v>
      </c>
      <c r="BM32" s="14" t="s">
        <v>2437</v>
      </c>
      <c r="BN32" s="14">
        <v>2.6399762E7</v>
      </c>
      <c r="BO32" s="14" t="s">
        <v>1251</v>
      </c>
      <c r="BP32" s="14" t="s">
        <v>99</v>
      </c>
      <c r="BQ32" s="14" t="s">
        <v>99</v>
      </c>
      <c r="BR32" s="14" t="s">
        <v>124</v>
      </c>
      <c r="BS32" s="14" t="s">
        <v>2438</v>
      </c>
      <c r="BT32" s="14" t="str">
        <f>HYPERLINK("https%3A%2F%2Fwww.webofscience.com%2Fwos%2Fwoscc%2Ffull-record%2FWOS:000361664300001","View Full Record in Web of Science")</f>
        <v>View Full Record in Web of Science</v>
      </c>
    </row>
    <row r="33" ht="12.75" customHeight="1">
      <c r="A33" s="14" t="s">
        <v>97</v>
      </c>
      <c r="B33" s="14" t="s">
        <v>2439</v>
      </c>
      <c r="C33" s="14" t="s">
        <v>99</v>
      </c>
      <c r="D33" s="14" t="s">
        <v>99</v>
      </c>
      <c r="E33" s="14" t="s">
        <v>99</v>
      </c>
      <c r="F33" s="14" t="s">
        <v>2440</v>
      </c>
      <c r="G33" s="14" t="s">
        <v>99</v>
      </c>
      <c r="H33" s="14" t="s">
        <v>99</v>
      </c>
      <c r="I33" s="14" t="s">
        <v>2441</v>
      </c>
      <c r="J33" s="14" t="s">
        <v>900</v>
      </c>
      <c r="K33" s="14" t="s">
        <v>99</v>
      </c>
      <c r="L33" s="14" t="s">
        <v>99</v>
      </c>
      <c r="M33" s="14" t="s">
        <v>103</v>
      </c>
      <c r="N33" s="14" t="s">
        <v>104</v>
      </c>
      <c r="O33" s="14" t="s">
        <v>99</v>
      </c>
      <c r="P33" s="14" t="s">
        <v>99</v>
      </c>
      <c r="Q33" s="14" t="s">
        <v>99</v>
      </c>
      <c r="R33" s="14" t="s">
        <v>99</v>
      </c>
      <c r="S33" s="14" t="s">
        <v>99</v>
      </c>
      <c r="T33" s="14" t="s">
        <v>99</v>
      </c>
      <c r="U33" s="14" t="s">
        <v>2442</v>
      </c>
      <c r="V33" s="14" t="s">
        <v>2443</v>
      </c>
      <c r="W33" s="14" t="s">
        <v>2444</v>
      </c>
      <c r="X33" s="14" t="s">
        <v>2445</v>
      </c>
      <c r="Y33" s="14" t="s">
        <v>2446</v>
      </c>
      <c r="Z33" s="14" t="s">
        <v>2447</v>
      </c>
      <c r="AA33" s="14" t="s">
        <v>2448</v>
      </c>
      <c r="AB33" s="14" t="s">
        <v>2449</v>
      </c>
      <c r="AC33" s="14" t="s">
        <v>2450</v>
      </c>
      <c r="AD33" s="14" t="s">
        <v>2451</v>
      </c>
      <c r="AE33" s="14" t="s">
        <v>2452</v>
      </c>
      <c r="AF33" s="14" t="s">
        <v>99</v>
      </c>
      <c r="AG33" s="14">
        <v>73.0</v>
      </c>
      <c r="AH33" s="14">
        <v>4332.0</v>
      </c>
      <c r="AI33" s="14">
        <v>4947.0</v>
      </c>
      <c r="AJ33" s="14">
        <v>86.0</v>
      </c>
      <c r="AK33" s="14">
        <v>3602.0</v>
      </c>
      <c r="AL33" s="14" t="s">
        <v>909</v>
      </c>
      <c r="AM33" s="14" t="s">
        <v>910</v>
      </c>
      <c r="AN33" s="14" t="s">
        <v>911</v>
      </c>
      <c r="AO33" s="14" t="s">
        <v>912</v>
      </c>
      <c r="AP33" s="14" t="s">
        <v>913</v>
      </c>
      <c r="AQ33" s="14" t="s">
        <v>99</v>
      </c>
      <c r="AR33" s="14" t="s">
        <v>900</v>
      </c>
      <c r="AS33" s="14" t="s">
        <v>914</v>
      </c>
      <c r="AT33" s="14" t="s">
        <v>2453</v>
      </c>
      <c r="AU33" s="14">
        <v>2015.0</v>
      </c>
      <c r="AV33" s="14">
        <v>525.0</v>
      </c>
      <c r="AW33" s="14">
        <v>7569.0</v>
      </c>
      <c r="AX33" s="14" t="s">
        <v>99</v>
      </c>
      <c r="AY33" s="14" t="s">
        <v>99</v>
      </c>
      <c r="AZ33" s="14" t="s">
        <v>99</v>
      </c>
      <c r="BA33" s="14" t="s">
        <v>99</v>
      </c>
      <c r="BB33" s="14">
        <v>367.0</v>
      </c>
      <c r="BC33" s="14" t="s">
        <v>916</v>
      </c>
      <c r="BD33" s="14" t="s">
        <v>99</v>
      </c>
      <c r="BE33" s="14" t="s">
        <v>2454</v>
      </c>
      <c r="BF33" s="15" t="str">
        <f>HYPERLINK("http://dx.doi.org/10.1038/nature15371","http://dx.doi.org/10.1038/nature15371")</f>
        <v>http://dx.doi.org/10.1038/nature15371</v>
      </c>
      <c r="BG33" s="14" t="s">
        <v>99</v>
      </c>
      <c r="BH33" s="14" t="s">
        <v>99</v>
      </c>
      <c r="BI33" s="14">
        <v>18.0</v>
      </c>
      <c r="BJ33" s="14" t="s">
        <v>799</v>
      </c>
      <c r="BK33" s="14" t="s">
        <v>122</v>
      </c>
      <c r="BL33" s="14" t="s">
        <v>801</v>
      </c>
      <c r="BM33" s="14" t="s">
        <v>2455</v>
      </c>
      <c r="BN33" s="14">
        <v>2.6381985E7</v>
      </c>
      <c r="BO33" s="14" t="s">
        <v>425</v>
      </c>
      <c r="BP33" s="14" t="s">
        <v>99</v>
      </c>
      <c r="BQ33" s="14" t="s">
        <v>99</v>
      </c>
      <c r="BR33" s="14" t="s">
        <v>124</v>
      </c>
      <c r="BS33" s="14" t="s">
        <v>2456</v>
      </c>
      <c r="BT33" s="14" t="str">
        <f>HYPERLINK("https%3A%2F%2Fwww.webofscience.com%2Fwos%2Fwoscc%2Ffull-record%2FWOS:000361297900041","View Full Record in Web of Science")</f>
        <v>View Full Record in Web of Science</v>
      </c>
    </row>
    <row r="34" ht="12.75" customHeight="1">
      <c r="A34" s="14" t="s">
        <v>97</v>
      </c>
      <c r="B34" s="14" t="s">
        <v>2478</v>
      </c>
      <c r="C34" s="14" t="s">
        <v>99</v>
      </c>
      <c r="D34" s="14" t="s">
        <v>99</v>
      </c>
      <c r="E34" s="14" t="s">
        <v>99</v>
      </c>
      <c r="F34" s="14" t="s">
        <v>2479</v>
      </c>
      <c r="G34" s="14" t="s">
        <v>99</v>
      </c>
      <c r="H34" s="14" t="s">
        <v>99</v>
      </c>
      <c r="I34" s="14" t="s">
        <v>2480</v>
      </c>
      <c r="J34" s="14" t="s">
        <v>556</v>
      </c>
      <c r="K34" s="14" t="s">
        <v>99</v>
      </c>
      <c r="L34" s="14" t="s">
        <v>99</v>
      </c>
      <c r="M34" s="14" t="s">
        <v>103</v>
      </c>
      <c r="N34" s="14" t="s">
        <v>104</v>
      </c>
      <c r="O34" s="14" t="s">
        <v>99</v>
      </c>
      <c r="P34" s="14" t="s">
        <v>99</v>
      </c>
      <c r="Q34" s="14" t="s">
        <v>99</v>
      </c>
      <c r="R34" s="14" t="s">
        <v>99</v>
      </c>
      <c r="S34" s="14" t="s">
        <v>99</v>
      </c>
      <c r="T34" s="14" t="s">
        <v>2481</v>
      </c>
      <c r="U34" s="14" t="s">
        <v>2482</v>
      </c>
      <c r="V34" s="14" t="s">
        <v>2483</v>
      </c>
      <c r="W34" s="14" t="s">
        <v>2484</v>
      </c>
      <c r="X34" s="14" t="s">
        <v>2485</v>
      </c>
      <c r="Y34" s="14" t="s">
        <v>2486</v>
      </c>
      <c r="Z34" s="14" t="s">
        <v>2487</v>
      </c>
      <c r="AA34" s="14" t="s">
        <v>2488</v>
      </c>
      <c r="AB34" s="14" t="s">
        <v>2489</v>
      </c>
      <c r="AC34" s="14" t="s">
        <v>2490</v>
      </c>
      <c r="AD34" s="14" t="s">
        <v>2491</v>
      </c>
      <c r="AE34" s="14" t="s">
        <v>2492</v>
      </c>
      <c r="AF34" s="14" t="s">
        <v>99</v>
      </c>
      <c r="AG34" s="14">
        <v>38.0</v>
      </c>
      <c r="AH34" s="14">
        <v>156.0</v>
      </c>
      <c r="AI34" s="14">
        <v>165.0</v>
      </c>
      <c r="AJ34" s="14">
        <v>2.0</v>
      </c>
      <c r="AK34" s="14">
        <v>92.0</v>
      </c>
      <c r="AL34" s="14" t="s">
        <v>2493</v>
      </c>
      <c r="AM34" s="14" t="s">
        <v>567</v>
      </c>
      <c r="AN34" s="14" t="s">
        <v>568</v>
      </c>
      <c r="AO34" s="14" t="s">
        <v>569</v>
      </c>
      <c r="AP34" s="14" t="s">
        <v>99</v>
      </c>
      <c r="AQ34" s="14" t="s">
        <v>99</v>
      </c>
      <c r="AR34" s="14" t="s">
        <v>570</v>
      </c>
      <c r="AS34" s="14" t="s">
        <v>571</v>
      </c>
      <c r="AT34" s="14" t="s">
        <v>421</v>
      </c>
      <c r="AU34" s="14">
        <v>2015.0</v>
      </c>
      <c r="AV34" s="14">
        <v>10.0</v>
      </c>
      <c r="AW34" s="14">
        <v>9.0</v>
      </c>
      <c r="AX34" s="14" t="s">
        <v>99</v>
      </c>
      <c r="AY34" s="14" t="s">
        <v>99</v>
      </c>
      <c r="AZ34" s="14" t="s">
        <v>99</v>
      </c>
      <c r="BA34" s="14" t="s">
        <v>99</v>
      </c>
      <c r="BB34" s="14" t="s">
        <v>99</v>
      </c>
      <c r="BC34" s="14" t="s">
        <v>99</v>
      </c>
      <c r="BD34" s="14">
        <v>94015.0</v>
      </c>
      <c r="BE34" s="14" t="s">
        <v>2494</v>
      </c>
      <c r="BF34" s="15" t="str">
        <f>HYPERLINK("http://dx.doi.org/10.1088/1748-9326/10/9/094015","http://dx.doi.org/10.1088/1748-9326/10/9/094015")</f>
        <v>http://dx.doi.org/10.1088/1748-9326/10/9/094015</v>
      </c>
      <c r="BG34" s="14" t="s">
        <v>99</v>
      </c>
      <c r="BH34" s="14" t="s">
        <v>99</v>
      </c>
      <c r="BI34" s="14">
        <v>9.0</v>
      </c>
      <c r="BJ34" s="14" t="s">
        <v>573</v>
      </c>
      <c r="BK34" s="14" t="s">
        <v>122</v>
      </c>
      <c r="BL34" s="14" t="s">
        <v>574</v>
      </c>
      <c r="BM34" s="14" t="s">
        <v>2495</v>
      </c>
      <c r="BN34" s="14" t="s">
        <v>99</v>
      </c>
      <c r="BO34" s="14" t="s">
        <v>1251</v>
      </c>
      <c r="BP34" s="14" t="s">
        <v>99</v>
      </c>
      <c r="BQ34" s="14" t="s">
        <v>99</v>
      </c>
      <c r="BR34" s="14" t="s">
        <v>124</v>
      </c>
      <c r="BS34" s="14" t="s">
        <v>2496</v>
      </c>
      <c r="BT34" s="14" t="str">
        <f>HYPERLINK("https%3A%2F%2Fwww.webofscience.com%2Fwos%2Fwoscc%2Ffull-record%2FWOS:000367141000018","View Full Record in Web of Science")</f>
        <v>View Full Record in Web of Science</v>
      </c>
    </row>
    <row r="35" ht="12.75" customHeight="1">
      <c r="A35" s="14" t="s">
        <v>97</v>
      </c>
      <c r="B35" s="14" t="s">
        <v>2522</v>
      </c>
      <c r="C35" s="14" t="s">
        <v>99</v>
      </c>
      <c r="D35" s="14" t="s">
        <v>99</v>
      </c>
      <c r="E35" s="14" t="s">
        <v>99</v>
      </c>
      <c r="F35" s="14" t="s">
        <v>2523</v>
      </c>
      <c r="G35" s="14" t="s">
        <v>99</v>
      </c>
      <c r="H35" s="14" t="s">
        <v>99</v>
      </c>
      <c r="I35" s="14" t="s">
        <v>2524</v>
      </c>
      <c r="J35" s="14" t="s">
        <v>997</v>
      </c>
      <c r="K35" s="14" t="s">
        <v>99</v>
      </c>
      <c r="L35" s="14" t="s">
        <v>99</v>
      </c>
      <c r="M35" s="14" t="s">
        <v>103</v>
      </c>
      <c r="N35" s="14" t="s">
        <v>104</v>
      </c>
      <c r="O35" s="14" t="s">
        <v>99</v>
      </c>
      <c r="P35" s="14" t="s">
        <v>99</v>
      </c>
      <c r="Q35" s="14" t="s">
        <v>99</v>
      </c>
      <c r="R35" s="14" t="s">
        <v>99</v>
      </c>
      <c r="S35" s="14" t="s">
        <v>99</v>
      </c>
      <c r="T35" s="14" t="s">
        <v>99</v>
      </c>
      <c r="U35" s="14" t="s">
        <v>2525</v>
      </c>
      <c r="V35" s="14" t="s">
        <v>2526</v>
      </c>
      <c r="W35" s="14" t="s">
        <v>2527</v>
      </c>
      <c r="X35" s="14" t="s">
        <v>2528</v>
      </c>
      <c r="Y35" s="14" t="s">
        <v>2529</v>
      </c>
      <c r="Z35" s="14" t="s">
        <v>2530</v>
      </c>
      <c r="AA35" s="14" t="s">
        <v>2531</v>
      </c>
      <c r="AB35" s="14" t="s">
        <v>2532</v>
      </c>
      <c r="AC35" s="14" t="s">
        <v>2533</v>
      </c>
      <c r="AD35" s="14" t="s">
        <v>2534</v>
      </c>
      <c r="AE35" s="14" t="s">
        <v>2535</v>
      </c>
      <c r="AF35" s="14" t="s">
        <v>99</v>
      </c>
      <c r="AG35" s="14">
        <v>29.0</v>
      </c>
      <c r="AH35" s="14">
        <v>1159.0</v>
      </c>
      <c r="AI35" s="14">
        <v>1273.0</v>
      </c>
      <c r="AJ35" s="14">
        <v>15.0</v>
      </c>
      <c r="AK35" s="14">
        <v>406.0</v>
      </c>
      <c r="AL35" s="14" t="s">
        <v>1326</v>
      </c>
      <c r="AM35" s="14" t="s">
        <v>274</v>
      </c>
      <c r="AN35" s="14" t="s">
        <v>1327</v>
      </c>
      <c r="AO35" s="14" t="s">
        <v>1009</v>
      </c>
      <c r="AP35" s="14" t="s">
        <v>99</v>
      </c>
      <c r="AQ35" s="14" t="s">
        <v>99</v>
      </c>
      <c r="AR35" s="14" t="s">
        <v>1010</v>
      </c>
      <c r="AS35" s="14" t="s">
        <v>1011</v>
      </c>
      <c r="AT35" s="14" t="s">
        <v>525</v>
      </c>
      <c r="AU35" s="14">
        <v>2015.0</v>
      </c>
      <c r="AV35" s="14">
        <v>6.0</v>
      </c>
      <c r="AW35" s="14" t="s">
        <v>99</v>
      </c>
      <c r="AX35" s="14" t="s">
        <v>99</v>
      </c>
      <c r="AY35" s="14" t="s">
        <v>99</v>
      </c>
      <c r="AZ35" s="14" t="s">
        <v>99</v>
      </c>
      <c r="BA35" s="14" t="s">
        <v>99</v>
      </c>
      <c r="BB35" s="14" t="s">
        <v>99</v>
      </c>
      <c r="BC35" s="14" t="s">
        <v>99</v>
      </c>
      <c r="BD35" s="14">
        <v>7615.0</v>
      </c>
      <c r="BE35" s="14" t="s">
        <v>2536</v>
      </c>
      <c r="BF35" s="15" t="str">
        <f>HYPERLINK("http://dx.doi.org/10.1038/ncomms8615","http://dx.doi.org/10.1038/ncomms8615")</f>
        <v>http://dx.doi.org/10.1038/ncomms8615</v>
      </c>
      <c r="BG35" s="14" t="s">
        <v>99</v>
      </c>
      <c r="BH35" s="14" t="s">
        <v>99</v>
      </c>
      <c r="BI35" s="14">
        <v>7.0</v>
      </c>
      <c r="BJ35" s="14" t="s">
        <v>799</v>
      </c>
      <c r="BK35" s="14" t="s">
        <v>122</v>
      </c>
      <c r="BL35" s="14" t="s">
        <v>801</v>
      </c>
      <c r="BM35" s="14" t="s">
        <v>2537</v>
      </c>
      <c r="BN35" s="14">
        <v>2.617298E7</v>
      </c>
      <c r="BO35" s="14" t="s">
        <v>1251</v>
      </c>
      <c r="BP35" s="14" t="s">
        <v>99</v>
      </c>
      <c r="BQ35" s="14" t="s">
        <v>99</v>
      </c>
      <c r="BR35" s="14" t="s">
        <v>124</v>
      </c>
      <c r="BS35" s="14" t="s">
        <v>2538</v>
      </c>
      <c r="BT35" s="14" t="str">
        <f>HYPERLINK("https%3A%2F%2Fwww.webofscience.com%2Fwos%2Fwoscc%2Ffull-record%2FWOS:000358857000008","View Full Record in Web of Science")</f>
        <v>View Full Record in Web of Science</v>
      </c>
    </row>
    <row r="36" ht="12.75" customHeight="1">
      <c r="A36" s="14" t="s">
        <v>97</v>
      </c>
      <c r="B36" s="14" t="s">
        <v>2539</v>
      </c>
      <c r="C36" s="14" t="s">
        <v>99</v>
      </c>
      <c r="D36" s="14" t="s">
        <v>99</v>
      </c>
      <c r="E36" s="14" t="s">
        <v>99</v>
      </c>
      <c r="F36" s="14" t="s">
        <v>2540</v>
      </c>
      <c r="G36" s="14" t="s">
        <v>99</v>
      </c>
      <c r="H36" s="14" t="s">
        <v>99</v>
      </c>
      <c r="I36" s="14" t="s">
        <v>2541</v>
      </c>
      <c r="J36" s="14" t="s">
        <v>2542</v>
      </c>
      <c r="K36" s="14" t="s">
        <v>99</v>
      </c>
      <c r="L36" s="14" t="s">
        <v>99</v>
      </c>
      <c r="M36" s="14" t="s">
        <v>103</v>
      </c>
      <c r="N36" s="14" t="s">
        <v>104</v>
      </c>
      <c r="O36" s="14" t="s">
        <v>99</v>
      </c>
      <c r="P36" s="14" t="s">
        <v>99</v>
      </c>
      <c r="Q36" s="14" t="s">
        <v>99</v>
      </c>
      <c r="R36" s="14" t="s">
        <v>99</v>
      </c>
      <c r="S36" s="14" t="s">
        <v>99</v>
      </c>
      <c r="T36" s="14" t="s">
        <v>2543</v>
      </c>
      <c r="U36" s="14" t="s">
        <v>2544</v>
      </c>
      <c r="V36" s="14" t="s">
        <v>2545</v>
      </c>
      <c r="W36" s="14" t="s">
        <v>2546</v>
      </c>
      <c r="X36" s="14" t="s">
        <v>2547</v>
      </c>
      <c r="Y36" s="14" t="s">
        <v>2548</v>
      </c>
      <c r="Z36" s="14" t="s">
        <v>2549</v>
      </c>
      <c r="AA36" s="14" t="s">
        <v>2550</v>
      </c>
      <c r="AB36" s="14" t="s">
        <v>2551</v>
      </c>
      <c r="AC36" s="14" t="s">
        <v>2552</v>
      </c>
      <c r="AD36" s="14" t="s">
        <v>2553</v>
      </c>
      <c r="AE36" s="14" t="s">
        <v>2554</v>
      </c>
      <c r="AF36" s="14" t="s">
        <v>99</v>
      </c>
      <c r="AG36" s="14">
        <v>110.0</v>
      </c>
      <c r="AH36" s="14">
        <v>609.0</v>
      </c>
      <c r="AI36" s="14">
        <v>700.0</v>
      </c>
      <c r="AJ36" s="14">
        <v>20.0</v>
      </c>
      <c r="AK36" s="14">
        <v>367.0</v>
      </c>
      <c r="AL36" s="14" t="s">
        <v>982</v>
      </c>
      <c r="AM36" s="14" t="s">
        <v>789</v>
      </c>
      <c r="AN36" s="14" t="s">
        <v>983</v>
      </c>
      <c r="AO36" s="14" t="s">
        <v>2555</v>
      </c>
      <c r="AP36" s="14" t="s">
        <v>2556</v>
      </c>
      <c r="AQ36" s="14" t="s">
        <v>99</v>
      </c>
      <c r="AR36" s="14" t="s">
        <v>2557</v>
      </c>
      <c r="AS36" s="14" t="s">
        <v>2558</v>
      </c>
      <c r="AT36" s="14" t="s">
        <v>525</v>
      </c>
      <c r="AU36" s="14">
        <v>2015.0</v>
      </c>
      <c r="AV36" s="14">
        <v>51.0</v>
      </c>
      <c r="AW36" s="14">
        <v>7.0</v>
      </c>
      <c r="AX36" s="14" t="s">
        <v>99</v>
      </c>
      <c r="AY36" s="14" t="s">
        <v>99</v>
      </c>
      <c r="AZ36" s="14" t="s">
        <v>99</v>
      </c>
      <c r="BA36" s="14" t="s">
        <v>99</v>
      </c>
      <c r="BB36" s="14">
        <v>5217.0</v>
      </c>
      <c r="BC36" s="14">
        <v>5238.0</v>
      </c>
      <c r="BD36" s="14" t="s">
        <v>99</v>
      </c>
      <c r="BE36" s="14" t="s">
        <v>2559</v>
      </c>
      <c r="BF36" s="15" t="str">
        <f>HYPERLINK("http://dx.doi.org/10.1002/2015WR017349","http://dx.doi.org/10.1002/2015WR017349")</f>
        <v>http://dx.doi.org/10.1002/2015WR017349</v>
      </c>
      <c r="BG36" s="14" t="s">
        <v>99</v>
      </c>
      <c r="BH36" s="14" t="s">
        <v>99</v>
      </c>
      <c r="BI36" s="14">
        <v>22.0</v>
      </c>
      <c r="BJ36" s="14" t="s">
        <v>2560</v>
      </c>
      <c r="BK36" s="14" t="s">
        <v>122</v>
      </c>
      <c r="BL36" s="14" t="s">
        <v>845</v>
      </c>
      <c r="BM36" s="14" t="s">
        <v>2561</v>
      </c>
      <c r="BN36" s="14">
        <v>2.6900185E7</v>
      </c>
      <c r="BO36" s="14" t="s">
        <v>373</v>
      </c>
      <c r="BP36" s="14" t="s">
        <v>99</v>
      </c>
      <c r="BQ36" s="14" t="s">
        <v>99</v>
      </c>
      <c r="BR36" s="14" t="s">
        <v>124</v>
      </c>
      <c r="BS36" s="14" t="s">
        <v>2562</v>
      </c>
      <c r="BT36" s="14" t="str">
        <f>HYPERLINK("https%3A%2F%2Fwww.webofscience.com%2Fwos%2Fwoscc%2Ffull-record%2FWOS:000360080200019","View Full Record in Web of Science")</f>
        <v>View Full Record in Web of Science</v>
      </c>
    </row>
    <row r="37" ht="12.75" customHeight="1">
      <c r="A37" s="14" t="s">
        <v>97</v>
      </c>
      <c r="B37" s="14" t="s">
        <v>2563</v>
      </c>
      <c r="C37" s="14" t="s">
        <v>99</v>
      </c>
      <c r="D37" s="14" t="s">
        <v>99</v>
      </c>
      <c r="E37" s="14" t="s">
        <v>99</v>
      </c>
      <c r="F37" s="14" t="s">
        <v>2564</v>
      </c>
      <c r="G37" s="14" t="s">
        <v>99</v>
      </c>
      <c r="H37" s="14" t="s">
        <v>99</v>
      </c>
      <c r="I37" s="14" t="s">
        <v>2565</v>
      </c>
      <c r="J37" s="14" t="s">
        <v>2566</v>
      </c>
      <c r="K37" s="14" t="s">
        <v>99</v>
      </c>
      <c r="L37" s="14" t="s">
        <v>99</v>
      </c>
      <c r="M37" s="14" t="s">
        <v>103</v>
      </c>
      <c r="N37" s="14" t="s">
        <v>104</v>
      </c>
      <c r="O37" s="14" t="s">
        <v>99</v>
      </c>
      <c r="P37" s="14" t="s">
        <v>99</v>
      </c>
      <c r="Q37" s="14" t="s">
        <v>99</v>
      </c>
      <c r="R37" s="14" t="s">
        <v>99</v>
      </c>
      <c r="S37" s="14" t="s">
        <v>99</v>
      </c>
      <c r="T37" s="14" t="s">
        <v>99</v>
      </c>
      <c r="U37" s="14" t="s">
        <v>2567</v>
      </c>
      <c r="V37" s="14" t="s">
        <v>2568</v>
      </c>
      <c r="W37" s="14" t="s">
        <v>2569</v>
      </c>
      <c r="X37" s="14" t="s">
        <v>2570</v>
      </c>
      <c r="Y37" s="14" t="s">
        <v>2571</v>
      </c>
      <c r="Z37" s="14" t="s">
        <v>2572</v>
      </c>
      <c r="AA37" s="14" t="s">
        <v>2573</v>
      </c>
      <c r="AB37" s="14" t="s">
        <v>2574</v>
      </c>
      <c r="AC37" s="14" t="s">
        <v>2575</v>
      </c>
      <c r="AD37" s="14" t="s">
        <v>2576</v>
      </c>
      <c r="AE37" s="14" t="s">
        <v>2577</v>
      </c>
      <c r="AF37" s="14" t="s">
        <v>99</v>
      </c>
      <c r="AG37" s="14">
        <v>29.0</v>
      </c>
      <c r="AH37" s="14">
        <v>361.0</v>
      </c>
      <c r="AI37" s="14">
        <v>402.0</v>
      </c>
      <c r="AJ37" s="14">
        <v>6.0</v>
      </c>
      <c r="AK37" s="14">
        <v>287.0</v>
      </c>
      <c r="AL37" s="14" t="s">
        <v>1243</v>
      </c>
      <c r="AM37" s="14" t="s">
        <v>789</v>
      </c>
      <c r="AN37" s="14" t="s">
        <v>1244</v>
      </c>
      <c r="AO37" s="14" t="s">
        <v>2578</v>
      </c>
      <c r="AP37" s="14" t="s">
        <v>2579</v>
      </c>
      <c r="AQ37" s="14" t="s">
        <v>99</v>
      </c>
      <c r="AR37" s="14" t="s">
        <v>2566</v>
      </c>
      <c r="AS37" s="14" t="s">
        <v>2580</v>
      </c>
      <c r="AT37" s="14" t="s">
        <v>2581</v>
      </c>
      <c r="AU37" s="14">
        <v>2015.0</v>
      </c>
      <c r="AV37" s="14">
        <v>348.0</v>
      </c>
      <c r="AW37" s="14">
        <v>6240.0</v>
      </c>
      <c r="AX37" s="14" t="s">
        <v>99</v>
      </c>
      <c r="AY37" s="14" t="s">
        <v>99</v>
      </c>
      <c r="AZ37" s="14" t="s">
        <v>99</v>
      </c>
      <c r="BA37" s="14" t="s">
        <v>99</v>
      </c>
      <c r="BB37" s="14">
        <v>1248.0</v>
      </c>
      <c r="BC37" s="14">
        <v>1251.0</v>
      </c>
      <c r="BD37" s="14" t="s">
        <v>99</v>
      </c>
      <c r="BE37" s="14" t="s">
        <v>2582</v>
      </c>
      <c r="BF37" s="15" t="str">
        <f>HYPERLINK("http://dx.doi.org/10.1126/science.aaa8913","http://dx.doi.org/10.1126/science.aaa8913")</f>
        <v>http://dx.doi.org/10.1126/science.aaa8913</v>
      </c>
      <c r="BG37" s="14" t="s">
        <v>99</v>
      </c>
      <c r="BH37" s="14" t="s">
        <v>99</v>
      </c>
      <c r="BI37" s="14">
        <v>4.0</v>
      </c>
      <c r="BJ37" s="14" t="s">
        <v>799</v>
      </c>
      <c r="BK37" s="14" t="s">
        <v>122</v>
      </c>
      <c r="BL37" s="14" t="s">
        <v>801</v>
      </c>
      <c r="BM37" s="14" t="s">
        <v>2583</v>
      </c>
      <c r="BN37" s="14">
        <v>2.6068851E7</v>
      </c>
      <c r="BO37" s="14" t="s">
        <v>99</v>
      </c>
      <c r="BP37" s="14" t="s">
        <v>99</v>
      </c>
      <c r="BQ37" s="14" t="s">
        <v>99</v>
      </c>
      <c r="BR37" s="14" t="s">
        <v>124</v>
      </c>
      <c r="BS37" s="14" t="s">
        <v>2584</v>
      </c>
      <c r="BT37" s="14" t="str">
        <f>HYPERLINK("https%3A%2F%2Fwww.webofscience.com%2Fwos%2Fwoscc%2Ffull-record%2FWOS:000356011500053","View Full Record in Web of Science")</f>
        <v>View Full Record in Web of Science</v>
      </c>
    </row>
    <row r="38" ht="12.75" customHeight="1">
      <c r="A38" s="14" t="s">
        <v>97</v>
      </c>
      <c r="B38" s="14" t="s">
        <v>2585</v>
      </c>
      <c r="C38" s="14" t="s">
        <v>99</v>
      </c>
      <c r="D38" s="14" t="s">
        <v>99</v>
      </c>
      <c r="E38" s="14" t="s">
        <v>99</v>
      </c>
      <c r="F38" s="14" t="s">
        <v>2586</v>
      </c>
      <c r="G38" s="14" t="s">
        <v>99</v>
      </c>
      <c r="H38" s="14" t="s">
        <v>99</v>
      </c>
      <c r="I38" s="14" t="s">
        <v>2587</v>
      </c>
      <c r="J38" s="14" t="s">
        <v>2018</v>
      </c>
      <c r="K38" s="14" t="s">
        <v>99</v>
      </c>
      <c r="L38" s="14" t="s">
        <v>99</v>
      </c>
      <c r="M38" s="14" t="s">
        <v>103</v>
      </c>
      <c r="N38" s="14" t="s">
        <v>104</v>
      </c>
      <c r="O38" s="14" t="s">
        <v>99</v>
      </c>
      <c r="P38" s="14" t="s">
        <v>99</v>
      </c>
      <c r="Q38" s="14" t="s">
        <v>99</v>
      </c>
      <c r="R38" s="14" t="s">
        <v>99</v>
      </c>
      <c r="S38" s="14" t="s">
        <v>99</v>
      </c>
      <c r="T38" s="14" t="s">
        <v>99</v>
      </c>
      <c r="U38" s="14" t="s">
        <v>2588</v>
      </c>
      <c r="V38" s="14" t="s">
        <v>2589</v>
      </c>
      <c r="W38" s="14" t="s">
        <v>2590</v>
      </c>
      <c r="X38" s="14" t="s">
        <v>2591</v>
      </c>
      <c r="Y38" s="14" t="s">
        <v>2592</v>
      </c>
      <c r="Z38" s="14" t="s">
        <v>2593</v>
      </c>
      <c r="AA38" s="14" t="s">
        <v>2594</v>
      </c>
      <c r="AB38" s="14" t="s">
        <v>2595</v>
      </c>
      <c r="AC38" s="14" t="s">
        <v>2596</v>
      </c>
      <c r="AD38" s="14" t="s">
        <v>2597</v>
      </c>
      <c r="AE38" s="14" t="s">
        <v>2598</v>
      </c>
      <c r="AF38" s="14" t="s">
        <v>99</v>
      </c>
      <c r="AG38" s="14">
        <v>65.0</v>
      </c>
      <c r="AH38" s="14">
        <v>20.0</v>
      </c>
      <c r="AI38" s="14">
        <v>21.0</v>
      </c>
      <c r="AJ38" s="14">
        <v>1.0</v>
      </c>
      <c r="AK38" s="14">
        <v>58.0</v>
      </c>
      <c r="AL38" s="14" t="s">
        <v>2030</v>
      </c>
      <c r="AM38" s="14" t="s">
        <v>2031</v>
      </c>
      <c r="AN38" s="14" t="s">
        <v>2032</v>
      </c>
      <c r="AO38" s="14" t="s">
        <v>2033</v>
      </c>
      <c r="AP38" s="14" t="s">
        <v>99</v>
      </c>
      <c r="AQ38" s="14" t="s">
        <v>99</v>
      </c>
      <c r="AR38" s="14" t="s">
        <v>2018</v>
      </c>
      <c r="AS38" s="14" t="s">
        <v>2034</v>
      </c>
      <c r="AT38" s="14" t="s">
        <v>616</v>
      </c>
      <c r="AU38" s="14">
        <v>2015.0</v>
      </c>
      <c r="AV38" s="14">
        <v>28.0</v>
      </c>
      <c r="AW38" s="14">
        <v>2.0</v>
      </c>
      <c r="AX38" s="14" t="s">
        <v>99</v>
      </c>
      <c r="AY38" s="14" t="s">
        <v>99</v>
      </c>
      <c r="AZ38" s="14" t="s">
        <v>1738</v>
      </c>
      <c r="BA38" s="14" t="s">
        <v>99</v>
      </c>
      <c r="BB38" s="14">
        <v>30.0</v>
      </c>
      <c r="BC38" s="14">
        <v>39.0</v>
      </c>
      <c r="BD38" s="14" t="s">
        <v>99</v>
      </c>
      <c r="BE38" s="14" t="s">
        <v>2599</v>
      </c>
      <c r="BF38" s="15" t="str">
        <f>HYPERLINK("http://dx.doi.org/10.5670/oceanog.2015.29","http://dx.doi.org/10.5670/oceanog.2015.29")</f>
        <v>http://dx.doi.org/10.5670/oceanog.2015.29</v>
      </c>
      <c r="BG38" s="14" t="s">
        <v>99</v>
      </c>
      <c r="BH38" s="14" t="s">
        <v>99</v>
      </c>
      <c r="BI38" s="14">
        <v>10.0</v>
      </c>
      <c r="BJ38" s="14" t="s">
        <v>2034</v>
      </c>
      <c r="BK38" s="14" t="s">
        <v>122</v>
      </c>
      <c r="BL38" s="14" t="s">
        <v>2034</v>
      </c>
      <c r="BM38" s="14" t="s">
        <v>2600</v>
      </c>
      <c r="BN38" s="14" t="s">
        <v>99</v>
      </c>
      <c r="BO38" s="14" t="s">
        <v>1251</v>
      </c>
      <c r="BP38" s="14" t="s">
        <v>99</v>
      </c>
      <c r="BQ38" s="14" t="s">
        <v>99</v>
      </c>
      <c r="BR38" s="14" t="s">
        <v>124</v>
      </c>
      <c r="BS38" s="14" t="s">
        <v>2601</v>
      </c>
      <c r="BT38" s="14" t="str">
        <f>HYPERLINK("https%3A%2F%2Fwww.webofscience.com%2Fwos%2Fwoscc%2Ffull-record%2FWOS:000357231700007","View Full Record in Web of Science")</f>
        <v>View Full Record in Web of Science</v>
      </c>
    </row>
    <row r="39" ht="12.75" customHeight="1">
      <c r="A39" s="14" t="s">
        <v>97</v>
      </c>
      <c r="B39" s="14" t="s">
        <v>2602</v>
      </c>
      <c r="C39" s="14" t="s">
        <v>99</v>
      </c>
      <c r="D39" s="14" t="s">
        <v>99</v>
      </c>
      <c r="E39" s="14" t="s">
        <v>99</v>
      </c>
      <c r="F39" s="14" t="s">
        <v>2603</v>
      </c>
      <c r="G39" s="14" t="s">
        <v>99</v>
      </c>
      <c r="H39" s="14" t="s">
        <v>99</v>
      </c>
      <c r="I39" s="14" t="s">
        <v>2604</v>
      </c>
      <c r="J39" s="14" t="s">
        <v>2500</v>
      </c>
      <c r="K39" s="14" t="s">
        <v>99</v>
      </c>
      <c r="L39" s="14" t="s">
        <v>99</v>
      </c>
      <c r="M39" s="14" t="s">
        <v>103</v>
      </c>
      <c r="N39" s="14" t="s">
        <v>104</v>
      </c>
      <c r="O39" s="14" t="s">
        <v>99</v>
      </c>
      <c r="P39" s="14" t="s">
        <v>99</v>
      </c>
      <c r="Q39" s="14" t="s">
        <v>99</v>
      </c>
      <c r="R39" s="14" t="s">
        <v>99</v>
      </c>
      <c r="S39" s="14" t="s">
        <v>99</v>
      </c>
      <c r="T39" s="14" t="s">
        <v>99</v>
      </c>
      <c r="U39" s="14" t="s">
        <v>2605</v>
      </c>
      <c r="V39" s="14" t="s">
        <v>2606</v>
      </c>
      <c r="W39" s="14" t="s">
        <v>2607</v>
      </c>
      <c r="X39" s="14" t="s">
        <v>2608</v>
      </c>
      <c r="Y39" s="14" t="s">
        <v>2609</v>
      </c>
      <c r="Z39" s="14" t="s">
        <v>2610</v>
      </c>
      <c r="AA39" s="14" t="s">
        <v>2611</v>
      </c>
      <c r="AB39" s="14" t="s">
        <v>2612</v>
      </c>
      <c r="AC39" s="14" t="s">
        <v>2613</v>
      </c>
      <c r="AD39" s="14" t="s">
        <v>2614</v>
      </c>
      <c r="AE39" s="14" t="s">
        <v>2615</v>
      </c>
      <c r="AF39" s="14" t="s">
        <v>99</v>
      </c>
      <c r="AG39" s="14">
        <v>69.0</v>
      </c>
      <c r="AH39" s="14">
        <v>187.0</v>
      </c>
      <c r="AI39" s="14">
        <v>197.0</v>
      </c>
      <c r="AJ39" s="14">
        <v>0.0</v>
      </c>
      <c r="AK39" s="14">
        <v>71.0</v>
      </c>
      <c r="AL39" s="14" t="s">
        <v>2512</v>
      </c>
      <c r="AM39" s="14" t="s">
        <v>2513</v>
      </c>
      <c r="AN39" s="14" t="s">
        <v>2514</v>
      </c>
      <c r="AO39" s="14" t="s">
        <v>2515</v>
      </c>
      <c r="AP39" s="14" t="s">
        <v>99</v>
      </c>
      <c r="AQ39" s="14" t="s">
        <v>99</v>
      </c>
      <c r="AR39" s="14" t="s">
        <v>2500</v>
      </c>
      <c r="AS39" s="14" t="s">
        <v>2516</v>
      </c>
      <c r="AT39" s="14" t="s">
        <v>2616</v>
      </c>
      <c r="AU39" s="14">
        <v>2015.0</v>
      </c>
      <c r="AV39" s="14">
        <v>10.0</v>
      </c>
      <c r="AW39" s="14">
        <v>5.0</v>
      </c>
      <c r="AX39" s="14" t="s">
        <v>99</v>
      </c>
      <c r="AY39" s="14" t="s">
        <v>99</v>
      </c>
      <c r="AZ39" s="14" t="s">
        <v>99</v>
      </c>
      <c r="BA39" s="14" t="s">
        <v>99</v>
      </c>
      <c r="BB39" s="14" t="s">
        <v>99</v>
      </c>
      <c r="BC39" s="14" t="s">
        <v>99</v>
      </c>
      <c r="BD39" s="14" t="s">
        <v>2617</v>
      </c>
      <c r="BE39" s="14" t="s">
        <v>2618</v>
      </c>
      <c r="BF39" s="15" t="str">
        <f>HYPERLINK("http://dx.doi.org/10.1371/journal.pone.0127533","http://dx.doi.org/10.1371/journal.pone.0127533")</f>
        <v>http://dx.doi.org/10.1371/journal.pone.0127533</v>
      </c>
      <c r="BG39" s="14" t="s">
        <v>99</v>
      </c>
      <c r="BH39" s="14" t="s">
        <v>99</v>
      </c>
      <c r="BI39" s="14">
        <v>15.0</v>
      </c>
      <c r="BJ39" s="14" t="s">
        <v>799</v>
      </c>
      <c r="BK39" s="14" t="s">
        <v>800</v>
      </c>
      <c r="BL39" s="14" t="s">
        <v>801</v>
      </c>
      <c r="BM39" s="14" t="s">
        <v>2619</v>
      </c>
      <c r="BN39" s="14">
        <v>2.6017777E7</v>
      </c>
      <c r="BO39" s="14" t="s">
        <v>1251</v>
      </c>
      <c r="BP39" s="14" t="s">
        <v>99</v>
      </c>
      <c r="BQ39" s="14" t="s">
        <v>99</v>
      </c>
      <c r="BR39" s="14" t="s">
        <v>124</v>
      </c>
      <c r="BS39" s="14" t="s">
        <v>2620</v>
      </c>
      <c r="BT39" s="14" t="str">
        <f>HYPERLINK("https%3A%2F%2Fwww.webofscience.com%2Fwos%2Fwoscc%2Ffull-record%2FWOS:000355185600087","View Full Record in Web of Science")</f>
        <v>View Full Record in Web of Science</v>
      </c>
    </row>
    <row r="40" ht="12.75" customHeight="1">
      <c r="A40" s="14" t="s">
        <v>97</v>
      </c>
      <c r="B40" s="14" t="s">
        <v>2621</v>
      </c>
      <c r="C40" s="14" t="s">
        <v>99</v>
      </c>
      <c r="D40" s="14" t="s">
        <v>99</v>
      </c>
      <c r="E40" s="14" t="s">
        <v>99</v>
      </c>
      <c r="F40" s="14" t="s">
        <v>2622</v>
      </c>
      <c r="G40" s="14" t="s">
        <v>99</v>
      </c>
      <c r="H40" s="14" t="s">
        <v>99</v>
      </c>
      <c r="I40" s="14" t="s">
        <v>2623</v>
      </c>
      <c r="J40" s="14" t="s">
        <v>776</v>
      </c>
      <c r="K40" s="14" t="s">
        <v>99</v>
      </c>
      <c r="L40" s="14" t="s">
        <v>99</v>
      </c>
      <c r="M40" s="14" t="s">
        <v>103</v>
      </c>
      <c r="N40" s="14" t="s">
        <v>104</v>
      </c>
      <c r="O40" s="14" t="s">
        <v>99</v>
      </c>
      <c r="P40" s="14" t="s">
        <v>99</v>
      </c>
      <c r="Q40" s="14" t="s">
        <v>99</v>
      </c>
      <c r="R40" s="14" t="s">
        <v>99</v>
      </c>
      <c r="S40" s="14" t="s">
        <v>99</v>
      </c>
      <c r="T40" s="14" t="s">
        <v>2624</v>
      </c>
      <c r="U40" s="14" t="s">
        <v>2625</v>
      </c>
      <c r="V40" s="14" t="s">
        <v>2626</v>
      </c>
      <c r="W40" s="14" t="s">
        <v>2627</v>
      </c>
      <c r="X40" s="14" t="s">
        <v>2628</v>
      </c>
      <c r="Y40" s="14" t="s">
        <v>2629</v>
      </c>
      <c r="Z40" s="14" t="s">
        <v>2630</v>
      </c>
      <c r="AA40" s="14" t="s">
        <v>2631</v>
      </c>
      <c r="AB40" s="14" t="s">
        <v>99</v>
      </c>
      <c r="AC40" s="14" t="s">
        <v>2632</v>
      </c>
      <c r="AD40" s="14" t="s">
        <v>2633</v>
      </c>
      <c r="AE40" s="14" t="s">
        <v>2634</v>
      </c>
      <c r="AF40" s="14" t="s">
        <v>99</v>
      </c>
      <c r="AG40" s="14">
        <v>41.0</v>
      </c>
      <c r="AH40" s="14">
        <v>555.0</v>
      </c>
      <c r="AI40" s="14">
        <v>640.0</v>
      </c>
      <c r="AJ40" s="14">
        <v>19.0</v>
      </c>
      <c r="AK40" s="14">
        <v>462.0</v>
      </c>
      <c r="AL40" s="14" t="s">
        <v>788</v>
      </c>
      <c r="AM40" s="14" t="s">
        <v>789</v>
      </c>
      <c r="AN40" s="14" t="s">
        <v>790</v>
      </c>
      <c r="AO40" s="14" t="s">
        <v>791</v>
      </c>
      <c r="AP40" s="14" t="s">
        <v>99</v>
      </c>
      <c r="AQ40" s="14" t="s">
        <v>99</v>
      </c>
      <c r="AR40" s="14" t="s">
        <v>793</v>
      </c>
      <c r="AS40" s="14" t="s">
        <v>794</v>
      </c>
      <c r="AT40" s="14" t="s">
        <v>2635</v>
      </c>
      <c r="AU40" s="14">
        <v>2015.0</v>
      </c>
      <c r="AV40" s="14">
        <v>112.0</v>
      </c>
      <c r="AW40" s="14">
        <v>18.0</v>
      </c>
      <c r="AX40" s="14" t="s">
        <v>99</v>
      </c>
      <c r="AY40" s="14" t="s">
        <v>99</v>
      </c>
      <c r="AZ40" s="14" t="s">
        <v>99</v>
      </c>
      <c r="BA40" s="14" t="s">
        <v>99</v>
      </c>
      <c r="BB40" s="14">
        <v>5750.0</v>
      </c>
      <c r="BC40" s="14">
        <v>5755.0</v>
      </c>
      <c r="BD40" s="14" t="s">
        <v>99</v>
      </c>
      <c r="BE40" s="14" t="s">
        <v>2636</v>
      </c>
      <c r="BF40" s="15" t="str">
        <f>HYPERLINK("http://dx.doi.org/10.1073/pnas.1500232112","http://dx.doi.org/10.1073/pnas.1500232112")</f>
        <v>http://dx.doi.org/10.1073/pnas.1500232112</v>
      </c>
      <c r="BG40" s="14" t="s">
        <v>99</v>
      </c>
      <c r="BH40" s="14" t="s">
        <v>99</v>
      </c>
      <c r="BI40" s="14">
        <v>6.0</v>
      </c>
      <c r="BJ40" s="14" t="s">
        <v>799</v>
      </c>
      <c r="BK40" s="14" t="s">
        <v>122</v>
      </c>
      <c r="BL40" s="14" t="s">
        <v>801</v>
      </c>
      <c r="BM40" s="14" t="s">
        <v>2637</v>
      </c>
      <c r="BN40" s="14">
        <v>2.5870271E7</v>
      </c>
      <c r="BO40" s="14" t="s">
        <v>373</v>
      </c>
      <c r="BP40" s="14" t="s">
        <v>99</v>
      </c>
      <c r="BQ40" s="14" t="s">
        <v>99</v>
      </c>
      <c r="BR40" s="14" t="s">
        <v>124</v>
      </c>
      <c r="BS40" s="14" t="s">
        <v>2638</v>
      </c>
      <c r="BT40" s="14" t="str">
        <f>HYPERLINK("https%3A%2F%2Fwww.webofscience.com%2Fwos%2Fwoscc%2Ffull-record%2FWOS:000353953800062","View Full Record in Web of Science")</f>
        <v>View Full Record in Web of Science</v>
      </c>
    </row>
    <row r="41" ht="12.75" customHeight="1">
      <c r="A41" s="14" t="s">
        <v>97</v>
      </c>
      <c r="B41" s="14" t="s">
        <v>2657</v>
      </c>
      <c r="C41" s="14" t="s">
        <v>99</v>
      </c>
      <c r="D41" s="14" t="s">
        <v>99</v>
      </c>
      <c r="E41" s="14" t="s">
        <v>99</v>
      </c>
      <c r="F41" s="14" t="s">
        <v>2658</v>
      </c>
      <c r="G41" s="14" t="s">
        <v>99</v>
      </c>
      <c r="H41" s="14" t="s">
        <v>99</v>
      </c>
      <c r="I41" s="14" t="s">
        <v>2659</v>
      </c>
      <c r="J41" s="14" t="s">
        <v>776</v>
      </c>
      <c r="K41" s="14" t="s">
        <v>99</v>
      </c>
      <c r="L41" s="14" t="s">
        <v>99</v>
      </c>
      <c r="M41" s="14" t="s">
        <v>103</v>
      </c>
      <c r="N41" s="14" t="s">
        <v>104</v>
      </c>
      <c r="O41" s="14" t="s">
        <v>99</v>
      </c>
      <c r="P41" s="14" t="s">
        <v>99</v>
      </c>
      <c r="Q41" s="14" t="s">
        <v>99</v>
      </c>
      <c r="R41" s="14" t="s">
        <v>99</v>
      </c>
      <c r="S41" s="14" t="s">
        <v>99</v>
      </c>
      <c r="T41" s="14" t="s">
        <v>2660</v>
      </c>
      <c r="U41" s="14" t="s">
        <v>2661</v>
      </c>
      <c r="V41" s="14" t="s">
        <v>2662</v>
      </c>
      <c r="W41" s="14" t="s">
        <v>2663</v>
      </c>
      <c r="X41" s="14" t="s">
        <v>2664</v>
      </c>
      <c r="Y41" s="14" t="s">
        <v>2665</v>
      </c>
      <c r="Z41" s="14" t="s">
        <v>2666</v>
      </c>
      <c r="AA41" s="14" t="s">
        <v>2667</v>
      </c>
      <c r="AB41" s="14" t="s">
        <v>2668</v>
      </c>
      <c r="AC41" s="14" t="s">
        <v>2669</v>
      </c>
      <c r="AD41" s="14" t="s">
        <v>2670</v>
      </c>
      <c r="AE41" s="14" t="s">
        <v>2671</v>
      </c>
      <c r="AF41" s="14" t="s">
        <v>99</v>
      </c>
      <c r="AG41" s="14">
        <v>44.0</v>
      </c>
      <c r="AH41" s="14">
        <v>158.0</v>
      </c>
      <c r="AI41" s="14">
        <v>182.0</v>
      </c>
      <c r="AJ41" s="14">
        <v>13.0</v>
      </c>
      <c r="AK41" s="14">
        <v>287.0</v>
      </c>
      <c r="AL41" s="14" t="s">
        <v>788</v>
      </c>
      <c r="AM41" s="14" t="s">
        <v>789</v>
      </c>
      <c r="AN41" s="14" t="s">
        <v>790</v>
      </c>
      <c r="AO41" s="14" t="s">
        <v>791</v>
      </c>
      <c r="AP41" s="14" t="s">
        <v>99</v>
      </c>
      <c r="AQ41" s="14" t="s">
        <v>99</v>
      </c>
      <c r="AR41" s="14" t="s">
        <v>793</v>
      </c>
      <c r="AS41" s="14" t="s">
        <v>794</v>
      </c>
      <c r="AT41" s="14" t="s">
        <v>2672</v>
      </c>
      <c r="AU41" s="14">
        <v>2015.0</v>
      </c>
      <c r="AV41" s="14">
        <v>112.0</v>
      </c>
      <c r="AW41" s="14">
        <v>15.0</v>
      </c>
      <c r="AX41" s="14" t="s">
        <v>99</v>
      </c>
      <c r="AY41" s="14" t="s">
        <v>99</v>
      </c>
      <c r="AZ41" s="14" t="s">
        <v>99</v>
      </c>
      <c r="BA41" s="14" t="s">
        <v>99</v>
      </c>
      <c r="BB41" s="14">
        <v>4588.0</v>
      </c>
      <c r="BC41" s="14">
        <v>4593.0</v>
      </c>
      <c r="BD41" s="14" t="s">
        <v>99</v>
      </c>
      <c r="BE41" s="14" t="s">
        <v>2673</v>
      </c>
      <c r="BF41" s="15" t="str">
        <f>HYPERLINK("http://dx.doi.org/10.1073/pnas.1504345112","http://dx.doi.org/10.1073/pnas.1504345112")</f>
        <v>http://dx.doi.org/10.1073/pnas.1504345112</v>
      </c>
      <c r="BG41" s="14" t="s">
        <v>99</v>
      </c>
      <c r="BH41" s="14" t="s">
        <v>99</v>
      </c>
      <c r="BI41" s="14">
        <v>6.0</v>
      </c>
      <c r="BJ41" s="14" t="s">
        <v>799</v>
      </c>
      <c r="BK41" s="14" t="s">
        <v>800</v>
      </c>
      <c r="BL41" s="14" t="s">
        <v>801</v>
      </c>
      <c r="BM41" s="14" t="s">
        <v>2674</v>
      </c>
      <c r="BN41" s="14">
        <v>2.5825748E7</v>
      </c>
      <c r="BO41" s="14" t="s">
        <v>373</v>
      </c>
      <c r="BP41" s="14" t="s">
        <v>99</v>
      </c>
      <c r="BQ41" s="14" t="s">
        <v>99</v>
      </c>
      <c r="BR41" s="14" t="s">
        <v>124</v>
      </c>
      <c r="BS41" s="14" t="s">
        <v>2675</v>
      </c>
      <c r="BT41" s="14" t="str">
        <f>HYPERLINK("https%3A%2F%2Fwww.webofscience.com%2Fwos%2Fwoscc%2Ffull-record%2FWOS:000352856800038","View Full Record in Web of Science")</f>
        <v>View Full Record in Web of Science</v>
      </c>
    </row>
    <row r="42" ht="12.75" customHeight="1">
      <c r="A42" s="14" t="s">
        <v>97</v>
      </c>
      <c r="B42" s="14" t="s">
        <v>2712</v>
      </c>
      <c r="C42" s="14" t="s">
        <v>99</v>
      </c>
      <c r="D42" s="14" t="s">
        <v>99</v>
      </c>
      <c r="E42" s="14" t="s">
        <v>99</v>
      </c>
      <c r="F42" s="14" t="s">
        <v>2713</v>
      </c>
      <c r="G42" s="14" t="s">
        <v>99</v>
      </c>
      <c r="H42" s="14" t="s">
        <v>99</v>
      </c>
      <c r="I42" s="14" t="s">
        <v>2714</v>
      </c>
      <c r="J42" s="14" t="s">
        <v>2715</v>
      </c>
      <c r="K42" s="14" t="s">
        <v>99</v>
      </c>
      <c r="L42" s="14" t="s">
        <v>99</v>
      </c>
      <c r="M42" s="14" t="s">
        <v>103</v>
      </c>
      <c r="N42" s="14" t="s">
        <v>104</v>
      </c>
      <c r="O42" s="14" t="s">
        <v>99</v>
      </c>
      <c r="P42" s="14" t="s">
        <v>99</v>
      </c>
      <c r="Q42" s="14" t="s">
        <v>99</v>
      </c>
      <c r="R42" s="14" t="s">
        <v>99</v>
      </c>
      <c r="S42" s="14" t="s">
        <v>99</v>
      </c>
      <c r="T42" s="14" t="s">
        <v>99</v>
      </c>
      <c r="U42" s="14" t="s">
        <v>2716</v>
      </c>
      <c r="V42" s="14" t="s">
        <v>2717</v>
      </c>
      <c r="W42" s="14" t="s">
        <v>2718</v>
      </c>
      <c r="X42" s="14" t="s">
        <v>2719</v>
      </c>
      <c r="Y42" s="14" t="s">
        <v>2720</v>
      </c>
      <c r="Z42" s="14" t="s">
        <v>99</v>
      </c>
      <c r="AA42" s="14" t="s">
        <v>99</v>
      </c>
      <c r="AB42" s="14" t="s">
        <v>2721</v>
      </c>
      <c r="AC42" s="14" t="s">
        <v>2722</v>
      </c>
      <c r="AD42" s="14" t="s">
        <v>2723</v>
      </c>
      <c r="AE42" s="14" t="s">
        <v>2724</v>
      </c>
      <c r="AF42" s="14" t="s">
        <v>99</v>
      </c>
      <c r="AG42" s="14">
        <v>36.0</v>
      </c>
      <c r="AH42" s="14">
        <v>229.0</v>
      </c>
      <c r="AI42" s="14">
        <v>286.0</v>
      </c>
      <c r="AJ42" s="14">
        <v>9.0</v>
      </c>
      <c r="AK42" s="14">
        <v>127.0</v>
      </c>
      <c r="AL42" s="14" t="s">
        <v>2725</v>
      </c>
      <c r="AM42" s="14" t="s">
        <v>2726</v>
      </c>
      <c r="AN42" s="14" t="s">
        <v>2727</v>
      </c>
      <c r="AO42" s="14" t="s">
        <v>2728</v>
      </c>
      <c r="AP42" s="14" t="s">
        <v>2729</v>
      </c>
      <c r="AQ42" s="14" t="s">
        <v>99</v>
      </c>
      <c r="AR42" s="14" t="s">
        <v>2730</v>
      </c>
      <c r="AS42" s="14" t="s">
        <v>2731</v>
      </c>
      <c r="AT42" s="14" t="s">
        <v>1485</v>
      </c>
      <c r="AU42" s="14">
        <v>2015.0</v>
      </c>
      <c r="AV42" s="14">
        <v>97.0</v>
      </c>
      <c r="AW42" s="14">
        <v>1.0</v>
      </c>
      <c r="AX42" s="14" t="s">
        <v>99</v>
      </c>
      <c r="AY42" s="14" t="s">
        <v>99</v>
      </c>
      <c r="AZ42" s="14" t="s">
        <v>99</v>
      </c>
      <c r="BA42" s="14" t="s">
        <v>99</v>
      </c>
      <c r="BB42" s="14">
        <v>104.0</v>
      </c>
      <c r="BC42" s="14">
        <v>115.0</v>
      </c>
      <c r="BD42" s="14" t="s">
        <v>99</v>
      </c>
      <c r="BE42" s="14" t="s">
        <v>2732</v>
      </c>
      <c r="BF42" s="15" t="str">
        <f>HYPERLINK("http://dx.doi.org/10.1162/REST_a_00438","http://dx.doi.org/10.1162/REST_a_00438")</f>
        <v>http://dx.doi.org/10.1162/REST_a_00438</v>
      </c>
      <c r="BG42" s="14" t="s">
        <v>99</v>
      </c>
      <c r="BH42" s="14" t="s">
        <v>99</v>
      </c>
      <c r="BI42" s="14">
        <v>12.0</v>
      </c>
      <c r="BJ42" s="14" t="s">
        <v>2733</v>
      </c>
      <c r="BK42" s="14" t="s">
        <v>643</v>
      </c>
      <c r="BL42" s="14" t="s">
        <v>2734</v>
      </c>
      <c r="BM42" s="14" t="s">
        <v>2735</v>
      </c>
      <c r="BN42" s="14" t="s">
        <v>99</v>
      </c>
      <c r="BO42" s="14" t="s">
        <v>99</v>
      </c>
      <c r="BP42" s="14" t="s">
        <v>99</v>
      </c>
      <c r="BQ42" s="14" t="s">
        <v>99</v>
      </c>
      <c r="BR42" s="14" t="s">
        <v>124</v>
      </c>
      <c r="BS42" s="14" t="s">
        <v>2736</v>
      </c>
      <c r="BT42" s="14" t="str">
        <f>HYPERLINK("https%3A%2F%2Fwww.webofscience.com%2Fwos%2Fwoscc%2Ffull-record%2FWOS:000350556700008","View Full Record in Web of Science")</f>
        <v>View Full Record in Web of Science</v>
      </c>
    </row>
    <row r="43" ht="12.75" customHeight="1">
      <c r="A43" s="14" t="s">
        <v>97</v>
      </c>
      <c r="B43" s="14" t="s">
        <v>2737</v>
      </c>
      <c r="C43" s="14" t="s">
        <v>99</v>
      </c>
      <c r="D43" s="14" t="s">
        <v>99</v>
      </c>
      <c r="E43" s="14" t="s">
        <v>99</v>
      </c>
      <c r="F43" s="14" t="s">
        <v>2738</v>
      </c>
      <c r="G43" s="14" t="s">
        <v>99</v>
      </c>
      <c r="H43" s="14" t="s">
        <v>99</v>
      </c>
      <c r="I43" s="14" t="s">
        <v>2739</v>
      </c>
      <c r="J43" s="14" t="s">
        <v>1231</v>
      </c>
      <c r="K43" s="14" t="s">
        <v>99</v>
      </c>
      <c r="L43" s="14" t="s">
        <v>99</v>
      </c>
      <c r="M43" s="14" t="s">
        <v>103</v>
      </c>
      <c r="N43" s="14" t="s">
        <v>104</v>
      </c>
      <c r="O43" s="14" t="s">
        <v>99</v>
      </c>
      <c r="P43" s="14" t="s">
        <v>99</v>
      </c>
      <c r="Q43" s="14" t="s">
        <v>99</v>
      </c>
      <c r="R43" s="14" t="s">
        <v>99</v>
      </c>
      <c r="S43" s="14" t="s">
        <v>99</v>
      </c>
      <c r="T43" s="14" t="s">
        <v>99</v>
      </c>
      <c r="U43" s="14" t="s">
        <v>2740</v>
      </c>
      <c r="V43" s="14" t="s">
        <v>2741</v>
      </c>
      <c r="W43" s="14" t="s">
        <v>2742</v>
      </c>
      <c r="X43" s="14" t="s">
        <v>2743</v>
      </c>
      <c r="Y43" s="14" t="s">
        <v>2744</v>
      </c>
      <c r="Z43" s="14" t="s">
        <v>2745</v>
      </c>
      <c r="AA43" s="14" t="s">
        <v>2746</v>
      </c>
      <c r="AB43" s="14" t="s">
        <v>2747</v>
      </c>
      <c r="AC43" s="14" t="s">
        <v>2748</v>
      </c>
      <c r="AD43" s="14" t="s">
        <v>2749</v>
      </c>
      <c r="AE43" s="14" t="s">
        <v>2750</v>
      </c>
      <c r="AF43" s="14" t="s">
        <v>99</v>
      </c>
      <c r="AG43" s="14">
        <v>85.0</v>
      </c>
      <c r="AH43" s="14">
        <v>3175.0</v>
      </c>
      <c r="AI43" s="14">
        <v>3775.0</v>
      </c>
      <c r="AJ43" s="14">
        <v>136.0</v>
      </c>
      <c r="AK43" s="14">
        <v>1612.0</v>
      </c>
      <c r="AL43" s="14" t="s">
        <v>1243</v>
      </c>
      <c r="AM43" s="14" t="s">
        <v>789</v>
      </c>
      <c r="AN43" s="14" t="s">
        <v>1244</v>
      </c>
      <c r="AO43" s="14" t="s">
        <v>1245</v>
      </c>
      <c r="AP43" s="14" t="s">
        <v>99</v>
      </c>
      <c r="AQ43" s="14" t="s">
        <v>99</v>
      </c>
      <c r="AR43" s="14" t="s">
        <v>1246</v>
      </c>
      <c r="AS43" s="14" t="s">
        <v>1247</v>
      </c>
      <c r="AT43" s="14" t="s">
        <v>1485</v>
      </c>
      <c r="AU43" s="14">
        <v>2015.0</v>
      </c>
      <c r="AV43" s="14">
        <v>1.0</v>
      </c>
      <c r="AW43" s="14">
        <v>2.0</v>
      </c>
      <c r="AX43" s="14" t="s">
        <v>99</v>
      </c>
      <c r="AY43" s="14" t="s">
        <v>99</v>
      </c>
      <c r="AZ43" s="14" t="s">
        <v>99</v>
      </c>
      <c r="BA43" s="14" t="s">
        <v>99</v>
      </c>
      <c r="BB43" s="14" t="s">
        <v>99</v>
      </c>
      <c r="BC43" s="14" t="s">
        <v>99</v>
      </c>
      <c r="BD43" s="14" t="s">
        <v>2751</v>
      </c>
      <c r="BE43" s="14" t="s">
        <v>2752</v>
      </c>
      <c r="BF43" s="15" t="str">
        <f>HYPERLINK("http://dx.doi.org/10.1126/sciadv.1500052","http://dx.doi.org/10.1126/sciadv.1500052")</f>
        <v>http://dx.doi.org/10.1126/sciadv.1500052</v>
      </c>
      <c r="BG43" s="14" t="s">
        <v>99</v>
      </c>
      <c r="BH43" s="14" t="s">
        <v>99</v>
      </c>
      <c r="BI43" s="14">
        <v>9.0</v>
      </c>
      <c r="BJ43" s="14" t="s">
        <v>799</v>
      </c>
      <c r="BK43" s="14" t="s">
        <v>122</v>
      </c>
      <c r="BL43" s="14" t="s">
        <v>801</v>
      </c>
      <c r="BM43" s="14" t="s">
        <v>2753</v>
      </c>
      <c r="BN43" s="14">
        <v>2.6601154E7</v>
      </c>
      <c r="BO43" s="14" t="s">
        <v>1251</v>
      </c>
      <c r="BP43" s="14" t="s">
        <v>99</v>
      </c>
      <c r="BQ43" s="14" t="s">
        <v>99</v>
      </c>
      <c r="BR43" s="14" t="s">
        <v>124</v>
      </c>
      <c r="BS43" s="14" t="s">
        <v>2754</v>
      </c>
      <c r="BT43" s="14" t="str">
        <f>HYPERLINK("https%3A%2F%2Fwww.webofscience.com%2Fwos%2Fwoscc%2Ffull-record%2FWOS:000216591000009","View Full Record in Web of Science")</f>
        <v>View Full Record in Web of Science</v>
      </c>
    </row>
    <row r="44" ht="12.75" customHeight="1">
      <c r="A44" s="14" t="s">
        <v>97</v>
      </c>
      <c r="B44" s="14" t="s">
        <v>2773</v>
      </c>
      <c r="C44" s="14" t="s">
        <v>99</v>
      </c>
      <c r="D44" s="14" t="s">
        <v>99</v>
      </c>
      <c r="E44" s="14" t="s">
        <v>99</v>
      </c>
      <c r="F44" s="14" t="s">
        <v>2774</v>
      </c>
      <c r="G44" s="14" t="s">
        <v>99</v>
      </c>
      <c r="H44" s="14" t="s">
        <v>99</v>
      </c>
      <c r="I44" s="14" t="s">
        <v>2775</v>
      </c>
      <c r="J44" s="14" t="s">
        <v>2566</v>
      </c>
      <c r="K44" s="14" t="s">
        <v>99</v>
      </c>
      <c r="L44" s="14" t="s">
        <v>99</v>
      </c>
      <c r="M44" s="14" t="s">
        <v>103</v>
      </c>
      <c r="N44" s="14" t="s">
        <v>104</v>
      </c>
      <c r="O44" s="14" t="s">
        <v>99</v>
      </c>
      <c r="P44" s="14" t="s">
        <v>99</v>
      </c>
      <c r="Q44" s="14" t="s">
        <v>99</v>
      </c>
      <c r="R44" s="14" t="s">
        <v>99</v>
      </c>
      <c r="S44" s="14" t="s">
        <v>99</v>
      </c>
      <c r="T44" s="14" t="s">
        <v>99</v>
      </c>
      <c r="U44" s="14" t="s">
        <v>2776</v>
      </c>
      <c r="V44" s="14" t="s">
        <v>2777</v>
      </c>
      <c r="W44" s="14" t="s">
        <v>2778</v>
      </c>
      <c r="X44" s="14" t="s">
        <v>2779</v>
      </c>
      <c r="Y44" s="14" t="s">
        <v>2780</v>
      </c>
      <c r="Z44" s="14" t="s">
        <v>2781</v>
      </c>
      <c r="AA44" s="14" t="s">
        <v>2782</v>
      </c>
      <c r="AB44" s="14" t="s">
        <v>2783</v>
      </c>
      <c r="AC44" s="14" t="s">
        <v>2784</v>
      </c>
      <c r="AD44" s="14" t="s">
        <v>2784</v>
      </c>
      <c r="AE44" s="14" t="s">
        <v>2785</v>
      </c>
      <c r="AF44" s="14" t="s">
        <v>99</v>
      </c>
      <c r="AG44" s="14">
        <v>21.0</v>
      </c>
      <c r="AH44" s="14">
        <v>8524.0</v>
      </c>
      <c r="AI44" s="14">
        <v>10190.0</v>
      </c>
      <c r="AJ44" s="14">
        <v>269.0</v>
      </c>
      <c r="AK44" s="14">
        <v>5303.0</v>
      </c>
      <c r="AL44" s="14" t="s">
        <v>1243</v>
      </c>
      <c r="AM44" s="14" t="s">
        <v>789</v>
      </c>
      <c r="AN44" s="14" t="s">
        <v>1244</v>
      </c>
      <c r="AO44" s="14" t="s">
        <v>2578</v>
      </c>
      <c r="AP44" s="14" t="s">
        <v>2579</v>
      </c>
      <c r="AQ44" s="14" t="s">
        <v>99</v>
      </c>
      <c r="AR44" s="14" t="s">
        <v>2566</v>
      </c>
      <c r="AS44" s="14" t="s">
        <v>2580</v>
      </c>
      <c r="AT44" s="14" t="s">
        <v>2786</v>
      </c>
      <c r="AU44" s="14">
        <v>2015.0</v>
      </c>
      <c r="AV44" s="14">
        <v>347.0</v>
      </c>
      <c r="AW44" s="14">
        <v>6223.0</v>
      </c>
      <c r="AX44" s="14" t="s">
        <v>99</v>
      </c>
      <c r="AY44" s="14" t="s">
        <v>99</v>
      </c>
      <c r="AZ44" s="14" t="s">
        <v>99</v>
      </c>
      <c r="BA44" s="14" t="s">
        <v>99</v>
      </c>
      <c r="BB44" s="14">
        <v>768.0</v>
      </c>
      <c r="BC44" s="14">
        <v>771.0</v>
      </c>
      <c r="BD44" s="14" t="s">
        <v>99</v>
      </c>
      <c r="BE44" s="14" t="s">
        <v>2787</v>
      </c>
      <c r="BF44" s="15" t="str">
        <f>HYPERLINK("http://dx.doi.org/10.1126/science.1260352","http://dx.doi.org/10.1126/science.1260352")</f>
        <v>http://dx.doi.org/10.1126/science.1260352</v>
      </c>
      <c r="BG44" s="14" t="s">
        <v>99</v>
      </c>
      <c r="BH44" s="14" t="s">
        <v>99</v>
      </c>
      <c r="BI44" s="14">
        <v>4.0</v>
      </c>
      <c r="BJ44" s="14" t="s">
        <v>799</v>
      </c>
      <c r="BK44" s="14" t="s">
        <v>122</v>
      </c>
      <c r="BL44" s="14" t="s">
        <v>801</v>
      </c>
      <c r="BM44" s="14" t="s">
        <v>2788</v>
      </c>
      <c r="BN44" s="14">
        <v>2.5678662E7</v>
      </c>
      <c r="BO44" s="14" t="s">
        <v>99</v>
      </c>
      <c r="BP44" s="14" t="s">
        <v>99</v>
      </c>
      <c r="BQ44" s="14" t="s">
        <v>99</v>
      </c>
      <c r="BR44" s="14" t="s">
        <v>124</v>
      </c>
      <c r="BS44" s="14" t="s">
        <v>2789</v>
      </c>
      <c r="BT44" s="14" t="str">
        <f>HYPERLINK("https%3A%2F%2Fwww.webofscience.com%2Fwos%2Fwoscc%2Ffull-record%2FWOS:000349221300047","View Full Record in Web of Science")</f>
        <v>View Full Record in Web of Science</v>
      </c>
    </row>
    <row r="45" ht="12.75" customHeight="1">
      <c r="A45" s="14" t="s">
        <v>97</v>
      </c>
      <c r="B45" s="14" t="s">
        <v>2790</v>
      </c>
      <c r="C45" s="14" t="s">
        <v>99</v>
      </c>
      <c r="D45" s="14" t="s">
        <v>99</v>
      </c>
      <c r="E45" s="14" t="s">
        <v>99</v>
      </c>
      <c r="F45" s="14" t="s">
        <v>2791</v>
      </c>
      <c r="G45" s="14" t="s">
        <v>99</v>
      </c>
      <c r="H45" s="14" t="s">
        <v>99</v>
      </c>
      <c r="I45" s="14" t="s">
        <v>2792</v>
      </c>
      <c r="J45" s="14" t="s">
        <v>2793</v>
      </c>
      <c r="K45" s="14" t="s">
        <v>99</v>
      </c>
      <c r="L45" s="14" t="s">
        <v>99</v>
      </c>
      <c r="M45" s="14" t="s">
        <v>103</v>
      </c>
      <c r="N45" s="14" t="s">
        <v>104</v>
      </c>
      <c r="O45" s="14" t="s">
        <v>99</v>
      </c>
      <c r="P45" s="14" t="s">
        <v>99</v>
      </c>
      <c r="Q45" s="14" t="s">
        <v>99</v>
      </c>
      <c r="R45" s="14" t="s">
        <v>99</v>
      </c>
      <c r="S45" s="14" t="s">
        <v>99</v>
      </c>
      <c r="T45" s="14" t="s">
        <v>99</v>
      </c>
      <c r="U45" s="14" t="s">
        <v>2794</v>
      </c>
      <c r="V45" s="14" t="s">
        <v>2795</v>
      </c>
      <c r="W45" s="14" t="s">
        <v>2796</v>
      </c>
      <c r="X45" s="14" t="s">
        <v>2797</v>
      </c>
      <c r="Y45" s="14" t="s">
        <v>2798</v>
      </c>
      <c r="Z45" s="14" t="s">
        <v>2799</v>
      </c>
      <c r="AA45" s="14" t="s">
        <v>2800</v>
      </c>
      <c r="AB45" s="14" t="s">
        <v>2801</v>
      </c>
      <c r="AC45" s="14" t="s">
        <v>2802</v>
      </c>
      <c r="AD45" s="14" t="s">
        <v>2803</v>
      </c>
      <c r="AE45" s="14" t="s">
        <v>2804</v>
      </c>
      <c r="AF45" s="14" t="s">
        <v>99</v>
      </c>
      <c r="AG45" s="14">
        <v>30.0</v>
      </c>
      <c r="AH45" s="14">
        <v>523.0</v>
      </c>
      <c r="AI45" s="14">
        <v>586.0</v>
      </c>
      <c r="AJ45" s="14">
        <v>20.0</v>
      </c>
      <c r="AK45" s="14">
        <v>437.0</v>
      </c>
      <c r="AL45" s="14" t="s">
        <v>1326</v>
      </c>
      <c r="AM45" s="14" t="s">
        <v>274</v>
      </c>
      <c r="AN45" s="14" t="s">
        <v>1327</v>
      </c>
      <c r="AO45" s="14" t="s">
        <v>2805</v>
      </c>
      <c r="AP45" s="14" t="s">
        <v>2806</v>
      </c>
      <c r="AQ45" s="14" t="s">
        <v>99</v>
      </c>
      <c r="AR45" s="14" t="s">
        <v>2807</v>
      </c>
      <c r="AS45" s="14" t="s">
        <v>2808</v>
      </c>
      <c r="AT45" s="14" t="s">
        <v>280</v>
      </c>
      <c r="AU45" s="14">
        <v>2015.0</v>
      </c>
      <c r="AV45" s="14">
        <v>5.0</v>
      </c>
      <c r="AW45" s="14">
        <v>2.0</v>
      </c>
      <c r="AX45" s="14" t="s">
        <v>99</v>
      </c>
      <c r="AY45" s="14" t="s">
        <v>99</v>
      </c>
      <c r="AZ45" s="14" t="s">
        <v>99</v>
      </c>
      <c r="BA45" s="14" t="s">
        <v>99</v>
      </c>
      <c r="BB45" s="14">
        <v>132.0</v>
      </c>
      <c r="BC45" s="14">
        <v>137.0</v>
      </c>
      <c r="BD45" s="14" t="s">
        <v>99</v>
      </c>
      <c r="BE45" s="14" t="s">
        <v>2809</v>
      </c>
      <c r="BF45" s="15" t="str">
        <f>HYPERLINK("http://dx.doi.org/10.1038/NCLIMATE2492","http://dx.doi.org/10.1038/NCLIMATE2492")</f>
        <v>http://dx.doi.org/10.1038/NCLIMATE2492</v>
      </c>
      <c r="BG45" s="14" t="s">
        <v>99</v>
      </c>
      <c r="BH45" s="14" t="s">
        <v>99</v>
      </c>
      <c r="BI45" s="14">
        <v>6.0</v>
      </c>
      <c r="BJ45" s="14" t="s">
        <v>2810</v>
      </c>
      <c r="BK45" s="14" t="s">
        <v>800</v>
      </c>
      <c r="BL45" s="14" t="s">
        <v>574</v>
      </c>
      <c r="BM45" s="14" t="s">
        <v>2811</v>
      </c>
      <c r="BN45" s="14" t="s">
        <v>99</v>
      </c>
      <c r="BO45" s="14" t="s">
        <v>425</v>
      </c>
      <c r="BP45" s="14" t="s">
        <v>99</v>
      </c>
      <c r="BQ45" s="14" t="s">
        <v>99</v>
      </c>
      <c r="BR45" s="14" t="s">
        <v>124</v>
      </c>
      <c r="BS45" s="14" t="s">
        <v>2812</v>
      </c>
      <c r="BT45" s="14" t="str">
        <f>HYPERLINK("https%3A%2F%2Fwww.webofscience.com%2Fwos%2Fwoscc%2Ffull-record%2FWOS:000350327700022","View Full Record in Web of Science")</f>
        <v>View Full Record in Web of Science</v>
      </c>
    </row>
    <row r="46" ht="12.75" customHeight="1">
      <c r="A46" s="14" t="s">
        <v>97</v>
      </c>
      <c r="B46" s="14" t="s">
        <v>2813</v>
      </c>
      <c r="C46" s="14" t="s">
        <v>99</v>
      </c>
      <c r="D46" s="14" t="s">
        <v>99</v>
      </c>
      <c r="E46" s="14" t="s">
        <v>99</v>
      </c>
      <c r="F46" s="14" t="s">
        <v>2814</v>
      </c>
      <c r="G46" s="14" t="s">
        <v>99</v>
      </c>
      <c r="H46" s="14" t="s">
        <v>99</v>
      </c>
      <c r="I46" s="14" t="s">
        <v>2815</v>
      </c>
      <c r="J46" s="14" t="s">
        <v>2816</v>
      </c>
      <c r="K46" s="14" t="s">
        <v>99</v>
      </c>
      <c r="L46" s="14" t="s">
        <v>99</v>
      </c>
      <c r="M46" s="14" t="s">
        <v>103</v>
      </c>
      <c r="N46" s="14" t="s">
        <v>2284</v>
      </c>
      <c r="O46" s="14" t="s">
        <v>2817</v>
      </c>
      <c r="P46" s="14" t="s">
        <v>2818</v>
      </c>
      <c r="Q46" s="14" t="s">
        <v>2819</v>
      </c>
      <c r="R46" s="14" t="s">
        <v>99</v>
      </c>
      <c r="S46" s="14" t="s">
        <v>99</v>
      </c>
      <c r="T46" s="14" t="s">
        <v>99</v>
      </c>
      <c r="U46" s="14" t="s">
        <v>2820</v>
      </c>
      <c r="V46" s="14" t="s">
        <v>2821</v>
      </c>
      <c r="W46" s="14" t="s">
        <v>2822</v>
      </c>
      <c r="X46" s="14" t="s">
        <v>2823</v>
      </c>
      <c r="Y46" s="14" t="s">
        <v>2824</v>
      </c>
      <c r="Z46" s="14" t="s">
        <v>2825</v>
      </c>
      <c r="AA46" s="14" t="s">
        <v>2826</v>
      </c>
      <c r="AB46" s="14" t="s">
        <v>2827</v>
      </c>
      <c r="AC46" s="14" t="s">
        <v>2828</v>
      </c>
      <c r="AD46" s="14" t="s">
        <v>2829</v>
      </c>
      <c r="AE46" s="14" t="s">
        <v>2830</v>
      </c>
      <c r="AF46" s="14" t="s">
        <v>99</v>
      </c>
      <c r="AG46" s="14">
        <v>38.0</v>
      </c>
      <c r="AH46" s="14">
        <v>84.0</v>
      </c>
      <c r="AI46" s="14">
        <v>92.0</v>
      </c>
      <c r="AJ46" s="14">
        <v>3.0</v>
      </c>
      <c r="AK46" s="14">
        <v>56.0</v>
      </c>
      <c r="AL46" s="14" t="s">
        <v>1347</v>
      </c>
      <c r="AM46" s="14" t="s">
        <v>1348</v>
      </c>
      <c r="AN46" s="14" t="s">
        <v>1349</v>
      </c>
      <c r="AO46" s="14" t="s">
        <v>99</v>
      </c>
      <c r="AP46" s="14" t="s">
        <v>2831</v>
      </c>
      <c r="AQ46" s="14" t="s">
        <v>99</v>
      </c>
      <c r="AR46" s="14" t="s">
        <v>2832</v>
      </c>
      <c r="AS46" s="14" t="s">
        <v>2833</v>
      </c>
      <c r="AT46" s="14" t="s">
        <v>280</v>
      </c>
      <c r="AU46" s="14">
        <v>2015.0</v>
      </c>
      <c r="AV46" s="14">
        <v>7.0</v>
      </c>
      <c r="AW46" s="14">
        <v>2.0</v>
      </c>
      <c r="AX46" s="14" t="s">
        <v>99</v>
      </c>
      <c r="AY46" s="14" t="s">
        <v>99</v>
      </c>
      <c r="AZ46" s="14" t="s">
        <v>99</v>
      </c>
      <c r="BA46" s="14" t="s">
        <v>99</v>
      </c>
      <c r="BB46" s="14">
        <v>2086.0</v>
      </c>
      <c r="BC46" s="14">
        <v>2112.0</v>
      </c>
      <c r="BD46" s="14" t="s">
        <v>99</v>
      </c>
      <c r="BE46" s="14" t="s">
        <v>2834</v>
      </c>
      <c r="BF46" s="15" t="str">
        <f>HYPERLINK("http://dx.doi.org/10.3390/su7022086","http://dx.doi.org/10.3390/su7022086")</f>
        <v>http://dx.doi.org/10.3390/su7022086</v>
      </c>
      <c r="BG46" s="14" t="s">
        <v>99</v>
      </c>
      <c r="BH46" s="14" t="s">
        <v>99</v>
      </c>
      <c r="BI46" s="14">
        <v>27.0</v>
      </c>
      <c r="BJ46" s="14" t="s">
        <v>2835</v>
      </c>
      <c r="BK46" s="14" t="s">
        <v>2836</v>
      </c>
      <c r="BL46" s="14" t="s">
        <v>2837</v>
      </c>
      <c r="BM46" s="14" t="s">
        <v>2838</v>
      </c>
      <c r="BN46" s="14" t="s">
        <v>99</v>
      </c>
      <c r="BO46" s="14" t="s">
        <v>1251</v>
      </c>
      <c r="BP46" s="14" t="s">
        <v>99</v>
      </c>
      <c r="BQ46" s="14" t="s">
        <v>99</v>
      </c>
      <c r="BR46" s="14" t="s">
        <v>124</v>
      </c>
      <c r="BS46" s="14" t="s">
        <v>2839</v>
      </c>
      <c r="BT46" s="14" t="str">
        <f>HYPERLINK("https%3A%2F%2Fwww.webofscience.com%2Fwos%2Fwoscc%2Ffull-record%2FWOS:000350217700053","View Full Record in Web of Science")</f>
        <v>View Full Record in Web of Science</v>
      </c>
    </row>
    <row r="47" ht="12.75" customHeight="1">
      <c r="A47" s="14" t="s">
        <v>97</v>
      </c>
      <c r="B47" s="14" t="s">
        <v>2861</v>
      </c>
      <c r="C47" s="14" t="s">
        <v>99</v>
      </c>
      <c r="D47" s="14" t="s">
        <v>99</v>
      </c>
      <c r="E47" s="14" t="s">
        <v>99</v>
      </c>
      <c r="F47" s="14" t="s">
        <v>2862</v>
      </c>
      <c r="G47" s="14" t="s">
        <v>99</v>
      </c>
      <c r="H47" s="14" t="s">
        <v>99</v>
      </c>
      <c r="I47" s="14" t="s">
        <v>2863</v>
      </c>
      <c r="J47" s="14" t="s">
        <v>1020</v>
      </c>
      <c r="K47" s="14" t="s">
        <v>99</v>
      </c>
      <c r="L47" s="14" t="s">
        <v>99</v>
      </c>
      <c r="M47" s="14" t="s">
        <v>103</v>
      </c>
      <c r="N47" s="14" t="s">
        <v>104</v>
      </c>
      <c r="O47" s="14" t="s">
        <v>99</v>
      </c>
      <c r="P47" s="14" t="s">
        <v>99</v>
      </c>
      <c r="Q47" s="14" t="s">
        <v>99</v>
      </c>
      <c r="R47" s="14" t="s">
        <v>99</v>
      </c>
      <c r="S47" s="14" t="s">
        <v>99</v>
      </c>
      <c r="T47" s="14" t="s">
        <v>2864</v>
      </c>
      <c r="U47" s="14" t="s">
        <v>2865</v>
      </c>
      <c r="V47" s="14" t="s">
        <v>2866</v>
      </c>
      <c r="W47" s="14" t="s">
        <v>2867</v>
      </c>
      <c r="X47" s="14" t="s">
        <v>2868</v>
      </c>
      <c r="Y47" s="14" t="s">
        <v>2869</v>
      </c>
      <c r="Z47" s="14" t="s">
        <v>2870</v>
      </c>
      <c r="AA47" s="14" t="s">
        <v>2871</v>
      </c>
      <c r="AB47" s="14" t="s">
        <v>2872</v>
      </c>
      <c r="AC47" s="14" t="s">
        <v>2873</v>
      </c>
      <c r="AD47" s="14" t="s">
        <v>2874</v>
      </c>
      <c r="AE47" s="14" t="s">
        <v>2875</v>
      </c>
      <c r="AF47" s="14" t="s">
        <v>99</v>
      </c>
      <c r="AG47" s="14">
        <v>44.0</v>
      </c>
      <c r="AH47" s="14">
        <v>179.0</v>
      </c>
      <c r="AI47" s="14">
        <v>195.0</v>
      </c>
      <c r="AJ47" s="14">
        <v>3.0</v>
      </c>
      <c r="AK47" s="14">
        <v>176.0</v>
      </c>
      <c r="AL47" s="14" t="s">
        <v>441</v>
      </c>
      <c r="AM47" s="14" t="s">
        <v>442</v>
      </c>
      <c r="AN47" s="14" t="s">
        <v>443</v>
      </c>
      <c r="AO47" s="14" t="s">
        <v>1035</v>
      </c>
      <c r="AP47" s="14" t="s">
        <v>1036</v>
      </c>
      <c r="AQ47" s="14" t="s">
        <v>99</v>
      </c>
      <c r="AR47" s="14" t="s">
        <v>1037</v>
      </c>
      <c r="AS47" s="14" t="s">
        <v>1038</v>
      </c>
      <c r="AT47" s="14" t="s">
        <v>2857</v>
      </c>
      <c r="AU47" s="14">
        <v>2015.0</v>
      </c>
      <c r="AV47" s="14">
        <v>503.0</v>
      </c>
      <c r="AW47" s="14" t="s">
        <v>99</v>
      </c>
      <c r="AX47" s="14" t="s">
        <v>99</v>
      </c>
      <c r="AY47" s="14" t="s">
        <v>99</v>
      </c>
      <c r="AZ47" s="14" t="s">
        <v>1738</v>
      </c>
      <c r="BA47" s="14" t="s">
        <v>99</v>
      </c>
      <c r="BB47" s="14">
        <v>3.0</v>
      </c>
      <c r="BC47" s="14">
        <v>9.0</v>
      </c>
      <c r="BD47" s="14" t="s">
        <v>99</v>
      </c>
      <c r="BE47" s="14" t="s">
        <v>2876</v>
      </c>
      <c r="BF47" s="15" t="str">
        <f>HYPERLINK("http://dx.doi.org/10.1016/j.scitotenv.2014.06.081","http://dx.doi.org/10.1016/j.scitotenv.2014.06.081")</f>
        <v>http://dx.doi.org/10.1016/j.scitotenv.2014.06.081</v>
      </c>
      <c r="BG47" s="14" t="s">
        <v>99</v>
      </c>
      <c r="BH47" s="14" t="s">
        <v>99</v>
      </c>
      <c r="BI47" s="14">
        <v>7.0</v>
      </c>
      <c r="BJ47" s="14" t="s">
        <v>1041</v>
      </c>
      <c r="BK47" s="14" t="s">
        <v>122</v>
      </c>
      <c r="BL47" s="14" t="s">
        <v>260</v>
      </c>
      <c r="BM47" s="14" t="s">
        <v>2877</v>
      </c>
      <c r="BN47" s="14">
        <v>2.5005236E7</v>
      </c>
      <c r="BO47" s="14" t="s">
        <v>2878</v>
      </c>
      <c r="BP47" s="14" t="s">
        <v>99</v>
      </c>
      <c r="BQ47" s="14" t="s">
        <v>99</v>
      </c>
      <c r="BR47" s="14" t="s">
        <v>124</v>
      </c>
      <c r="BS47" s="14" t="s">
        <v>2879</v>
      </c>
      <c r="BT47" s="14" t="str">
        <f>HYPERLINK("https%3A%2F%2Fwww.webofscience.com%2Fwos%2Fwoscc%2Ffull-record%2FWOS:000345729000002","View Full Record in Web of Science")</f>
        <v>View Full Record in Web of Science</v>
      </c>
    </row>
    <row r="48" ht="12.75" customHeight="1">
      <c r="A48" s="14" t="s">
        <v>97</v>
      </c>
      <c r="B48" s="14" t="s">
        <v>2928</v>
      </c>
      <c r="C48" s="14" t="s">
        <v>99</v>
      </c>
      <c r="D48" s="14" t="s">
        <v>99</v>
      </c>
      <c r="E48" s="14" t="s">
        <v>99</v>
      </c>
      <c r="F48" s="14" t="s">
        <v>2929</v>
      </c>
      <c r="G48" s="14" t="s">
        <v>99</v>
      </c>
      <c r="H48" s="14" t="s">
        <v>99</v>
      </c>
      <c r="I48" s="14" t="s">
        <v>2930</v>
      </c>
      <c r="J48" s="14" t="s">
        <v>2500</v>
      </c>
      <c r="K48" s="14" t="s">
        <v>99</v>
      </c>
      <c r="L48" s="14" t="s">
        <v>99</v>
      </c>
      <c r="M48" s="14" t="s">
        <v>103</v>
      </c>
      <c r="N48" s="14" t="s">
        <v>104</v>
      </c>
      <c r="O48" s="14" t="s">
        <v>99</v>
      </c>
      <c r="P48" s="14" t="s">
        <v>99</v>
      </c>
      <c r="Q48" s="14" t="s">
        <v>99</v>
      </c>
      <c r="R48" s="14" t="s">
        <v>99</v>
      </c>
      <c r="S48" s="14" t="s">
        <v>99</v>
      </c>
      <c r="T48" s="14" t="s">
        <v>99</v>
      </c>
      <c r="U48" s="14" t="s">
        <v>2931</v>
      </c>
      <c r="V48" s="14" t="s">
        <v>2932</v>
      </c>
      <c r="W48" s="14" t="s">
        <v>2933</v>
      </c>
      <c r="X48" s="14" t="s">
        <v>2934</v>
      </c>
      <c r="Y48" s="14" t="s">
        <v>2935</v>
      </c>
      <c r="Z48" s="14" t="s">
        <v>2936</v>
      </c>
      <c r="AA48" s="14" t="s">
        <v>2937</v>
      </c>
      <c r="AB48" s="14" t="s">
        <v>2938</v>
      </c>
      <c r="AC48" s="14" t="s">
        <v>2939</v>
      </c>
      <c r="AD48" s="14" t="s">
        <v>2940</v>
      </c>
      <c r="AE48" s="14" t="s">
        <v>2941</v>
      </c>
      <c r="AF48" s="14" t="s">
        <v>99</v>
      </c>
      <c r="AG48" s="14">
        <v>42.0</v>
      </c>
      <c r="AH48" s="14">
        <v>3293.0</v>
      </c>
      <c r="AI48" s="14">
        <v>3869.0</v>
      </c>
      <c r="AJ48" s="14">
        <v>46.0</v>
      </c>
      <c r="AK48" s="14">
        <v>2667.0</v>
      </c>
      <c r="AL48" s="14" t="s">
        <v>2512</v>
      </c>
      <c r="AM48" s="14" t="s">
        <v>2513</v>
      </c>
      <c r="AN48" s="14" t="s">
        <v>2514</v>
      </c>
      <c r="AO48" s="14" t="s">
        <v>2515</v>
      </c>
      <c r="AP48" s="14" t="s">
        <v>99</v>
      </c>
      <c r="AQ48" s="14" t="s">
        <v>99</v>
      </c>
      <c r="AR48" s="14" t="s">
        <v>2500</v>
      </c>
      <c r="AS48" s="14" t="s">
        <v>2516</v>
      </c>
      <c r="AT48" s="14" t="s">
        <v>2942</v>
      </c>
      <c r="AU48" s="14">
        <v>2014.0</v>
      </c>
      <c r="AV48" s="14">
        <v>9.0</v>
      </c>
      <c r="AW48" s="14">
        <v>12.0</v>
      </c>
      <c r="AX48" s="14" t="s">
        <v>99</v>
      </c>
      <c r="AY48" s="14" t="s">
        <v>99</v>
      </c>
      <c r="AZ48" s="14" t="s">
        <v>99</v>
      </c>
      <c r="BA48" s="14" t="s">
        <v>99</v>
      </c>
      <c r="BB48" s="14" t="s">
        <v>99</v>
      </c>
      <c r="BC48" s="14" t="s">
        <v>99</v>
      </c>
      <c r="BD48" s="14" t="s">
        <v>2943</v>
      </c>
      <c r="BE48" s="14" t="s">
        <v>2944</v>
      </c>
      <c r="BF48" s="15" t="str">
        <f>HYPERLINK("http://dx.doi.org/10.1371/journal.pone.0111913","http://dx.doi.org/10.1371/journal.pone.0111913")</f>
        <v>http://dx.doi.org/10.1371/journal.pone.0111913</v>
      </c>
      <c r="BG48" s="14" t="s">
        <v>99</v>
      </c>
      <c r="BH48" s="14" t="s">
        <v>99</v>
      </c>
      <c r="BI48" s="14">
        <v>15.0</v>
      </c>
      <c r="BJ48" s="14" t="s">
        <v>799</v>
      </c>
      <c r="BK48" s="14" t="s">
        <v>122</v>
      </c>
      <c r="BL48" s="14" t="s">
        <v>801</v>
      </c>
      <c r="BM48" s="14" t="s">
        <v>2945</v>
      </c>
      <c r="BN48" s="14">
        <v>2.5494041E7</v>
      </c>
      <c r="BO48" s="14" t="s">
        <v>1251</v>
      </c>
      <c r="BP48" s="14" t="s">
        <v>99</v>
      </c>
      <c r="BQ48" s="14" t="s">
        <v>99</v>
      </c>
      <c r="BR48" s="14" t="s">
        <v>124</v>
      </c>
      <c r="BS48" s="14" t="s">
        <v>2946</v>
      </c>
      <c r="BT48" s="14" t="str">
        <f>HYPERLINK("https%3A%2F%2Fwww.webofscience.com%2Fwos%2Fwoscc%2Ffull-record%2FWOS:000346611400007","View Full Record in Web of Science")</f>
        <v>View Full Record in Web of Science</v>
      </c>
    </row>
    <row r="49" ht="12.75" customHeight="1">
      <c r="A49" s="14" t="s">
        <v>97</v>
      </c>
      <c r="B49" s="14" t="s">
        <v>2991</v>
      </c>
      <c r="C49" s="14" t="s">
        <v>99</v>
      </c>
      <c r="D49" s="14" t="s">
        <v>99</v>
      </c>
      <c r="E49" s="14" t="s">
        <v>99</v>
      </c>
      <c r="F49" s="14" t="s">
        <v>2992</v>
      </c>
      <c r="G49" s="14" t="s">
        <v>99</v>
      </c>
      <c r="H49" s="14" t="s">
        <v>99</v>
      </c>
      <c r="I49" s="14" t="s">
        <v>2993</v>
      </c>
      <c r="J49" s="14" t="s">
        <v>2994</v>
      </c>
      <c r="K49" s="14" t="s">
        <v>99</v>
      </c>
      <c r="L49" s="14" t="s">
        <v>99</v>
      </c>
      <c r="M49" s="14" t="s">
        <v>103</v>
      </c>
      <c r="N49" s="14" t="s">
        <v>104</v>
      </c>
      <c r="O49" s="14" t="s">
        <v>99</v>
      </c>
      <c r="P49" s="14" t="s">
        <v>99</v>
      </c>
      <c r="Q49" s="14" t="s">
        <v>99</v>
      </c>
      <c r="R49" s="14" t="s">
        <v>99</v>
      </c>
      <c r="S49" s="14" t="s">
        <v>99</v>
      </c>
      <c r="T49" s="14" t="s">
        <v>2995</v>
      </c>
      <c r="U49" s="14" t="s">
        <v>2996</v>
      </c>
      <c r="V49" s="14" t="s">
        <v>2997</v>
      </c>
      <c r="W49" s="14" t="s">
        <v>2998</v>
      </c>
      <c r="X49" s="14" t="s">
        <v>2999</v>
      </c>
      <c r="Y49" s="14" t="s">
        <v>3000</v>
      </c>
      <c r="Z49" s="14" t="s">
        <v>3001</v>
      </c>
      <c r="AA49" s="14" t="s">
        <v>99</v>
      </c>
      <c r="AB49" s="14" t="s">
        <v>3002</v>
      </c>
      <c r="AC49" s="14" t="s">
        <v>99</v>
      </c>
      <c r="AD49" s="14" t="s">
        <v>99</v>
      </c>
      <c r="AE49" s="14" t="s">
        <v>99</v>
      </c>
      <c r="AF49" s="14" t="s">
        <v>99</v>
      </c>
      <c r="AG49" s="14">
        <v>53.0</v>
      </c>
      <c r="AH49" s="14">
        <v>3.0</v>
      </c>
      <c r="AI49" s="14">
        <v>3.0</v>
      </c>
      <c r="AJ49" s="14">
        <v>1.0</v>
      </c>
      <c r="AK49" s="14">
        <v>22.0</v>
      </c>
      <c r="AL49" s="14" t="s">
        <v>3003</v>
      </c>
      <c r="AM49" s="14" t="s">
        <v>3004</v>
      </c>
      <c r="AN49" s="14" t="s">
        <v>3005</v>
      </c>
      <c r="AO49" s="14" t="s">
        <v>3006</v>
      </c>
      <c r="AP49" s="14" t="s">
        <v>3007</v>
      </c>
      <c r="AQ49" s="14" t="s">
        <v>99</v>
      </c>
      <c r="AR49" s="14" t="s">
        <v>3008</v>
      </c>
      <c r="AS49" s="14" t="s">
        <v>3009</v>
      </c>
      <c r="AT49" s="14" t="s">
        <v>348</v>
      </c>
      <c r="AU49" s="14">
        <v>2014.0</v>
      </c>
      <c r="AV49" s="14">
        <v>225.0</v>
      </c>
      <c r="AW49" s="14">
        <v>11.0</v>
      </c>
      <c r="AX49" s="14" t="s">
        <v>99</v>
      </c>
      <c r="AY49" s="14" t="s">
        <v>99</v>
      </c>
      <c r="AZ49" s="14" t="s">
        <v>99</v>
      </c>
      <c r="BA49" s="14" t="s">
        <v>99</v>
      </c>
      <c r="BB49" s="14" t="s">
        <v>99</v>
      </c>
      <c r="BC49" s="14" t="s">
        <v>99</v>
      </c>
      <c r="BD49" s="14">
        <v>2186.0</v>
      </c>
      <c r="BE49" s="14" t="s">
        <v>3010</v>
      </c>
      <c r="BF49" s="15" t="str">
        <f>HYPERLINK("http://dx.doi.org/10.1007/s11270-014-2186-4","http://dx.doi.org/10.1007/s11270-014-2186-4")</f>
        <v>http://dx.doi.org/10.1007/s11270-014-2186-4</v>
      </c>
      <c r="BG49" s="14" t="s">
        <v>99</v>
      </c>
      <c r="BH49" s="14" t="s">
        <v>99</v>
      </c>
      <c r="BI49" s="14">
        <v>13.0</v>
      </c>
      <c r="BJ49" s="14" t="s">
        <v>3011</v>
      </c>
      <c r="BK49" s="14" t="s">
        <v>122</v>
      </c>
      <c r="BL49" s="14" t="s">
        <v>3012</v>
      </c>
      <c r="BM49" s="14" t="s">
        <v>3013</v>
      </c>
      <c r="BN49" s="14" t="s">
        <v>99</v>
      </c>
      <c r="BO49" s="14" t="s">
        <v>425</v>
      </c>
      <c r="BP49" s="14" t="s">
        <v>99</v>
      </c>
      <c r="BQ49" s="14" t="s">
        <v>99</v>
      </c>
      <c r="BR49" s="14" t="s">
        <v>124</v>
      </c>
      <c r="BS49" s="14" t="s">
        <v>3014</v>
      </c>
      <c r="BT49" s="14" t="str">
        <f>HYPERLINK("https%3A%2F%2Fwww.webofscience.com%2Fwos%2Fwoscc%2Ffull-record%2FWOS:000343913200027","View Full Record in Web of Science")</f>
        <v>View Full Record in Web of Science</v>
      </c>
    </row>
    <row r="50" ht="12.75" customHeight="1">
      <c r="A50" s="14" t="s">
        <v>97</v>
      </c>
      <c r="B50" s="14" t="s">
        <v>3089</v>
      </c>
      <c r="C50" s="14" t="s">
        <v>99</v>
      </c>
      <c r="D50" s="14" t="s">
        <v>99</v>
      </c>
      <c r="E50" s="14" t="s">
        <v>99</v>
      </c>
      <c r="F50" s="14" t="s">
        <v>3090</v>
      </c>
      <c r="G50" s="14" t="s">
        <v>99</v>
      </c>
      <c r="H50" s="14" t="s">
        <v>99</v>
      </c>
      <c r="I50" s="14" t="s">
        <v>3091</v>
      </c>
      <c r="J50" s="14" t="s">
        <v>3092</v>
      </c>
      <c r="K50" s="14" t="s">
        <v>99</v>
      </c>
      <c r="L50" s="14" t="s">
        <v>99</v>
      </c>
      <c r="M50" s="14" t="s">
        <v>103</v>
      </c>
      <c r="N50" s="14" t="s">
        <v>104</v>
      </c>
      <c r="O50" s="14" t="s">
        <v>99</v>
      </c>
      <c r="P50" s="14" t="s">
        <v>99</v>
      </c>
      <c r="Q50" s="14" t="s">
        <v>99</v>
      </c>
      <c r="R50" s="14" t="s">
        <v>99</v>
      </c>
      <c r="S50" s="14" t="s">
        <v>99</v>
      </c>
      <c r="T50" s="14" t="s">
        <v>3093</v>
      </c>
      <c r="U50" s="14" t="s">
        <v>3094</v>
      </c>
      <c r="V50" s="14" t="s">
        <v>3095</v>
      </c>
      <c r="W50" s="14" t="s">
        <v>3096</v>
      </c>
      <c r="X50" s="14" t="s">
        <v>3097</v>
      </c>
      <c r="Y50" s="14" t="s">
        <v>3098</v>
      </c>
      <c r="Z50" s="14" t="s">
        <v>3099</v>
      </c>
      <c r="AA50" s="14" t="s">
        <v>3100</v>
      </c>
      <c r="AB50" s="14" t="s">
        <v>99</v>
      </c>
      <c r="AC50" s="14" t="s">
        <v>99</v>
      </c>
      <c r="AD50" s="14" t="s">
        <v>99</v>
      </c>
      <c r="AE50" s="14" t="s">
        <v>99</v>
      </c>
      <c r="AF50" s="14" t="s">
        <v>99</v>
      </c>
      <c r="AG50" s="14">
        <v>92.0</v>
      </c>
      <c r="AH50" s="14">
        <v>128.0</v>
      </c>
      <c r="AI50" s="14">
        <v>150.0</v>
      </c>
      <c r="AJ50" s="14">
        <v>1.0</v>
      </c>
      <c r="AK50" s="14">
        <v>8.0</v>
      </c>
      <c r="AL50" s="14" t="s">
        <v>3101</v>
      </c>
      <c r="AM50" s="14" t="s">
        <v>3102</v>
      </c>
      <c r="AN50" s="14" t="s">
        <v>3103</v>
      </c>
      <c r="AO50" s="14" t="s">
        <v>3104</v>
      </c>
      <c r="AP50" s="14" t="s">
        <v>3105</v>
      </c>
      <c r="AQ50" s="14" t="s">
        <v>99</v>
      </c>
      <c r="AR50" s="14" t="s">
        <v>3106</v>
      </c>
      <c r="AS50" s="14" t="s">
        <v>3107</v>
      </c>
      <c r="AT50" s="14" t="s">
        <v>421</v>
      </c>
      <c r="AU50" s="14">
        <v>2014.0</v>
      </c>
      <c r="AV50" s="14">
        <v>2.0</v>
      </c>
      <c r="AW50" s="14">
        <v>3.0</v>
      </c>
      <c r="AX50" s="14" t="s">
        <v>99</v>
      </c>
      <c r="AY50" s="14" t="s">
        <v>99</v>
      </c>
      <c r="AZ50" s="14" t="s">
        <v>99</v>
      </c>
      <c r="BA50" s="14" t="s">
        <v>99</v>
      </c>
      <c r="BB50" s="14">
        <v>36.0</v>
      </c>
      <c r="BC50" s="14">
        <v>47.0</v>
      </c>
      <c r="BD50" s="14" t="s">
        <v>99</v>
      </c>
      <c r="BE50" s="14" t="s">
        <v>3108</v>
      </c>
      <c r="BF50" s="15" t="str">
        <f>HYPERLINK("http://dx.doi.org/10.1016/S2095-6339(15)30021-6","http://dx.doi.org/10.1016/S2095-6339(15)30021-6")</f>
        <v>http://dx.doi.org/10.1016/S2095-6339(15)30021-6</v>
      </c>
      <c r="BG50" s="14" t="s">
        <v>99</v>
      </c>
      <c r="BH50" s="14" t="s">
        <v>99</v>
      </c>
      <c r="BI50" s="14">
        <v>12.0</v>
      </c>
      <c r="BJ50" s="14" t="s">
        <v>3109</v>
      </c>
      <c r="BK50" s="14" t="s">
        <v>147</v>
      </c>
      <c r="BL50" s="14" t="s">
        <v>3110</v>
      </c>
      <c r="BM50" s="14" t="s">
        <v>3111</v>
      </c>
      <c r="BN50" s="14" t="s">
        <v>99</v>
      </c>
      <c r="BO50" s="14" t="s">
        <v>576</v>
      </c>
      <c r="BP50" s="14" t="s">
        <v>99</v>
      </c>
      <c r="BQ50" s="14" t="s">
        <v>99</v>
      </c>
      <c r="BR50" s="14" t="s">
        <v>124</v>
      </c>
      <c r="BS50" s="14" t="s">
        <v>3112</v>
      </c>
      <c r="BT50" s="14" t="str">
        <f>HYPERLINK("https%3A%2F%2Fwww.webofscience.com%2Fwos%2Fwoscc%2Ffull-record%2FWOS:000435740500003","View Full Record in Web of Science")</f>
        <v>View Full Record in Web of Science</v>
      </c>
    </row>
    <row r="51" ht="12.75" customHeight="1">
      <c r="A51" s="14" t="s">
        <v>97</v>
      </c>
      <c r="B51" s="14" t="s">
        <v>3177</v>
      </c>
      <c r="C51" s="14" t="s">
        <v>99</v>
      </c>
      <c r="D51" s="14" t="s">
        <v>99</v>
      </c>
      <c r="E51" s="14" t="s">
        <v>99</v>
      </c>
      <c r="F51" s="14" t="s">
        <v>3178</v>
      </c>
      <c r="G51" s="14" t="s">
        <v>99</v>
      </c>
      <c r="H51" s="14" t="s">
        <v>99</v>
      </c>
      <c r="I51" s="14" t="s">
        <v>3179</v>
      </c>
      <c r="J51" s="14" t="s">
        <v>776</v>
      </c>
      <c r="K51" s="14" t="s">
        <v>99</v>
      </c>
      <c r="L51" s="14" t="s">
        <v>99</v>
      </c>
      <c r="M51" s="14" t="s">
        <v>103</v>
      </c>
      <c r="N51" s="14" t="s">
        <v>104</v>
      </c>
      <c r="O51" s="14" t="s">
        <v>99</v>
      </c>
      <c r="P51" s="14" t="s">
        <v>99</v>
      </c>
      <c r="Q51" s="14" t="s">
        <v>99</v>
      </c>
      <c r="R51" s="14" t="s">
        <v>99</v>
      </c>
      <c r="S51" s="14" t="s">
        <v>99</v>
      </c>
      <c r="T51" s="14" t="s">
        <v>3180</v>
      </c>
      <c r="U51" s="14" t="s">
        <v>3181</v>
      </c>
      <c r="V51" s="14" t="s">
        <v>3182</v>
      </c>
      <c r="W51" s="14" t="s">
        <v>3183</v>
      </c>
      <c r="X51" s="14" t="s">
        <v>3184</v>
      </c>
      <c r="Y51" s="14" t="s">
        <v>3185</v>
      </c>
      <c r="Z51" s="14" t="s">
        <v>3186</v>
      </c>
      <c r="AA51" s="14" t="s">
        <v>3187</v>
      </c>
      <c r="AB51" s="14" t="s">
        <v>3188</v>
      </c>
      <c r="AC51" s="14" t="s">
        <v>3189</v>
      </c>
      <c r="AD51" s="14" t="s">
        <v>3190</v>
      </c>
      <c r="AE51" s="14" t="s">
        <v>3191</v>
      </c>
      <c r="AF51" s="14" t="s">
        <v>99</v>
      </c>
      <c r="AG51" s="14">
        <v>42.0</v>
      </c>
      <c r="AH51" s="14">
        <v>617.0</v>
      </c>
      <c r="AI51" s="14">
        <v>676.0</v>
      </c>
      <c r="AJ51" s="14">
        <v>13.0</v>
      </c>
      <c r="AK51" s="14">
        <v>527.0</v>
      </c>
      <c r="AL51" s="14" t="s">
        <v>788</v>
      </c>
      <c r="AM51" s="14" t="s">
        <v>789</v>
      </c>
      <c r="AN51" s="14" t="s">
        <v>790</v>
      </c>
      <c r="AO51" s="14" t="s">
        <v>791</v>
      </c>
      <c r="AP51" s="14" t="s">
        <v>792</v>
      </c>
      <c r="AQ51" s="14" t="s">
        <v>99</v>
      </c>
      <c r="AR51" s="14" t="s">
        <v>793</v>
      </c>
      <c r="AS51" s="14" t="s">
        <v>794</v>
      </c>
      <c r="AT51" s="14" t="s">
        <v>1309</v>
      </c>
      <c r="AU51" s="14">
        <v>2014.0</v>
      </c>
      <c r="AV51" s="14">
        <v>111.0</v>
      </c>
      <c r="AW51" s="14">
        <v>26.0</v>
      </c>
      <c r="AX51" s="14" t="s">
        <v>99</v>
      </c>
      <c r="AY51" s="14" t="s">
        <v>99</v>
      </c>
      <c r="AZ51" s="14" t="s">
        <v>99</v>
      </c>
      <c r="BA51" s="14" t="s">
        <v>99</v>
      </c>
      <c r="BB51" s="14">
        <v>9549.0</v>
      </c>
      <c r="BC51" s="14">
        <v>9554.0</v>
      </c>
      <c r="BD51" s="14" t="s">
        <v>99</v>
      </c>
      <c r="BE51" s="14" t="s">
        <v>3192</v>
      </c>
      <c r="BF51" s="15" t="str">
        <f>HYPERLINK("http://dx.doi.org/10.1073/pnas.1321082111","http://dx.doi.org/10.1073/pnas.1321082111")</f>
        <v>http://dx.doi.org/10.1073/pnas.1321082111</v>
      </c>
      <c r="BG51" s="14" t="s">
        <v>99</v>
      </c>
      <c r="BH51" s="14" t="s">
        <v>99</v>
      </c>
      <c r="BI51" s="14">
        <v>6.0</v>
      </c>
      <c r="BJ51" s="14" t="s">
        <v>799</v>
      </c>
      <c r="BK51" s="14" t="s">
        <v>122</v>
      </c>
      <c r="BL51" s="14" t="s">
        <v>801</v>
      </c>
      <c r="BM51" s="14" t="s">
        <v>3193</v>
      </c>
      <c r="BN51" s="14">
        <v>2.4979762E7</v>
      </c>
      <c r="BO51" s="14" t="s">
        <v>425</v>
      </c>
      <c r="BP51" s="14" t="s">
        <v>99</v>
      </c>
      <c r="BQ51" s="14" t="s">
        <v>99</v>
      </c>
      <c r="BR51" s="14" t="s">
        <v>124</v>
      </c>
      <c r="BS51" s="14" t="s">
        <v>3194</v>
      </c>
      <c r="BT51" s="14" t="str">
        <f>HYPERLINK("https%3A%2F%2Fwww.webofscience.com%2Fwos%2Fwoscc%2Ffull-record%2FWOS:000338118900055","View Full Record in Web of Science")</f>
        <v>View Full Record in Web of Science</v>
      </c>
    </row>
    <row r="52" ht="12.75" customHeight="1">
      <c r="A52" s="14" t="s">
        <v>97</v>
      </c>
      <c r="B52" s="14" t="s">
        <v>3281</v>
      </c>
      <c r="C52" s="14" t="s">
        <v>99</v>
      </c>
      <c r="D52" s="14" t="s">
        <v>99</v>
      </c>
      <c r="E52" s="14" t="s">
        <v>99</v>
      </c>
      <c r="F52" s="14" t="s">
        <v>3282</v>
      </c>
      <c r="G52" s="14" t="s">
        <v>99</v>
      </c>
      <c r="H52" s="14" t="s">
        <v>99</v>
      </c>
      <c r="I52" s="14" t="s">
        <v>3283</v>
      </c>
      <c r="J52" s="14" t="s">
        <v>1422</v>
      </c>
      <c r="K52" s="14" t="s">
        <v>99</v>
      </c>
      <c r="L52" s="14" t="s">
        <v>99</v>
      </c>
      <c r="M52" s="14" t="s">
        <v>103</v>
      </c>
      <c r="N52" s="14" t="s">
        <v>104</v>
      </c>
      <c r="O52" s="14" t="s">
        <v>99</v>
      </c>
      <c r="P52" s="14" t="s">
        <v>99</v>
      </c>
      <c r="Q52" s="14" t="s">
        <v>99</v>
      </c>
      <c r="R52" s="14" t="s">
        <v>99</v>
      </c>
      <c r="S52" s="14" t="s">
        <v>99</v>
      </c>
      <c r="T52" s="14" t="s">
        <v>99</v>
      </c>
      <c r="U52" s="14" t="s">
        <v>3284</v>
      </c>
      <c r="V52" s="14" t="s">
        <v>3285</v>
      </c>
      <c r="W52" s="14" t="s">
        <v>3286</v>
      </c>
      <c r="X52" s="14" t="s">
        <v>3287</v>
      </c>
      <c r="Y52" s="14" t="s">
        <v>3288</v>
      </c>
      <c r="Z52" s="14" t="s">
        <v>3289</v>
      </c>
      <c r="AA52" s="14" t="s">
        <v>3290</v>
      </c>
      <c r="AB52" s="14" t="s">
        <v>3291</v>
      </c>
      <c r="AC52" s="14" t="s">
        <v>3292</v>
      </c>
      <c r="AD52" s="14" t="s">
        <v>3292</v>
      </c>
      <c r="AE52" s="14" t="s">
        <v>3293</v>
      </c>
      <c r="AF52" s="14" t="s">
        <v>99</v>
      </c>
      <c r="AG52" s="14">
        <v>52.0</v>
      </c>
      <c r="AH52" s="14">
        <v>306.0</v>
      </c>
      <c r="AI52" s="14">
        <v>327.0</v>
      </c>
      <c r="AJ52" s="14">
        <v>3.0</v>
      </c>
      <c r="AK52" s="14">
        <v>320.0</v>
      </c>
      <c r="AL52" s="14" t="s">
        <v>1431</v>
      </c>
      <c r="AM52" s="14" t="s">
        <v>789</v>
      </c>
      <c r="AN52" s="14" t="s">
        <v>1432</v>
      </c>
      <c r="AO52" s="14" t="s">
        <v>1433</v>
      </c>
      <c r="AP52" s="14" t="s">
        <v>1434</v>
      </c>
      <c r="AQ52" s="14" t="s">
        <v>99</v>
      </c>
      <c r="AR52" s="14" t="s">
        <v>1435</v>
      </c>
      <c r="AS52" s="14" t="s">
        <v>1436</v>
      </c>
      <c r="AT52" s="14" t="s">
        <v>3294</v>
      </c>
      <c r="AU52" s="14">
        <v>2014.0</v>
      </c>
      <c r="AV52" s="14">
        <v>48.0</v>
      </c>
      <c r="AW52" s="14">
        <v>10.0</v>
      </c>
      <c r="AX52" s="14" t="s">
        <v>99</v>
      </c>
      <c r="AY52" s="14" t="s">
        <v>99</v>
      </c>
      <c r="AZ52" s="14" t="s">
        <v>99</v>
      </c>
      <c r="BA52" s="14" t="s">
        <v>99</v>
      </c>
      <c r="BB52" s="14">
        <v>5423.0</v>
      </c>
      <c r="BC52" s="14">
        <v>5432.0</v>
      </c>
      <c r="BD52" s="14" t="s">
        <v>99</v>
      </c>
      <c r="BE52" s="14" t="s">
        <v>3295</v>
      </c>
      <c r="BF52" s="15" t="str">
        <f>HYPERLINK("http://dx.doi.org/10.1021/es500371t","http://dx.doi.org/10.1021/es500371t")</f>
        <v>http://dx.doi.org/10.1021/es500371t</v>
      </c>
      <c r="BG52" s="14" t="s">
        <v>99</v>
      </c>
      <c r="BH52" s="14" t="s">
        <v>99</v>
      </c>
      <c r="BI52" s="14">
        <v>10.0</v>
      </c>
      <c r="BJ52" s="14" t="s">
        <v>1439</v>
      </c>
      <c r="BK52" s="14" t="s">
        <v>122</v>
      </c>
      <c r="BL52" s="14" t="s">
        <v>1440</v>
      </c>
      <c r="BM52" s="14" t="s">
        <v>3296</v>
      </c>
      <c r="BN52" s="14">
        <v>2.4821647E7</v>
      </c>
      <c r="BO52" s="14" t="s">
        <v>425</v>
      </c>
      <c r="BP52" s="14" t="s">
        <v>99</v>
      </c>
      <c r="BQ52" s="14" t="s">
        <v>99</v>
      </c>
      <c r="BR52" s="14" t="s">
        <v>124</v>
      </c>
      <c r="BS52" s="14" t="s">
        <v>3297</v>
      </c>
      <c r="BT52" s="14" t="str">
        <f>HYPERLINK("https%3A%2F%2Fwww.webofscience.com%2Fwos%2Fwoscc%2Ffull-record%2FWOS:000336415200011","View Full Record in Web of Science")</f>
        <v>View Full Record in Web of Science</v>
      </c>
    </row>
    <row r="53" ht="12.75" customHeight="1">
      <c r="A53" s="14" t="s">
        <v>97</v>
      </c>
      <c r="B53" s="14" t="s">
        <v>3373</v>
      </c>
      <c r="C53" s="14" t="s">
        <v>99</v>
      </c>
      <c r="D53" s="14" t="s">
        <v>99</v>
      </c>
      <c r="E53" s="14" t="s">
        <v>99</v>
      </c>
      <c r="F53" s="14" t="s">
        <v>3374</v>
      </c>
      <c r="G53" s="14" t="s">
        <v>99</v>
      </c>
      <c r="H53" s="14" t="s">
        <v>99</v>
      </c>
      <c r="I53" s="14" t="s">
        <v>3375</v>
      </c>
      <c r="J53" s="14" t="s">
        <v>776</v>
      </c>
      <c r="K53" s="14" t="s">
        <v>99</v>
      </c>
      <c r="L53" s="14" t="s">
        <v>99</v>
      </c>
      <c r="M53" s="14" t="s">
        <v>103</v>
      </c>
      <c r="N53" s="14" t="s">
        <v>104</v>
      </c>
      <c r="O53" s="14" t="s">
        <v>99</v>
      </c>
      <c r="P53" s="14" t="s">
        <v>99</v>
      </c>
      <c r="Q53" s="14" t="s">
        <v>99</v>
      </c>
      <c r="R53" s="14" t="s">
        <v>99</v>
      </c>
      <c r="S53" s="14" t="s">
        <v>99</v>
      </c>
      <c r="T53" s="14" t="s">
        <v>3376</v>
      </c>
      <c r="U53" s="14" t="s">
        <v>3377</v>
      </c>
      <c r="V53" s="14" t="s">
        <v>3378</v>
      </c>
      <c r="W53" s="14" t="s">
        <v>3379</v>
      </c>
      <c r="X53" s="14" t="s">
        <v>3380</v>
      </c>
      <c r="Y53" s="14" t="s">
        <v>3381</v>
      </c>
      <c r="Z53" s="14" t="s">
        <v>3382</v>
      </c>
      <c r="AA53" s="14" t="s">
        <v>3383</v>
      </c>
      <c r="AB53" s="14" t="s">
        <v>3384</v>
      </c>
      <c r="AC53" s="14" t="s">
        <v>3385</v>
      </c>
      <c r="AD53" s="14" t="s">
        <v>3386</v>
      </c>
      <c r="AE53" s="14" t="s">
        <v>3387</v>
      </c>
      <c r="AF53" s="14" t="s">
        <v>99</v>
      </c>
      <c r="AG53" s="14">
        <v>38.0</v>
      </c>
      <c r="AH53" s="14">
        <v>1042.0</v>
      </c>
      <c r="AI53" s="14">
        <v>1174.0</v>
      </c>
      <c r="AJ53" s="14">
        <v>24.0</v>
      </c>
      <c r="AK53" s="14">
        <v>798.0</v>
      </c>
      <c r="AL53" s="14" t="s">
        <v>788</v>
      </c>
      <c r="AM53" s="14" t="s">
        <v>789</v>
      </c>
      <c r="AN53" s="14" t="s">
        <v>790</v>
      </c>
      <c r="AO53" s="14" t="s">
        <v>791</v>
      </c>
      <c r="AP53" s="14" t="s">
        <v>792</v>
      </c>
      <c r="AQ53" s="14" t="s">
        <v>99</v>
      </c>
      <c r="AR53" s="14" t="s">
        <v>793</v>
      </c>
      <c r="AS53" s="14" t="s">
        <v>794</v>
      </c>
      <c r="AT53" s="14" t="s">
        <v>3388</v>
      </c>
      <c r="AU53" s="14">
        <v>2014.0</v>
      </c>
      <c r="AV53" s="14">
        <v>111.0</v>
      </c>
      <c r="AW53" s="14">
        <v>9.0</v>
      </c>
      <c r="AX53" s="14" t="s">
        <v>99</v>
      </c>
      <c r="AY53" s="14" t="s">
        <v>99</v>
      </c>
      <c r="AZ53" s="14" t="s">
        <v>99</v>
      </c>
      <c r="BA53" s="14" t="s">
        <v>99</v>
      </c>
      <c r="BB53" s="14">
        <v>3251.0</v>
      </c>
      <c r="BC53" s="14">
        <v>3256.0</v>
      </c>
      <c r="BD53" s="14" t="s">
        <v>99</v>
      </c>
      <c r="BE53" s="14" t="s">
        <v>3389</v>
      </c>
      <c r="BF53" s="15" t="str">
        <f>HYPERLINK("http://dx.doi.org/10.1073/pnas.1222475110","http://dx.doi.org/10.1073/pnas.1222475110")</f>
        <v>http://dx.doi.org/10.1073/pnas.1222475110</v>
      </c>
      <c r="BG53" s="14" t="s">
        <v>99</v>
      </c>
      <c r="BH53" s="14" t="s">
        <v>99</v>
      </c>
      <c r="BI53" s="14">
        <v>6.0</v>
      </c>
      <c r="BJ53" s="14" t="s">
        <v>799</v>
      </c>
      <c r="BK53" s="14" t="s">
        <v>122</v>
      </c>
      <c r="BL53" s="14" t="s">
        <v>801</v>
      </c>
      <c r="BM53" s="14" t="s">
        <v>3390</v>
      </c>
      <c r="BN53" s="14">
        <v>2.4344275E7</v>
      </c>
      <c r="BO53" s="14" t="s">
        <v>373</v>
      </c>
      <c r="BP53" s="14" t="s">
        <v>99</v>
      </c>
      <c r="BQ53" s="14" t="s">
        <v>99</v>
      </c>
      <c r="BR53" s="14" t="s">
        <v>124</v>
      </c>
      <c r="BS53" s="14" t="s">
        <v>3391</v>
      </c>
      <c r="BT53" s="14" t="str">
        <f>HYPERLINK("https%3A%2F%2Fwww.webofscience.com%2Fwos%2Fwoscc%2Ffull-record%2FWOS:000332560300026","View Full Record in Web of Science")</f>
        <v>View Full Record in Web of Science</v>
      </c>
    </row>
    <row r="54" ht="12.75" customHeight="1">
      <c r="A54" s="14" t="s">
        <v>97</v>
      </c>
      <c r="B54" s="14" t="s">
        <v>3497</v>
      </c>
      <c r="C54" s="14" t="s">
        <v>99</v>
      </c>
      <c r="D54" s="14" t="s">
        <v>99</v>
      </c>
      <c r="E54" s="14" t="s">
        <v>99</v>
      </c>
      <c r="F54" s="14" t="s">
        <v>3498</v>
      </c>
      <c r="G54" s="14" t="s">
        <v>99</v>
      </c>
      <c r="H54" s="14" t="s">
        <v>99</v>
      </c>
      <c r="I54" s="14" t="s">
        <v>3499</v>
      </c>
      <c r="J54" s="14" t="s">
        <v>1020</v>
      </c>
      <c r="K54" s="14" t="s">
        <v>99</v>
      </c>
      <c r="L54" s="14" t="s">
        <v>99</v>
      </c>
      <c r="M54" s="14" t="s">
        <v>103</v>
      </c>
      <c r="N54" s="14" t="s">
        <v>104</v>
      </c>
      <c r="O54" s="14" t="s">
        <v>99</v>
      </c>
      <c r="P54" s="14" t="s">
        <v>99</v>
      </c>
      <c r="Q54" s="14" t="s">
        <v>99</v>
      </c>
      <c r="R54" s="14" t="s">
        <v>99</v>
      </c>
      <c r="S54" s="14" t="s">
        <v>99</v>
      </c>
      <c r="T54" s="14" t="s">
        <v>3500</v>
      </c>
      <c r="U54" s="14" t="s">
        <v>3501</v>
      </c>
      <c r="V54" s="14" t="s">
        <v>3502</v>
      </c>
      <c r="W54" s="14" t="s">
        <v>3503</v>
      </c>
      <c r="X54" s="14" t="s">
        <v>3504</v>
      </c>
      <c r="Y54" s="14" t="s">
        <v>3505</v>
      </c>
      <c r="Z54" s="14" t="s">
        <v>3506</v>
      </c>
      <c r="AA54" s="14" t="s">
        <v>3507</v>
      </c>
      <c r="AB54" s="14" t="s">
        <v>3508</v>
      </c>
      <c r="AC54" s="14" t="s">
        <v>99</v>
      </c>
      <c r="AD54" s="14" t="s">
        <v>99</v>
      </c>
      <c r="AE54" s="14" t="s">
        <v>99</v>
      </c>
      <c r="AF54" s="14" t="s">
        <v>99</v>
      </c>
      <c r="AG54" s="14">
        <v>170.0</v>
      </c>
      <c r="AH54" s="14">
        <v>179.0</v>
      </c>
      <c r="AI54" s="14">
        <v>206.0</v>
      </c>
      <c r="AJ54" s="14">
        <v>3.0</v>
      </c>
      <c r="AK54" s="14">
        <v>175.0</v>
      </c>
      <c r="AL54" s="14" t="s">
        <v>441</v>
      </c>
      <c r="AM54" s="14" t="s">
        <v>442</v>
      </c>
      <c r="AN54" s="14" t="s">
        <v>443</v>
      </c>
      <c r="AO54" s="14" t="s">
        <v>1035</v>
      </c>
      <c r="AP54" s="14" t="s">
        <v>1036</v>
      </c>
      <c r="AQ54" s="14" t="s">
        <v>99</v>
      </c>
      <c r="AR54" s="14" t="s">
        <v>1037</v>
      </c>
      <c r="AS54" s="14" t="s">
        <v>1038</v>
      </c>
      <c r="AT54" s="14" t="s">
        <v>2857</v>
      </c>
      <c r="AU54" s="14">
        <v>2014.0</v>
      </c>
      <c r="AV54" s="14">
        <v>468.0</v>
      </c>
      <c r="AW54" s="14" t="s">
        <v>99</v>
      </c>
      <c r="AX54" s="14" t="s">
        <v>99</v>
      </c>
      <c r="AY54" s="14" t="s">
        <v>99</v>
      </c>
      <c r="AZ54" s="14" t="s">
        <v>99</v>
      </c>
      <c r="BA54" s="14" t="s">
        <v>99</v>
      </c>
      <c r="BB54" s="14">
        <v>1187.0</v>
      </c>
      <c r="BC54" s="14">
        <v>1197.0</v>
      </c>
      <c r="BD54" s="14" t="s">
        <v>99</v>
      </c>
      <c r="BE54" s="14" t="s">
        <v>3509</v>
      </c>
      <c r="BF54" s="15" t="str">
        <f>HYPERLINK("http://dx.doi.org/10.1016/j.scitotenv.2013.05.057","http://dx.doi.org/10.1016/j.scitotenv.2013.05.057")</f>
        <v>http://dx.doi.org/10.1016/j.scitotenv.2013.05.057</v>
      </c>
      <c r="BG54" s="14" t="s">
        <v>99</v>
      </c>
      <c r="BH54" s="14" t="s">
        <v>99</v>
      </c>
      <c r="BI54" s="14">
        <v>11.0</v>
      </c>
      <c r="BJ54" s="14" t="s">
        <v>1041</v>
      </c>
      <c r="BK54" s="14" t="s">
        <v>800</v>
      </c>
      <c r="BL54" s="14" t="s">
        <v>260</v>
      </c>
      <c r="BM54" s="14" t="s">
        <v>3510</v>
      </c>
      <c r="BN54" s="14">
        <v>2.3815978E7</v>
      </c>
      <c r="BO54" s="14" t="s">
        <v>99</v>
      </c>
      <c r="BP54" s="14" t="s">
        <v>99</v>
      </c>
      <c r="BQ54" s="14" t="s">
        <v>99</v>
      </c>
      <c r="BR54" s="14" t="s">
        <v>124</v>
      </c>
      <c r="BS54" s="14" t="s">
        <v>3511</v>
      </c>
      <c r="BT54" s="14" t="str">
        <f>HYPERLINK("https%3A%2F%2Fwww.webofscience.com%2Fwos%2Fwoscc%2Ffull-record%2FWOS:000331776000125","View Full Record in Web of Science")</f>
        <v>View Full Record in Web of Science</v>
      </c>
    </row>
    <row r="55" ht="12.75" customHeight="1">
      <c r="A55" s="14" t="s">
        <v>97</v>
      </c>
      <c r="B55" s="14" t="s">
        <v>3512</v>
      </c>
      <c r="C55" s="14" t="s">
        <v>99</v>
      </c>
      <c r="D55" s="14" t="s">
        <v>99</v>
      </c>
      <c r="E55" s="14" t="s">
        <v>99</v>
      </c>
      <c r="F55" s="14" t="s">
        <v>3513</v>
      </c>
      <c r="G55" s="14" t="s">
        <v>99</v>
      </c>
      <c r="H55" s="14" t="s">
        <v>99</v>
      </c>
      <c r="I55" s="14" t="s">
        <v>3514</v>
      </c>
      <c r="J55" s="14" t="s">
        <v>378</v>
      </c>
      <c r="K55" s="14" t="s">
        <v>99</v>
      </c>
      <c r="L55" s="14" t="s">
        <v>99</v>
      </c>
      <c r="M55" s="14" t="s">
        <v>103</v>
      </c>
      <c r="N55" s="14" t="s">
        <v>104</v>
      </c>
      <c r="O55" s="14" t="s">
        <v>99</v>
      </c>
      <c r="P55" s="14" t="s">
        <v>99</v>
      </c>
      <c r="Q55" s="14" t="s">
        <v>99</v>
      </c>
      <c r="R55" s="14" t="s">
        <v>99</v>
      </c>
      <c r="S55" s="14" t="s">
        <v>99</v>
      </c>
      <c r="T55" s="14" t="s">
        <v>3515</v>
      </c>
      <c r="U55" s="14" t="s">
        <v>3516</v>
      </c>
      <c r="V55" s="14" t="s">
        <v>3517</v>
      </c>
      <c r="W55" s="14" t="s">
        <v>3518</v>
      </c>
      <c r="X55" s="14" t="s">
        <v>3519</v>
      </c>
      <c r="Y55" s="14" t="s">
        <v>3520</v>
      </c>
      <c r="Z55" s="14" t="s">
        <v>3521</v>
      </c>
      <c r="AA55" s="14" t="s">
        <v>3522</v>
      </c>
      <c r="AB55" s="14" t="s">
        <v>3523</v>
      </c>
      <c r="AC55" s="14" t="s">
        <v>3524</v>
      </c>
      <c r="AD55" s="14" t="s">
        <v>3525</v>
      </c>
      <c r="AE55" s="14" t="s">
        <v>3526</v>
      </c>
      <c r="AF55" s="14" t="s">
        <v>99</v>
      </c>
      <c r="AG55" s="14">
        <v>51.0</v>
      </c>
      <c r="AH55" s="14">
        <v>22.0</v>
      </c>
      <c r="AI55" s="14">
        <v>24.0</v>
      </c>
      <c r="AJ55" s="14">
        <v>1.0</v>
      </c>
      <c r="AK55" s="14">
        <v>15.0</v>
      </c>
      <c r="AL55" s="14" t="s">
        <v>388</v>
      </c>
      <c r="AM55" s="14" t="s">
        <v>389</v>
      </c>
      <c r="AN55" s="14" t="s">
        <v>390</v>
      </c>
      <c r="AO55" s="14" t="s">
        <v>99</v>
      </c>
      <c r="AP55" s="14" t="s">
        <v>391</v>
      </c>
      <c r="AQ55" s="14" t="s">
        <v>99</v>
      </c>
      <c r="AR55" s="14" t="s">
        <v>392</v>
      </c>
      <c r="AS55" s="14" t="s">
        <v>393</v>
      </c>
      <c r="AT55" s="14" t="s">
        <v>99</v>
      </c>
      <c r="AU55" s="14">
        <v>2014.0</v>
      </c>
      <c r="AV55" s="14">
        <v>1.0</v>
      </c>
      <c r="AW55" s="14" t="s">
        <v>99</v>
      </c>
      <c r="AX55" s="14" t="s">
        <v>99</v>
      </c>
      <c r="AY55" s="14" t="s">
        <v>99</v>
      </c>
      <c r="AZ55" s="14" t="s">
        <v>99</v>
      </c>
      <c r="BA55" s="14" t="s">
        <v>99</v>
      </c>
      <c r="BB55" s="14" t="s">
        <v>99</v>
      </c>
      <c r="BC55" s="14" t="s">
        <v>99</v>
      </c>
      <c r="BD55" s="14">
        <v>4.0</v>
      </c>
      <c r="BE55" s="14" t="s">
        <v>3527</v>
      </c>
      <c r="BF55" s="15" t="str">
        <f>HYPERLINK("http://dx.doi.org/10.3389/fmars.2014.00004","http://dx.doi.org/10.3389/fmars.2014.00004")</f>
        <v>http://dx.doi.org/10.3389/fmars.2014.00004</v>
      </c>
      <c r="BG55" s="14" t="s">
        <v>99</v>
      </c>
      <c r="BH55" s="14" t="s">
        <v>99</v>
      </c>
      <c r="BI55" s="14">
        <v>6.0</v>
      </c>
      <c r="BJ55" s="14" t="s">
        <v>396</v>
      </c>
      <c r="BK55" s="14" t="s">
        <v>122</v>
      </c>
      <c r="BL55" s="14" t="s">
        <v>397</v>
      </c>
      <c r="BM55" s="14" t="s">
        <v>3528</v>
      </c>
      <c r="BN55" s="14" t="s">
        <v>99</v>
      </c>
      <c r="BO55" s="14" t="s">
        <v>1251</v>
      </c>
      <c r="BP55" s="14" t="s">
        <v>99</v>
      </c>
      <c r="BQ55" s="14" t="s">
        <v>99</v>
      </c>
      <c r="BR55" s="14" t="s">
        <v>124</v>
      </c>
      <c r="BS55" s="14" t="s">
        <v>3529</v>
      </c>
      <c r="BT55" s="14" t="str">
        <f>HYPERLINK("https%3A%2F%2Fwww.webofscience.com%2Fwos%2Fwoscc%2Ffull-record%2FWOS:000485310600004","View Full Record in Web of Science")</f>
        <v>View Full Record in Web of Science</v>
      </c>
    </row>
    <row r="56" ht="12.75" customHeight="1">
      <c r="A56" s="14" t="s">
        <v>97</v>
      </c>
      <c r="B56" s="14" t="s">
        <v>3530</v>
      </c>
      <c r="C56" s="14" t="s">
        <v>99</v>
      </c>
      <c r="D56" s="14" t="s">
        <v>99</v>
      </c>
      <c r="E56" s="14" t="s">
        <v>99</v>
      </c>
      <c r="F56" s="14" t="s">
        <v>3531</v>
      </c>
      <c r="G56" s="14" t="s">
        <v>99</v>
      </c>
      <c r="H56" s="14" t="s">
        <v>99</v>
      </c>
      <c r="I56" s="14" t="s">
        <v>3532</v>
      </c>
      <c r="J56" s="14" t="s">
        <v>2332</v>
      </c>
      <c r="K56" s="14" t="s">
        <v>99</v>
      </c>
      <c r="L56" s="14" t="s">
        <v>99</v>
      </c>
      <c r="M56" s="14" t="s">
        <v>103</v>
      </c>
      <c r="N56" s="14" t="s">
        <v>104</v>
      </c>
      <c r="O56" s="14" t="s">
        <v>99</v>
      </c>
      <c r="P56" s="14" t="s">
        <v>99</v>
      </c>
      <c r="Q56" s="14" t="s">
        <v>99</v>
      </c>
      <c r="R56" s="14" t="s">
        <v>99</v>
      </c>
      <c r="S56" s="14" t="s">
        <v>99</v>
      </c>
      <c r="T56" s="14" t="s">
        <v>3533</v>
      </c>
      <c r="U56" s="14" t="s">
        <v>3534</v>
      </c>
      <c r="V56" s="14" t="s">
        <v>3535</v>
      </c>
      <c r="W56" s="14" t="s">
        <v>3536</v>
      </c>
      <c r="X56" s="14" t="s">
        <v>3537</v>
      </c>
      <c r="Y56" s="14" t="s">
        <v>3538</v>
      </c>
      <c r="Z56" s="14" t="s">
        <v>3539</v>
      </c>
      <c r="AA56" s="14" t="s">
        <v>3540</v>
      </c>
      <c r="AB56" s="14" t="s">
        <v>3541</v>
      </c>
      <c r="AC56" s="14" t="s">
        <v>3542</v>
      </c>
      <c r="AD56" s="14" t="s">
        <v>3543</v>
      </c>
      <c r="AE56" s="14" t="s">
        <v>3544</v>
      </c>
      <c r="AF56" s="14" t="s">
        <v>99</v>
      </c>
      <c r="AG56" s="14">
        <v>53.0</v>
      </c>
      <c r="AH56" s="14">
        <v>280.0</v>
      </c>
      <c r="AI56" s="14">
        <v>309.0</v>
      </c>
      <c r="AJ56" s="14">
        <v>3.0</v>
      </c>
      <c r="AK56" s="14">
        <v>227.0</v>
      </c>
      <c r="AL56" s="14" t="s">
        <v>493</v>
      </c>
      <c r="AM56" s="14" t="s">
        <v>494</v>
      </c>
      <c r="AN56" s="14" t="s">
        <v>495</v>
      </c>
      <c r="AO56" s="14" t="s">
        <v>2345</v>
      </c>
      <c r="AP56" s="14" t="s">
        <v>2346</v>
      </c>
      <c r="AQ56" s="14" t="s">
        <v>99</v>
      </c>
      <c r="AR56" s="14" t="s">
        <v>2347</v>
      </c>
      <c r="AS56" s="14" t="s">
        <v>2348</v>
      </c>
      <c r="AT56" s="14" t="s">
        <v>935</v>
      </c>
      <c r="AU56" s="14">
        <v>2014.0</v>
      </c>
      <c r="AV56" s="14">
        <v>24.0</v>
      </c>
      <c r="AW56" s="14" t="s">
        <v>99</v>
      </c>
      <c r="AX56" s="14" t="s">
        <v>99</v>
      </c>
      <c r="AY56" s="14" t="s">
        <v>99</v>
      </c>
      <c r="AZ56" s="14" t="s">
        <v>99</v>
      </c>
      <c r="BA56" s="14" t="s">
        <v>99</v>
      </c>
      <c r="BB56" s="14">
        <v>52.0</v>
      </c>
      <c r="BC56" s="14">
        <v>59.0</v>
      </c>
      <c r="BD56" s="14" t="s">
        <v>99</v>
      </c>
      <c r="BE56" s="14" t="s">
        <v>3545</v>
      </c>
      <c r="BF56" s="15" t="str">
        <f>HYPERLINK("http://dx.doi.org/10.1016/j.gloenvcha.2013.09.008","http://dx.doi.org/10.1016/j.gloenvcha.2013.09.008")</f>
        <v>http://dx.doi.org/10.1016/j.gloenvcha.2013.09.008</v>
      </c>
      <c r="BG56" s="14" t="s">
        <v>99</v>
      </c>
      <c r="BH56" s="14" t="s">
        <v>99</v>
      </c>
      <c r="BI56" s="14">
        <v>8.0</v>
      </c>
      <c r="BJ56" s="14" t="s">
        <v>2350</v>
      </c>
      <c r="BK56" s="14" t="s">
        <v>800</v>
      </c>
      <c r="BL56" s="14" t="s">
        <v>2351</v>
      </c>
      <c r="BM56" s="14" t="s">
        <v>3546</v>
      </c>
      <c r="BN56" s="14" t="s">
        <v>99</v>
      </c>
      <c r="BO56" s="14" t="s">
        <v>99</v>
      </c>
      <c r="BP56" s="14" t="s">
        <v>99</v>
      </c>
      <c r="BQ56" s="14" t="s">
        <v>99</v>
      </c>
      <c r="BR56" s="14" t="s">
        <v>124</v>
      </c>
      <c r="BS56" s="14" t="s">
        <v>3547</v>
      </c>
      <c r="BT56" s="14" t="str">
        <f>HYPERLINK("https%3A%2F%2Fwww.webofscience.com%2Fwos%2Fwoscc%2Ffull-record%2FWOS:000333506100007","View Full Record in Web of Science")</f>
        <v>View Full Record in Web of Science</v>
      </c>
    </row>
    <row r="57" ht="12.75" customHeight="1">
      <c r="A57" s="14" t="s">
        <v>97</v>
      </c>
      <c r="B57" s="14" t="s">
        <v>3691</v>
      </c>
      <c r="C57" s="14" t="s">
        <v>99</v>
      </c>
      <c r="D57" s="14" t="s">
        <v>99</v>
      </c>
      <c r="E57" s="14" t="s">
        <v>99</v>
      </c>
      <c r="F57" s="14" t="s">
        <v>3692</v>
      </c>
      <c r="G57" s="14" t="s">
        <v>99</v>
      </c>
      <c r="H57" s="14" t="s">
        <v>99</v>
      </c>
      <c r="I57" s="14" t="s">
        <v>3693</v>
      </c>
      <c r="J57" s="14" t="s">
        <v>2793</v>
      </c>
      <c r="K57" s="14" t="s">
        <v>99</v>
      </c>
      <c r="L57" s="14" t="s">
        <v>99</v>
      </c>
      <c r="M57" s="14" t="s">
        <v>103</v>
      </c>
      <c r="N57" s="14" t="s">
        <v>104</v>
      </c>
      <c r="O57" s="14" t="s">
        <v>99</v>
      </c>
      <c r="P57" s="14" t="s">
        <v>99</v>
      </c>
      <c r="Q57" s="14" t="s">
        <v>99</v>
      </c>
      <c r="R57" s="14" t="s">
        <v>99</v>
      </c>
      <c r="S57" s="14" t="s">
        <v>99</v>
      </c>
      <c r="T57" s="14" t="s">
        <v>99</v>
      </c>
      <c r="U57" s="14" t="s">
        <v>3694</v>
      </c>
      <c r="V57" s="14" t="s">
        <v>3695</v>
      </c>
      <c r="W57" s="14" t="s">
        <v>3696</v>
      </c>
      <c r="X57" s="14" t="s">
        <v>3697</v>
      </c>
      <c r="Y57" s="14" t="s">
        <v>3698</v>
      </c>
      <c r="Z57" s="14" t="s">
        <v>3699</v>
      </c>
      <c r="AA57" s="14" t="s">
        <v>3700</v>
      </c>
      <c r="AB57" s="14" t="s">
        <v>3701</v>
      </c>
      <c r="AC57" s="14" t="s">
        <v>3702</v>
      </c>
      <c r="AD57" s="14" t="s">
        <v>3703</v>
      </c>
      <c r="AE57" s="14" t="s">
        <v>3704</v>
      </c>
      <c r="AF57" s="14" t="s">
        <v>99</v>
      </c>
      <c r="AG57" s="14">
        <v>29.0</v>
      </c>
      <c r="AH57" s="14">
        <v>95.0</v>
      </c>
      <c r="AI57" s="14">
        <v>108.0</v>
      </c>
      <c r="AJ57" s="14">
        <v>2.0</v>
      </c>
      <c r="AK57" s="14">
        <v>124.0</v>
      </c>
      <c r="AL57" s="14" t="s">
        <v>1326</v>
      </c>
      <c r="AM57" s="14" t="s">
        <v>274</v>
      </c>
      <c r="AN57" s="14" t="s">
        <v>1327</v>
      </c>
      <c r="AO57" s="14" t="s">
        <v>2805</v>
      </c>
      <c r="AP57" s="14" t="s">
        <v>2806</v>
      </c>
      <c r="AQ57" s="14" t="s">
        <v>99</v>
      </c>
      <c r="AR57" s="14" t="s">
        <v>2807</v>
      </c>
      <c r="AS57" s="14" t="s">
        <v>2808</v>
      </c>
      <c r="AT57" s="14" t="s">
        <v>348</v>
      </c>
      <c r="AU57" s="14">
        <v>2013.0</v>
      </c>
      <c r="AV57" s="14">
        <v>3.0</v>
      </c>
      <c r="AW57" s="14">
        <v>11.0</v>
      </c>
      <c r="AX57" s="14" t="s">
        <v>99</v>
      </c>
      <c r="AY57" s="14" t="s">
        <v>99</v>
      </c>
      <c r="AZ57" s="14" t="s">
        <v>99</v>
      </c>
      <c r="BA57" s="14" t="s">
        <v>99</v>
      </c>
      <c r="BB57" s="14">
        <v>975.0</v>
      </c>
      <c r="BC57" s="14">
        <v>978.0</v>
      </c>
      <c r="BD57" s="14" t="s">
        <v>99</v>
      </c>
      <c r="BE57" s="14" t="s">
        <v>3705</v>
      </c>
      <c r="BF57" s="15" t="str">
        <f>HYPERLINK("http://dx.doi.org/10.1038/NCLIMATE1981","http://dx.doi.org/10.1038/NCLIMATE1981")</f>
        <v>http://dx.doi.org/10.1038/NCLIMATE1981</v>
      </c>
      <c r="BG57" s="14" t="s">
        <v>99</v>
      </c>
      <c r="BH57" s="14" t="s">
        <v>99</v>
      </c>
      <c r="BI57" s="14">
        <v>4.0</v>
      </c>
      <c r="BJ57" s="14" t="s">
        <v>2810</v>
      </c>
      <c r="BK57" s="14" t="s">
        <v>800</v>
      </c>
      <c r="BL57" s="14" t="s">
        <v>574</v>
      </c>
      <c r="BM57" s="14" t="s">
        <v>3706</v>
      </c>
      <c r="BN57" s="14" t="s">
        <v>99</v>
      </c>
      <c r="BO57" s="14" t="s">
        <v>425</v>
      </c>
      <c r="BP57" s="14" t="s">
        <v>99</v>
      </c>
      <c r="BQ57" s="14" t="s">
        <v>99</v>
      </c>
      <c r="BR57" s="14" t="s">
        <v>124</v>
      </c>
      <c r="BS57" s="14" t="s">
        <v>3707</v>
      </c>
      <c r="BT57" s="14" t="str">
        <f>HYPERLINK("https%3A%2F%2Fwww.webofscience.com%2Fwos%2Fwoscc%2Ffull-record%2FWOS:000330125100016","View Full Record in Web of Science")</f>
        <v>View Full Record in Web of Science</v>
      </c>
    </row>
    <row r="58" ht="12.75" customHeight="1">
      <c r="A58" s="14" t="s">
        <v>97</v>
      </c>
      <c r="B58" s="14" t="s">
        <v>3920</v>
      </c>
      <c r="C58" s="14" t="s">
        <v>99</v>
      </c>
      <c r="D58" s="14" t="s">
        <v>99</v>
      </c>
      <c r="E58" s="14" t="s">
        <v>99</v>
      </c>
      <c r="F58" s="14" t="s">
        <v>3921</v>
      </c>
      <c r="G58" s="14" t="s">
        <v>99</v>
      </c>
      <c r="H58" s="14" t="s">
        <v>99</v>
      </c>
      <c r="I58" s="14" t="s">
        <v>3922</v>
      </c>
      <c r="J58" s="14" t="s">
        <v>776</v>
      </c>
      <c r="K58" s="14" t="s">
        <v>99</v>
      </c>
      <c r="L58" s="14" t="s">
        <v>99</v>
      </c>
      <c r="M58" s="14" t="s">
        <v>103</v>
      </c>
      <c r="N58" s="14" t="s">
        <v>104</v>
      </c>
      <c r="O58" s="14" t="s">
        <v>99</v>
      </c>
      <c r="P58" s="14" t="s">
        <v>99</v>
      </c>
      <c r="Q58" s="14" t="s">
        <v>99</v>
      </c>
      <c r="R58" s="14" t="s">
        <v>99</v>
      </c>
      <c r="S58" s="14" t="s">
        <v>99</v>
      </c>
      <c r="T58" s="14" t="s">
        <v>3923</v>
      </c>
      <c r="U58" s="14" t="s">
        <v>3924</v>
      </c>
      <c r="V58" s="14" t="s">
        <v>3925</v>
      </c>
      <c r="W58" s="14" t="s">
        <v>3926</v>
      </c>
      <c r="X58" s="14" t="s">
        <v>3927</v>
      </c>
      <c r="Y58" s="14" t="s">
        <v>3928</v>
      </c>
      <c r="Z58" s="14" t="s">
        <v>3929</v>
      </c>
      <c r="AA58" s="14" t="s">
        <v>3930</v>
      </c>
      <c r="AB58" s="14" t="s">
        <v>3931</v>
      </c>
      <c r="AC58" s="14" t="s">
        <v>3932</v>
      </c>
      <c r="AD58" s="14" t="s">
        <v>3933</v>
      </c>
      <c r="AE58" s="14" t="s">
        <v>3934</v>
      </c>
      <c r="AF58" s="14" t="s">
        <v>99</v>
      </c>
      <c r="AG58" s="14">
        <v>40.0</v>
      </c>
      <c r="AH58" s="14">
        <v>605.0</v>
      </c>
      <c r="AI58" s="14">
        <v>689.0</v>
      </c>
      <c r="AJ58" s="14">
        <v>2.0</v>
      </c>
      <c r="AK58" s="14">
        <v>436.0</v>
      </c>
      <c r="AL58" s="14" t="s">
        <v>788</v>
      </c>
      <c r="AM58" s="14" t="s">
        <v>789</v>
      </c>
      <c r="AN58" s="14" t="s">
        <v>790</v>
      </c>
      <c r="AO58" s="14" t="s">
        <v>791</v>
      </c>
      <c r="AP58" s="14" t="s">
        <v>99</v>
      </c>
      <c r="AQ58" s="14" t="s">
        <v>99</v>
      </c>
      <c r="AR58" s="14" t="s">
        <v>793</v>
      </c>
      <c r="AS58" s="14" t="s">
        <v>794</v>
      </c>
      <c r="AT58" s="14" t="s">
        <v>3935</v>
      </c>
      <c r="AU58" s="14">
        <v>2013.0</v>
      </c>
      <c r="AV58" s="14">
        <v>110.0</v>
      </c>
      <c r="AW58" s="14">
        <v>27.0</v>
      </c>
      <c r="AX58" s="14" t="s">
        <v>99</v>
      </c>
      <c r="AY58" s="14" t="s">
        <v>99</v>
      </c>
      <c r="AZ58" s="14" t="s">
        <v>99</v>
      </c>
      <c r="BA58" s="14" t="s">
        <v>99</v>
      </c>
      <c r="BB58" s="14">
        <v>11039.0</v>
      </c>
      <c r="BC58" s="14">
        <v>11043.0</v>
      </c>
      <c r="BD58" s="14" t="s">
        <v>99</v>
      </c>
      <c r="BE58" s="14" t="s">
        <v>3936</v>
      </c>
      <c r="BF58" s="15" t="str">
        <f>HYPERLINK("http://dx.doi.org/10.1073/pnas.1305618110","http://dx.doi.org/10.1073/pnas.1305618110")</f>
        <v>http://dx.doi.org/10.1073/pnas.1305618110</v>
      </c>
      <c r="BG58" s="14" t="s">
        <v>99</v>
      </c>
      <c r="BH58" s="14" t="s">
        <v>99</v>
      </c>
      <c r="BI58" s="14">
        <v>5.0</v>
      </c>
      <c r="BJ58" s="14" t="s">
        <v>799</v>
      </c>
      <c r="BK58" s="14" t="s">
        <v>122</v>
      </c>
      <c r="BL58" s="14" t="s">
        <v>801</v>
      </c>
      <c r="BM58" s="14" t="s">
        <v>3937</v>
      </c>
      <c r="BN58" s="14">
        <v>2.3776226E7</v>
      </c>
      <c r="BO58" s="14" t="s">
        <v>99</v>
      </c>
      <c r="BP58" s="14" t="s">
        <v>99</v>
      </c>
      <c r="BQ58" s="14" t="s">
        <v>99</v>
      </c>
      <c r="BR58" s="14" t="s">
        <v>124</v>
      </c>
      <c r="BS58" s="14" t="s">
        <v>3938</v>
      </c>
      <c r="BT58" s="14" t="str">
        <f>HYPERLINK("https%3A%2F%2Fwww.webofscience.com%2Fwos%2Fwoscc%2Ffull-record%2FWOS:000321978000046","View Full Record in Web of Science")</f>
        <v>View Full Record in Web of Science</v>
      </c>
    </row>
    <row r="59" ht="12.75" customHeight="1">
      <c r="A59" s="14" t="s">
        <v>97</v>
      </c>
      <c r="B59" s="14" t="s">
        <v>3974</v>
      </c>
      <c r="C59" s="14" t="s">
        <v>99</v>
      </c>
      <c r="D59" s="14" t="s">
        <v>99</v>
      </c>
      <c r="E59" s="14" t="s">
        <v>99</v>
      </c>
      <c r="F59" s="14" t="s">
        <v>3975</v>
      </c>
      <c r="G59" s="14" t="s">
        <v>99</v>
      </c>
      <c r="H59" s="14" t="s">
        <v>99</v>
      </c>
      <c r="I59" s="14" t="s">
        <v>3976</v>
      </c>
      <c r="J59" s="14" t="s">
        <v>776</v>
      </c>
      <c r="K59" s="14" t="s">
        <v>99</v>
      </c>
      <c r="L59" s="14" t="s">
        <v>99</v>
      </c>
      <c r="M59" s="14" t="s">
        <v>103</v>
      </c>
      <c r="N59" s="14" t="s">
        <v>104</v>
      </c>
      <c r="O59" s="14" t="s">
        <v>99</v>
      </c>
      <c r="P59" s="14" t="s">
        <v>99</v>
      </c>
      <c r="Q59" s="14" t="s">
        <v>99</v>
      </c>
      <c r="R59" s="14" t="s">
        <v>99</v>
      </c>
      <c r="S59" s="14" t="s">
        <v>99</v>
      </c>
      <c r="T59" s="14" t="s">
        <v>3977</v>
      </c>
      <c r="U59" s="14" t="s">
        <v>3978</v>
      </c>
      <c r="V59" s="14" t="s">
        <v>3979</v>
      </c>
      <c r="W59" s="14" t="s">
        <v>3980</v>
      </c>
      <c r="X59" s="14" t="s">
        <v>3981</v>
      </c>
      <c r="Y59" s="14" t="s">
        <v>3982</v>
      </c>
      <c r="Z59" s="14" t="s">
        <v>3983</v>
      </c>
      <c r="AA59" s="14" t="s">
        <v>3984</v>
      </c>
      <c r="AB59" s="14" t="s">
        <v>3985</v>
      </c>
      <c r="AC59" s="14" t="s">
        <v>3986</v>
      </c>
      <c r="AD59" s="14" t="s">
        <v>3987</v>
      </c>
      <c r="AE59" s="14" t="s">
        <v>3988</v>
      </c>
      <c r="AF59" s="14" t="s">
        <v>99</v>
      </c>
      <c r="AG59" s="14">
        <v>40.0</v>
      </c>
      <c r="AH59" s="14">
        <v>450.0</v>
      </c>
      <c r="AI59" s="14">
        <v>527.0</v>
      </c>
      <c r="AJ59" s="14">
        <v>3.0</v>
      </c>
      <c r="AK59" s="14">
        <v>397.0</v>
      </c>
      <c r="AL59" s="14" t="s">
        <v>788</v>
      </c>
      <c r="AM59" s="14" t="s">
        <v>789</v>
      </c>
      <c r="AN59" s="14" t="s">
        <v>790</v>
      </c>
      <c r="AO59" s="14" t="s">
        <v>791</v>
      </c>
      <c r="AP59" s="14" t="s">
        <v>99</v>
      </c>
      <c r="AQ59" s="14" t="s">
        <v>99</v>
      </c>
      <c r="AR59" s="14" t="s">
        <v>793</v>
      </c>
      <c r="AS59" s="14" t="s">
        <v>794</v>
      </c>
      <c r="AT59" s="14" t="s">
        <v>3989</v>
      </c>
      <c r="AU59" s="14">
        <v>2013.0</v>
      </c>
      <c r="AV59" s="14">
        <v>110.0</v>
      </c>
      <c r="AW59" s="14">
        <v>25.0</v>
      </c>
      <c r="AX59" s="14" t="s">
        <v>99</v>
      </c>
      <c r="AY59" s="14" t="s">
        <v>99</v>
      </c>
      <c r="AZ59" s="14" t="s">
        <v>99</v>
      </c>
      <c r="BA59" s="14" t="s">
        <v>99</v>
      </c>
      <c r="BB59" s="14">
        <v>10324.0</v>
      </c>
      <c r="BC59" s="14">
        <v>10329.0</v>
      </c>
      <c r="BD59" s="14" t="s">
        <v>99</v>
      </c>
      <c r="BE59" s="14" t="s">
        <v>3990</v>
      </c>
      <c r="BF59" s="15" t="str">
        <f>HYPERLINK("http://dx.doi.org/10.1073/pnas.1211349110","http://dx.doi.org/10.1073/pnas.1211349110")</f>
        <v>http://dx.doi.org/10.1073/pnas.1211349110</v>
      </c>
      <c r="BG59" s="14" t="s">
        <v>99</v>
      </c>
      <c r="BH59" s="14" t="s">
        <v>99</v>
      </c>
      <c r="BI59" s="14">
        <v>6.0</v>
      </c>
      <c r="BJ59" s="14" t="s">
        <v>799</v>
      </c>
      <c r="BK59" s="14" t="s">
        <v>122</v>
      </c>
      <c r="BL59" s="14" t="s">
        <v>801</v>
      </c>
      <c r="BM59" s="14" t="s">
        <v>3991</v>
      </c>
      <c r="BN59" s="14">
        <v>2.373394E7</v>
      </c>
      <c r="BO59" s="14" t="s">
        <v>373</v>
      </c>
      <c r="BP59" s="14" t="s">
        <v>99</v>
      </c>
      <c r="BQ59" s="14" t="s">
        <v>99</v>
      </c>
      <c r="BR59" s="14" t="s">
        <v>124</v>
      </c>
      <c r="BS59" s="14" t="s">
        <v>3992</v>
      </c>
      <c r="BT59" s="14" t="str">
        <f>HYPERLINK("https%3A%2F%2Fwww.webofscience.com%2Fwos%2Fwoscc%2Ffull-record%2FWOS:000321500200066","View Full Record in Web of Science")</f>
        <v>View Full Record in Web of Science</v>
      </c>
    </row>
    <row r="60" ht="12.75" customHeight="1">
      <c r="A60" s="14" t="s">
        <v>97</v>
      </c>
      <c r="B60" s="14" t="s">
        <v>4169</v>
      </c>
      <c r="C60" s="14" t="s">
        <v>99</v>
      </c>
      <c r="D60" s="14" t="s">
        <v>99</v>
      </c>
      <c r="E60" s="14" t="s">
        <v>99</v>
      </c>
      <c r="F60" s="14" t="s">
        <v>4170</v>
      </c>
      <c r="G60" s="14" t="s">
        <v>99</v>
      </c>
      <c r="H60" s="14" t="s">
        <v>99</v>
      </c>
      <c r="I60" s="14" t="s">
        <v>4171</v>
      </c>
      <c r="J60" s="14" t="s">
        <v>2500</v>
      </c>
      <c r="K60" s="14" t="s">
        <v>99</v>
      </c>
      <c r="L60" s="14" t="s">
        <v>99</v>
      </c>
      <c r="M60" s="14" t="s">
        <v>103</v>
      </c>
      <c r="N60" s="14" t="s">
        <v>104</v>
      </c>
      <c r="O60" s="14" t="s">
        <v>99</v>
      </c>
      <c r="P60" s="14" t="s">
        <v>99</v>
      </c>
      <c r="Q60" s="14" t="s">
        <v>99</v>
      </c>
      <c r="R60" s="14" t="s">
        <v>99</v>
      </c>
      <c r="S60" s="14" t="s">
        <v>99</v>
      </c>
      <c r="T60" s="14" t="s">
        <v>99</v>
      </c>
      <c r="U60" s="14" t="s">
        <v>4172</v>
      </c>
      <c r="V60" s="14" t="s">
        <v>4173</v>
      </c>
      <c r="W60" s="14" t="s">
        <v>4174</v>
      </c>
      <c r="X60" s="14" t="s">
        <v>4175</v>
      </c>
      <c r="Y60" s="14" t="s">
        <v>4176</v>
      </c>
      <c r="Z60" s="14" t="s">
        <v>4177</v>
      </c>
      <c r="AA60" s="14" t="s">
        <v>4178</v>
      </c>
      <c r="AB60" s="14" t="s">
        <v>4179</v>
      </c>
      <c r="AC60" s="14" t="s">
        <v>4180</v>
      </c>
      <c r="AD60" s="14" t="s">
        <v>4181</v>
      </c>
      <c r="AE60" s="14" t="s">
        <v>4182</v>
      </c>
      <c r="AF60" s="14" t="s">
        <v>99</v>
      </c>
      <c r="AG60" s="14">
        <v>73.0</v>
      </c>
      <c r="AH60" s="14">
        <v>352.0</v>
      </c>
      <c r="AI60" s="14">
        <v>409.0</v>
      </c>
      <c r="AJ60" s="14">
        <v>7.0</v>
      </c>
      <c r="AK60" s="14">
        <v>299.0</v>
      </c>
      <c r="AL60" s="14" t="s">
        <v>2512</v>
      </c>
      <c r="AM60" s="14" t="s">
        <v>2513</v>
      </c>
      <c r="AN60" s="14" t="s">
        <v>2514</v>
      </c>
      <c r="AO60" s="14" t="s">
        <v>2515</v>
      </c>
      <c r="AP60" s="14" t="s">
        <v>99</v>
      </c>
      <c r="AQ60" s="14" t="s">
        <v>99</v>
      </c>
      <c r="AR60" s="14" t="s">
        <v>2500</v>
      </c>
      <c r="AS60" s="14" t="s">
        <v>2516</v>
      </c>
      <c r="AT60" s="14" t="s">
        <v>4183</v>
      </c>
      <c r="AU60" s="14">
        <v>2013.0</v>
      </c>
      <c r="AV60" s="14">
        <v>8.0</v>
      </c>
      <c r="AW60" s="14">
        <v>5.0</v>
      </c>
      <c r="AX60" s="14" t="s">
        <v>99</v>
      </c>
      <c r="AY60" s="14" t="s">
        <v>99</v>
      </c>
      <c r="AZ60" s="14" t="s">
        <v>99</v>
      </c>
      <c r="BA60" s="14" t="s">
        <v>99</v>
      </c>
      <c r="BB60" s="14" t="s">
        <v>99</v>
      </c>
      <c r="BC60" s="14" t="s">
        <v>99</v>
      </c>
      <c r="BD60" s="14" t="s">
        <v>4184</v>
      </c>
      <c r="BE60" s="14" t="s">
        <v>4185</v>
      </c>
      <c r="BF60" s="15" t="str">
        <f>HYPERLINK("http://dx.doi.org/10.1371/journal.pone.0062374","http://dx.doi.org/10.1371/journal.pone.0062374")</f>
        <v>http://dx.doi.org/10.1371/journal.pone.0062374</v>
      </c>
      <c r="BG60" s="14" t="s">
        <v>99</v>
      </c>
      <c r="BH60" s="14" t="s">
        <v>99</v>
      </c>
      <c r="BI60" s="14">
        <v>10.0</v>
      </c>
      <c r="BJ60" s="14" t="s">
        <v>799</v>
      </c>
      <c r="BK60" s="14" t="s">
        <v>122</v>
      </c>
      <c r="BL60" s="14" t="s">
        <v>801</v>
      </c>
      <c r="BM60" s="14" t="s">
        <v>4186</v>
      </c>
      <c r="BN60" s="14">
        <v>2.3650513E7</v>
      </c>
      <c r="BO60" s="14" t="s">
        <v>1251</v>
      </c>
      <c r="BP60" s="14" t="s">
        <v>99</v>
      </c>
      <c r="BQ60" s="14" t="s">
        <v>99</v>
      </c>
      <c r="BR60" s="14" t="s">
        <v>124</v>
      </c>
      <c r="BS60" s="14" t="s">
        <v>4187</v>
      </c>
      <c r="BT60" s="14" t="str">
        <f>HYPERLINK("https%3A%2F%2Fwww.webofscience.com%2Fwos%2Fwoscc%2Ffull-record%2FWOS:000319167000043","View Full Record in Web of Science")</f>
        <v>View Full Record in Web of Science</v>
      </c>
    </row>
    <row r="61" ht="12.75" customHeight="1">
      <c r="A61" s="14" t="s">
        <v>97</v>
      </c>
      <c r="B61" s="14" t="s">
        <v>4375</v>
      </c>
      <c r="C61" s="14" t="s">
        <v>99</v>
      </c>
      <c r="D61" s="14" t="s">
        <v>99</v>
      </c>
      <c r="E61" s="14" t="s">
        <v>99</v>
      </c>
      <c r="F61" s="14" t="s">
        <v>4376</v>
      </c>
      <c r="G61" s="14" t="s">
        <v>99</v>
      </c>
      <c r="H61" s="14" t="s">
        <v>99</v>
      </c>
      <c r="I61" s="14" t="s">
        <v>4377</v>
      </c>
      <c r="J61" s="14" t="s">
        <v>4378</v>
      </c>
      <c r="K61" s="14" t="s">
        <v>99</v>
      </c>
      <c r="L61" s="14" t="s">
        <v>99</v>
      </c>
      <c r="M61" s="14" t="s">
        <v>103</v>
      </c>
      <c r="N61" s="14" t="s">
        <v>104</v>
      </c>
      <c r="O61" s="14" t="s">
        <v>99</v>
      </c>
      <c r="P61" s="14" t="s">
        <v>99</v>
      </c>
      <c r="Q61" s="14" t="s">
        <v>99</v>
      </c>
      <c r="R61" s="14" t="s">
        <v>99</v>
      </c>
      <c r="S61" s="14" t="s">
        <v>99</v>
      </c>
      <c r="T61" s="14" t="s">
        <v>99</v>
      </c>
      <c r="U61" s="14" t="s">
        <v>99</v>
      </c>
      <c r="V61" s="14" t="s">
        <v>99</v>
      </c>
      <c r="W61" s="14" t="s">
        <v>4379</v>
      </c>
      <c r="X61" s="14" t="s">
        <v>4380</v>
      </c>
      <c r="Y61" s="14" t="s">
        <v>4381</v>
      </c>
      <c r="Z61" s="14" t="s">
        <v>99</v>
      </c>
      <c r="AA61" s="14" t="s">
        <v>4382</v>
      </c>
      <c r="AB61" s="14" t="s">
        <v>99</v>
      </c>
      <c r="AC61" s="14" t="s">
        <v>99</v>
      </c>
      <c r="AD61" s="14" t="s">
        <v>99</v>
      </c>
      <c r="AE61" s="14" t="s">
        <v>99</v>
      </c>
      <c r="AF61" s="14" t="s">
        <v>99</v>
      </c>
      <c r="AG61" s="14">
        <v>35.0</v>
      </c>
      <c r="AH61" s="14">
        <v>84.0</v>
      </c>
      <c r="AI61" s="14">
        <v>96.0</v>
      </c>
      <c r="AJ61" s="14">
        <v>0.0</v>
      </c>
      <c r="AK61" s="14">
        <v>48.0</v>
      </c>
      <c r="AL61" s="14" t="s">
        <v>341</v>
      </c>
      <c r="AM61" s="14" t="s">
        <v>342</v>
      </c>
      <c r="AN61" s="14" t="s">
        <v>343</v>
      </c>
      <c r="AO61" s="14" t="s">
        <v>4383</v>
      </c>
      <c r="AP61" s="14" t="s">
        <v>4384</v>
      </c>
      <c r="AQ61" s="14" t="s">
        <v>99</v>
      </c>
      <c r="AR61" s="14" t="s">
        <v>4385</v>
      </c>
      <c r="AS61" s="14" t="s">
        <v>4386</v>
      </c>
      <c r="AT61" s="14" t="s">
        <v>280</v>
      </c>
      <c r="AU61" s="14">
        <v>2013.0</v>
      </c>
      <c r="AV61" s="14">
        <v>38.0</v>
      </c>
      <c r="AW61" s="14" t="s">
        <v>99</v>
      </c>
      <c r="AX61" s="14" t="s">
        <v>99</v>
      </c>
      <c r="AY61" s="14">
        <v>1.0</v>
      </c>
      <c r="AZ61" s="14" t="s">
        <v>99</v>
      </c>
      <c r="BA61" s="14" t="s">
        <v>99</v>
      </c>
      <c r="BB61" s="14">
        <v>221.0</v>
      </c>
      <c r="BC61" s="14">
        <v>242.0</v>
      </c>
      <c r="BD61" s="14" t="s">
        <v>99</v>
      </c>
      <c r="BE61" s="14" t="s">
        <v>4387</v>
      </c>
      <c r="BF61" s="15" t="str">
        <f>HYPERLINK("http://dx.doi.org/10.1111/j.1728-4457.2013.00561.x","http://dx.doi.org/10.1111/j.1728-4457.2013.00561.x")</f>
        <v>http://dx.doi.org/10.1111/j.1728-4457.2013.00561.x</v>
      </c>
      <c r="BG61" s="14" t="s">
        <v>99</v>
      </c>
      <c r="BH61" s="14" t="s">
        <v>99</v>
      </c>
      <c r="BI61" s="14">
        <v>22.0</v>
      </c>
      <c r="BJ61" s="14" t="s">
        <v>4388</v>
      </c>
      <c r="BK61" s="14" t="s">
        <v>643</v>
      </c>
      <c r="BL61" s="14" t="s">
        <v>4388</v>
      </c>
      <c r="BM61" s="14" t="s">
        <v>4389</v>
      </c>
      <c r="BN61" s="14" t="s">
        <v>99</v>
      </c>
      <c r="BO61" s="14" t="s">
        <v>99</v>
      </c>
      <c r="BP61" s="14" t="s">
        <v>99</v>
      </c>
      <c r="BQ61" s="14" t="s">
        <v>99</v>
      </c>
      <c r="BR61" s="14" t="s">
        <v>124</v>
      </c>
      <c r="BS61" s="14" t="s">
        <v>4390</v>
      </c>
      <c r="BT61" s="14" t="str">
        <f>HYPERLINK("https%3A%2F%2Fwww.webofscience.com%2Fwos%2Fwoscc%2Ffull-record%2FWOS:000315224500015","View Full Record in Web of Science")</f>
        <v>View Full Record in Web of Science</v>
      </c>
    </row>
    <row r="62" ht="12.75" customHeight="1">
      <c r="A62" s="14" t="s">
        <v>97</v>
      </c>
      <c r="B62" s="14" t="s">
        <v>4469</v>
      </c>
      <c r="C62" s="14" t="s">
        <v>99</v>
      </c>
      <c r="D62" s="14" t="s">
        <v>99</v>
      </c>
      <c r="E62" s="14" t="s">
        <v>99</v>
      </c>
      <c r="F62" s="14" t="s">
        <v>4470</v>
      </c>
      <c r="G62" s="14" t="s">
        <v>99</v>
      </c>
      <c r="H62" s="14" t="s">
        <v>99</v>
      </c>
      <c r="I62" s="14" t="s">
        <v>4471</v>
      </c>
      <c r="J62" s="14" t="s">
        <v>556</v>
      </c>
      <c r="K62" s="14" t="s">
        <v>99</v>
      </c>
      <c r="L62" s="14" t="s">
        <v>99</v>
      </c>
      <c r="M62" s="14" t="s">
        <v>103</v>
      </c>
      <c r="N62" s="14" t="s">
        <v>104</v>
      </c>
      <c r="O62" s="14" t="s">
        <v>99</v>
      </c>
      <c r="P62" s="14" t="s">
        <v>99</v>
      </c>
      <c r="Q62" s="14" t="s">
        <v>99</v>
      </c>
      <c r="R62" s="14" t="s">
        <v>99</v>
      </c>
      <c r="S62" s="14" t="s">
        <v>99</v>
      </c>
      <c r="T62" s="14" t="s">
        <v>4472</v>
      </c>
      <c r="U62" s="14" t="s">
        <v>4473</v>
      </c>
      <c r="V62" s="14" t="s">
        <v>4474</v>
      </c>
      <c r="W62" s="14" t="s">
        <v>4475</v>
      </c>
      <c r="X62" s="14" t="s">
        <v>4476</v>
      </c>
      <c r="Y62" s="14" t="s">
        <v>4477</v>
      </c>
      <c r="Z62" s="14" t="s">
        <v>4478</v>
      </c>
      <c r="AA62" s="14" t="s">
        <v>4479</v>
      </c>
      <c r="AB62" s="14" t="s">
        <v>4480</v>
      </c>
      <c r="AC62" s="14" t="s">
        <v>4481</v>
      </c>
      <c r="AD62" s="14" t="s">
        <v>4482</v>
      </c>
      <c r="AE62" s="14" t="s">
        <v>4483</v>
      </c>
      <c r="AF62" s="14" t="s">
        <v>99</v>
      </c>
      <c r="AG62" s="14">
        <v>33.0</v>
      </c>
      <c r="AH62" s="14">
        <v>426.0</v>
      </c>
      <c r="AI62" s="14">
        <v>462.0</v>
      </c>
      <c r="AJ62" s="14">
        <v>1.0</v>
      </c>
      <c r="AK62" s="14">
        <v>238.0</v>
      </c>
      <c r="AL62" s="14" t="s">
        <v>566</v>
      </c>
      <c r="AM62" s="14" t="s">
        <v>567</v>
      </c>
      <c r="AN62" s="14" t="s">
        <v>568</v>
      </c>
      <c r="AO62" s="14" t="s">
        <v>569</v>
      </c>
      <c r="AP62" s="14" t="s">
        <v>99</v>
      </c>
      <c r="AQ62" s="14" t="s">
        <v>99</v>
      </c>
      <c r="AR62" s="14" t="s">
        <v>570</v>
      </c>
      <c r="AS62" s="14" t="s">
        <v>571</v>
      </c>
      <c r="AT62" s="14" t="s">
        <v>4484</v>
      </c>
      <c r="AU62" s="14">
        <v>2013.0</v>
      </c>
      <c r="AV62" s="14">
        <v>8.0</v>
      </c>
      <c r="AW62" s="14">
        <v>1.0</v>
      </c>
      <c r="AX62" s="14" t="s">
        <v>99</v>
      </c>
      <c r="AY62" s="14" t="s">
        <v>99</v>
      </c>
      <c r="AZ62" s="14" t="s">
        <v>99</v>
      </c>
      <c r="BA62" s="14" t="s">
        <v>99</v>
      </c>
      <c r="BB62" s="14" t="s">
        <v>99</v>
      </c>
      <c r="BC62" s="14" t="s">
        <v>99</v>
      </c>
      <c r="BD62" s="14">
        <v>14003.0</v>
      </c>
      <c r="BE62" s="14" t="s">
        <v>4485</v>
      </c>
      <c r="BF62" s="15" t="str">
        <f>HYPERLINK("http://dx.doi.org/10.1088/1748-9326/8/1/014003","http://dx.doi.org/10.1088/1748-9326/8/1/014003")</f>
        <v>http://dx.doi.org/10.1088/1748-9326/8/1/014003</v>
      </c>
      <c r="BG62" s="14" t="s">
        <v>99</v>
      </c>
      <c r="BH62" s="14" t="s">
        <v>99</v>
      </c>
      <c r="BI62" s="14">
        <v>6.0</v>
      </c>
      <c r="BJ62" s="14" t="s">
        <v>573</v>
      </c>
      <c r="BK62" s="14" t="s">
        <v>122</v>
      </c>
      <c r="BL62" s="14" t="s">
        <v>574</v>
      </c>
      <c r="BM62" s="14" t="s">
        <v>4486</v>
      </c>
      <c r="BN62" s="14" t="s">
        <v>99</v>
      </c>
      <c r="BO62" s="14" t="s">
        <v>1251</v>
      </c>
      <c r="BP62" s="14" t="s">
        <v>99</v>
      </c>
      <c r="BQ62" s="14" t="s">
        <v>99</v>
      </c>
      <c r="BR62" s="14" t="s">
        <v>124</v>
      </c>
      <c r="BS62" s="14" t="s">
        <v>4487</v>
      </c>
      <c r="BT62" s="14" t="str">
        <f>HYPERLINK("https%3A%2F%2Fwww.webofscience.com%2Fwos%2Fwoscc%2Ffull-record%2FWOS:000316998300011","View Full Record in Web of Science")</f>
        <v>View Full Record in Web of Science</v>
      </c>
    </row>
    <row r="63" ht="12.75" customHeight="1">
      <c r="A63" s="14" t="s">
        <v>97</v>
      </c>
      <c r="B63" s="14" t="s">
        <v>4592</v>
      </c>
      <c r="C63" s="14" t="s">
        <v>99</v>
      </c>
      <c r="D63" s="14" t="s">
        <v>99</v>
      </c>
      <c r="E63" s="14" t="s">
        <v>99</v>
      </c>
      <c r="F63" s="14" t="s">
        <v>4593</v>
      </c>
      <c r="G63" s="14" t="s">
        <v>99</v>
      </c>
      <c r="H63" s="14" t="s">
        <v>99</v>
      </c>
      <c r="I63" s="14" t="s">
        <v>4594</v>
      </c>
      <c r="J63" s="14" t="s">
        <v>2793</v>
      </c>
      <c r="K63" s="14" t="s">
        <v>99</v>
      </c>
      <c r="L63" s="14" t="s">
        <v>99</v>
      </c>
      <c r="M63" s="14" t="s">
        <v>103</v>
      </c>
      <c r="N63" s="14" t="s">
        <v>104</v>
      </c>
      <c r="O63" s="14" t="s">
        <v>99</v>
      </c>
      <c r="P63" s="14" t="s">
        <v>99</v>
      </c>
      <c r="Q63" s="14" t="s">
        <v>99</v>
      </c>
      <c r="R63" s="14" t="s">
        <v>99</v>
      </c>
      <c r="S63" s="14" t="s">
        <v>99</v>
      </c>
      <c r="T63" s="14" t="s">
        <v>99</v>
      </c>
      <c r="U63" s="14" t="s">
        <v>4595</v>
      </c>
      <c r="V63" s="14" t="s">
        <v>4596</v>
      </c>
      <c r="W63" s="14" t="s">
        <v>4597</v>
      </c>
      <c r="X63" s="14" t="s">
        <v>4598</v>
      </c>
      <c r="Y63" s="14" t="s">
        <v>4599</v>
      </c>
      <c r="Z63" s="14" t="s">
        <v>4600</v>
      </c>
      <c r="AA63" s="14" t="s">
        <v>99</v>
      </c>
      <c r="AB63" s="14" t="s">
        <v>4601</v>
      </c>
      <c r="AC63" s="14" t="s">
        <v>4602</v>
      </c>
      <c r="AD63" s="14" t="s">
        <v>4602</v>
      </c>
      <c r="AE63" s="14" t="s">
        <v>4603</v>
      </c>
      <c r="AF63" s="14" t="s">
        <v>99</v>
      </c>
      <c r="AG63" s="14">
        <v>30.0</v>
      </c>
      <c r="AH63" s="14">
        <v>584.0</v>
      </c>
      <c r="AI63" s="14">
        <v>650.0</v>
      </c>
      <c r="AJ63" s="14">
        <v>0.0</v>
      </c>
      <c r="AK63" s="14">
        <v>309.0</v>
      </c>
      <c r="AL63" s="14" t="s">
        <v>1326</v>
      </c>
      <c r="AM63" s="14" t="s">
        <v>274</v>
      </c>
      <c r="AN63" s="14" t="s">
        <v>1327</v>
      </c>
      <c r="AO63" s="14" t="s">
        <v>2805</v>
      </c>
      <c r="AP63" s="14" t="s">
        <v>2806</v>
      </c>
      <c r="AQ63" s="14" t="s">
        <v>99</v>
      </c>
      <c r="AR63" s="14" t="s">
        <v>2807</v>
      </c>
      <c r="AS63" s="14" t="s">
        <v>2808</v>
      </c>
      <c r="AT63" s="14" t="s">
        <v>1058</v>
      </c>
      <c r="AU63" s="14">
        <v>2012.0</v>
      </c>
      <c r="AV63" s="14">
        <v>2.0</v>
      </c>
      <c r="AW63" s="14">
        <v>12.0</v>
      </c>
      <c r="AX63" s="14" t="s">
        <v>99</v>
      </c>
      <c r="AY63" s="14" t="s">
        <v>99</v>
      </c>
      <c r="AZ63" s="14" t="s">
        <v>99</v>
      </c>
      <c r="BA63" s="14" t="s">
        <v>99</v>
      </c>
      <c r="BB63" s="14">
        <v>884.0</v>
      </c>
      <c r="BC63" s="14">
        <v>888.0</v>
      </c>
      <c r="BD63" s="14" t="s">
        <v>99</v>
      </c>
      <c r="BE63" s="14" t="s">
        <v>4604</v>
      </c>
      <c r="BF63" s="15" t="str">
        <f>HYPERLINK("http://dx.doi.org/10.1038/NCLIMATE1597","http://dx.doi.org/10.1038/NCLIMATE1597")</f>
        <v>http://dx.doi.org/10.1038/NCLIMATE1597</v>
      </c>
      <c r="BG63" s="14" t="s">
        <v>99</v>
      </c>
      <c r="BH63" s="14" t="s">
        <v>99</v>
      </c>
      <c r="BI63" s="14">
        <v>5.0</v>
      </c>
      <c r="BJ63" s="14" t="s">
        <v>2810</v>
      </c>
      <c r="BK63" s="14" t="s">
        <v>800</v>
      </c>
      <c r="BL63" s="14" t="s">
        <v>574</v>
      </c>
      <c r="BM63" s="14" t="s">
        <v>4605</v>
      </c>
      <c r="BN63" s="14" t="s">
        <v>99</v>
      </c>
      <c r="BO63" s="14" t="s">
        <v>99</v>
      </c>
      <c r="BP63" s="14" t="s">
        <v>99</v>
      </c>
      <c r="BQ63" s="14" t="s">
        <v>99</v>
      </c>
      <c r="BR63" s="14" t="s">
        <v>124</v>
      </c>
      <c r="BS63" s="14" t="s">
        <v>4606</v>
      </c>
      <c r="BT63" s="14" t="str">
        <f>HYPERLINK("https%3A%2F%2Fwww.webofscience.com%2Fwos%2Fwoscc%2Ffull-record%2FWOS:000312433700023","View Full Record in Web of Science")</f>
        <v>View Full Record in Web of Science</v>
      </c>
    </row>
    <row r="64" ht="12.75" customHeight="1">
      <c r="A64" s="14" t="s">
        <v>97</v>
      </c>
      <c r="B64" s="14" t="s">
        <v>4631</v>
      </c>
      <c r="C64" s="14" t="s">
        <v>99</v>
      </c>
      <c r="D64" s="14" t="s">
        <v>99</v>
      </c>
      <c r="E64" s="14" t="s">
        <v>99</v>
      </c>
      <c r="F64" s="14" t="s">
        <v>4632</v>
      </c>
      <c r="G64" s="14" t="s">
        <v>99</v>
      </c>
      <c r="H64" s="14" t="s">
        <v>99</v>
      </c>
      <c r="I64" s="14" t="s">
        <v>4633</v>
      </c>
      <c r="J64" s="14" t="s">
        <v>4634</v>
      </c>
      <c r="K64" s="14" t="s">
        <v>99</v>
      </c>
      <c r="L64" s="14" t="s">
        <v>99</v>
      </c>
      <c r="M64" s="14" t="s">
        <v>103</v>
      </c>
      <c r="N64" s="14" t="s">
        <v>104</v>
      </c>
      <c r="O64" s="14" t="s">
        <v>99</v>
      </c>
      <c r="P64" s="14" t="s">
        <v>99</v>
      </c>
      <c r="Q64" s="14" t="s">
        <v>99</v>
      </c>
      <c r="R64" s="14" t="s">
        <v>99</v>
      </c>
      <c r="S64" s="14" t="s">
        <v>99</v>
      </c>
      <c r="T64" s="14" t="s">
        <v>4635</v>
      </c>
      <c r="U64" s="14" t="s">
        <v>4636</v>
      </c>
      <c r="V64" s="14" t="s">
        <v>4637</v>
      </c>
      <c r="W64" s="14" t="s">
        <v>4638</v>
      </c>
      <c r="X64" s="14" t="s">
        <v>4639</v>
      </c>
      <c r="Y64" s="14" t="s">
        <v>4640</v>
      </c>
      <c r="Z64" s="14" t="s">
        <v>4641</v>
      </c>
      <c r="AA64" s="14" t="s">
        <v>4642</v>
      </c>
      <c r="AB64" s="14" t="s">
        <v>4643</v>
      </c>
      <c r="AC64" s="14" t="s">
        <v>4644</v>
      </c>
      <c r="AD64" s="14" t="s">
        <v>4645</v>
      </c>
      <c r="AE64" s="14" t="s">
        <v>4646</v>
      </c>
      <c r="AF64" s="14" t="s">
        <v>99</v>
      </c>
      <c r="AG64" s="14">
        <v>31.0</v>
      </c>
      <c r="AH64" s="14">
        <v>135.0</v>
      </c>
      <c r="AI64" s="14">
        <v>160.0</v>
      </c>
      <c r="AJ64" s="14">
        <v>0.0</v>
      </c>
      <c r="AK64" s="14">
        <v>109.0</v>
      </c>
      <c r="AL64" s="14" t="s">
        <v>341</v>
      </c>
      <c r="AM64" s="14" t="s">
        <v>342</v>
      </c>
      <c r="AN64" s="14" t="s">
        <v>343</v>
      </c>
      <c r="AO64" s="14" t="s">
        <v>4647</v>
      </c>
      <c r="AP64" s="14" t="s">
        <v>4648</v>
      </c>
      <c r="AQ64" s="14" t="s">
        <v>99</v>
      </c>
      <c r="AR64" s="14" t="s">
        <v>4649</v>
      </c>
      <c r="AS64" s="14" t="s">
        <v>4650</v>
      </c>
      <c r="AT64" s="14" t="s">
        <v>348</v>
      </c>
      <c r="AU64" s="14">
        <v>2012.0</v>
      </c>
      <c r="AV64" s="14">
        <v>4.0</v>
      </c>
      <c r="AW64" s="14">
        <v>6.0</v>
      </c>
      <c r="AX64" s="14" t="s">
        <v>99</v>
      </c>
      <c r="AY64" s="14" t="s">
        <v>99</v>
      </c>
      <c r="AZ64" s="14" t="s">
        <v>99</v>
      </c>
      <c r="BA64" s="14" t="s">
        <v>99</v>
      </c>
      <c r="BB64" s="14">
        <v>908.0</v>
      </c>
      <c r="BC64" s="14">
        <v>918.0</v>
      </c>
      <c r="BD64" s="14" t="s">
        <v>99</v>
      </c>
      <c r="BE64" s="14" t="s">
        <v>4651</v>
      </c>
      <c r="BF64" s="15" t="str">
        <f>HYPERLINK("http://dx.doi.org/10.1111/j.1757-1707.2012.01172.x","http://dx.doi.org/10.1111/j.1757-1707.2012.01172.x")</f>
        <v>http://dx.doi.org/10.1111/j.1757-1707.2012.01172.x</v>
      </c>
      <c r="BG64" s="14" t="s">
        <v>99</v>
      </c>
      <c r="BH64" s="14" t="s">
        <v>99</v>
      </c>
      <c r="BI64" s="14">
        <v>11.0</v>
      </c>
      <c r="BJ64" s="14" t="s">
        <v>4652</v>
      </c>
      <c r="BK64" s="14" t="s">
        <v>122</v>
      </c>
      <c r="BL64" s="14" t="s">
        <v>4653</v>
      </c>
      <c r="BM64" s="14" t="s">
        <v>4654</v>
      </c>
      <c r="BN64" s="14" t="s">
        <v>99</v>
      </c>
      <c r="BO64" s="14" t="s">
        <v>1118</v>
      </c>
      <c r="BP64" s="14" t="s">
        <v>99</v>
      </c>
      <c r="BQ64" s="14" t="s">
        <v>99</v>
      </c>
      <c r="BR64" s="14" t="s">
        <v>124</v>
      </c>
      <c r="BS64" s="14" t="s">
        <v>4655</v>
      </c>
      <c r="BT64" s="14" t="str">
        <f>HYPERLINK("https%3A%2F%2Fwww.webofscience.com%2Fwos%2Fwoscc%2Ffull-record%2FWOS:000309450100028","View Full Record in Web of Science")</f>
        <v>View Full Record in Web of Science</v>
      </c>
    </row>
    <row r="65" ht="12.75" customHeight="1">
      <c r="A65" s="14" t="s">
        <v>97</v>
      </c>
      <c r="B65" s="14" t="s">
        <v>4672</v>
      </c>
      <c r="C65" s="14" t="s">
        <v>99</v>
      </c>
      <c r="D65" s="14" t="s">
        <v>99</v>
      </c>
      <c r="E65" s="14" t="s">
        <v>99</v>
      </c>
      <c r="F65" s="14" t="s">
        <v>4673</v>
      </c>
      <c r="G65" s="14" t="s">
        <v>99</v>
      </c>
      <c r="H65" s="14" t="s">
        <v>99</v>
      </c>
      <c r="I65" s="14" t="s">
        <v>4674</v>
      </c>
      <c r="J65" s="14" t="s">
        <v>556</v>
      </c>
      <c r="K65" s="14" t="s">
        <v>99</v>
      </c>
      <c r="L65" s="14" t="s">
        <v>99</v>
      </c>
      <c r="M65" s="14" t="s">
        <v>103</v>
      </c>
      <c r="N65" s="14" t="s">
        <v>104</v>
      </c>
      <c r="O65" s="14" t="s">
        <v>99</v>
      </c>
      <c r="P65" s="14" t="s">
        <v>99</v>
      </c>
      <c r="Q65" s="14" t="s">
        <v>99</v>
      </c>
      <c r="R65" s="14" t="s">
        <v>99</v>
      </c>
      <c r="S65" s="14" t="s">
        <v>99</v>
      </c>
      <c r="T65" s="14" t="s">
        <v>4675</v>
      </c>
      <c r="U65" s="14" t="s">
        <v>4676</v>
      </c>
      <c r="V65" s="14" t="s">
        <v>4677</v>
      </c>
      <c r="W65" s="14" t="s">
        <v>4678</v>
      </c>
      <c r="X65" s="14" t="s">
        <v>4679</v>
      </c>
      <c r="Y65" s="14" t="s">
        <v>99</v>
      </c>
      <c r="Z65" s="14" t="s">
        <v>4680</v>
      </c>
      <c r="AA65" s="14" t="s">
        <v>4681</v>
      </c>
      <c r="AB65" s="14" t="s">
        <v>4682</v>
      </c>
      <c r="AC65" s="14" t="s">
        <v>4683</v>
      </c>
      <c r="AD65" s="14" t="s">
        <v>4684</v>
      </c>
      <c r="AE65" s="14" t="s">
        <v>4685</v>
      </c>
      <c r="AF65" s="14" t="s">
        <v>99</v>
      </c>
      <c r="AG65" s="14">
        <v>25.0</v>
      </c>
      <c r="AH65" s="14">
        <v>845.0</v>
      </c>
      <c r="AI65" s="14">
        <v>1024.0</v>
      </c>
      <c r="AJ65" s="14">
        <v>6.0</v>
      </c>
      <c r="AK65" s="14">
        <v>384.0</v>
      </c>
      <c r="AL65" s="14" t="s">
        <v>2493</v>
      </c>
      <c r="AM65" s="14" t="s">
        <v>567</v>
      </c>
      <c r="AN65" s="14" t="s">
        <v>568</v>
      </c>
      <c r="AO65" s="14" t="s">
        <v>569</v>
      </c>
      <c r="AP65" s="14" t="s">
        <v>99</v>
      </c>
      <c r="AQ65" s="14" t="s">
        <v>99</v>
      </c>
      <c r="AR65" s="14" t="s">
        <v>570</v>
      </c>
      <c r="AS65" s="14" t="s">
        <v>571</v>
      </c>
      <c r="AT65" s="14" t="s">
        <v>145</v>
      </c>
      <c r="AU65" s="14">
        <v>2012.0</v>
      </c>
      <c r="AV65" s="14">
        <v>7.0</v>
      </c>
      <c r="AW65" s="14">
        <v>4.0</v>
      </c>
      <c r="AX65" s="14" t="s">
        <v>99</v>
      </c>
      <c r="AY65" s="14" t="s">
        <v>99</v>
      </c>
      <c r="AZ65" s="14" t="s">
        <v>99</v>
      </c>
      <c r="BA65" s="14" t="s">
        <v>99</v>
      </c>
      <c r="BB65" s="14" t="s">
        <v>99</v>
      </c>
      <c r="BC65" s="14" t="s">
        <v>99</v>
      </c>
      <c r="BD65" s="14">
        <v>44009.0</v>
      </c>
      <c r="BE65" s="14" t="s">
        <v>4686</v>
      </c>
      <c r="BF65" s="15" t="str">
        <f>HYPERLINK("http://dx.doi.org/10.1088/1748-9326/7/4/044009","http://dx.doi.org/10.1088/1748-9326/7/4/044009")</f>
        <v>http://dx.doi.org/10.1088/1748-9326/7/4/044009</v>
      </c>
      <c r="BG65" s="14" t="s">
        <v>99</v>
      </c>
      <c r="BH65" s="14" t="s">
        <v>99</v>
      </c>
      <c r="BI65" s="14">
        <v>12.0</v>
      </c>
      <c r="BJ65" s="14" t="s">
        <v>573</v>
      </c>
      <c r="BK65" s="14" t="s">
        <v>800</v>
      </c>
      <c r="BL65" s="14" t="s">
        <v>574</v>
      </c>
      <c r="BM65" s="14" t="s">
        <v>4687</v>
      </c>
      <c r="BN65" s="14" t="s">
        <v>99</v>
      </c>
      <c r="BO65" s="14" t="s">
        <v>1251</v>
      </c>
      <c r="BP65" s="14" t="s">
        <v>99</v>
      </c>
      <c r="BQ65" s="14" t="s">
        <v>99</v>
      </c>
      <c r="BR65" s="14" t="s">
        <v>124</v>
      </c>
      <c r="BS65" s="14" t="s">
        <v>4688</v>
      </c>
      <c r="BT65" s="14" t="str">
        <f>HYPERLINK("https%3A%2F%2Fwww.webofscience.com%2Fwos%2Fwoscc%2Ffull-record%2FWOS:000312696400013","View Full Record in Web of Science")</f>
        <v>View Full Record in Web of Science</v>
      </c>
    </row>
    <row r="66" ht="12.75" customHeight="1">
      <c r="A66" s="14" t="s">
        <v>97</v>
      </c>
      <c r="B66" s="14" t="s">
        <v>4706</v>
      </c>
      <c r="C66" s="14" t="s">
        <v>99</v>
      </c>
      <c r="D66" s="14" t="s">
        <v>99</v>
      </c>
      <c r="E66" s="14" t="s">
        <v>99</v>
      </c>
      <c r="F66" s="14" t="s">
        <v>4707</v>
      </c>
      <c r="G66" s="14" t="s">
        <v>99</v>
      </c>
      <c r="H66" s="14" t="s">
        <v>99</v>
      </c>
      <c r="I66" s="14" t="s">
        <v>4708</v>
      </c>
      <c r="J66" s="14" t="s">
        <v>4709</v>
      </c>
      <c r="K66" s="14" t="s">
        <v>99</v>
      </c>
      <c r="L66" s="14" t="s">
        <v>99</v>
      </c>
      <c r="M66" s="14" t="s">
        <v>103</v>
      </c>
      <c r="N66" s="14" t="s">
        <v>104</v>
      </c>
      <c r="O66" s="14" t="s">
        <v>99</v>
      </c>
      <c r="P66" s="14" t="s">
        <v>99</v>
      </c>
      <c r="Q66" s="14" t="s">
        <v>99</v>
      </c>
      <c r="R66" s="14" t="s">
        <v>99</v>
      </c>
      <c r="S66" s="14" t="s">
        <v>99</v>
      </c>
      <c r="T66" s="14" t="s">
        <v>4710</v>
      </c>
      <c r="U66" s="14" t="s">
        <v>4711</v>
      </c>
      <c r="V66" s="14" t="s">
        <v>4712</v>
      </c>
      <c r="W66" s="14" t="s">
        <v>4713</v>
      </c>
      <c r="X66" s="14" t="s">
        <v>4714</v>
      </c>
      <c r="Y66" s="14" t="s">
        <v>4715</v>
      </c>
      <c r="Z66" s="14" t="s">
        <v>4716</v>
      </c>
      <c r="AA66" s="14" t="s">
        <v>4717</v>
      </c>
      <c r="AB66" s="14" t="s">
        <v>4718</v>
      </c>
      <c r="AC66" s="14" t="s">
        <v>4719</v>
      </c>
      <c r="AD66" s="14" t="s">
        <v>4720</v>
      </c>
      <c r="AE66" s="14" t="s">
        <v>4721</v>
      </c>
      <c r="AF66" s="14" t="s">
        <v>99</v>
      </c>
      <c r="AG66" s="14">
        <v>85.0</v>
      </c>
      <c r="AH66" s="14">
        <v>269.0</v>
      </c>
      <c r="AI66" s="14">
        <v>306.0</v>
      </c>
      <c r="AJ66" s="14">
        <v>7.0</v>
      </c>
      <c r="AK66" s="14">
        <v>270.0</v>
      </c>
      <c r="AL66" s="14" t="s">
        <v>4722</v>
      </c>
      <c r="AM66" s="14" t="s">
        <v>1594</v>
      </c>
      <c r="AN66" s="14" t="s">
        <v>4723</v>
      </c>
      <c r="AO66" s="14" t="s">
        <v>4724</v>
      </c>
      <c r="AP66" s="14" t="s">
        <v>4725</v>
      </c>
      <c r="AQ66" s="14" t="s">
        <v>99</v>
      </c>
      <c r="AR66" s="14" t="s">
        <v>4726</v>
      </c>
      <c r="AS66" s="14" t="s">
        <v>4727</v>
      </c>
      <c r="AT66" s="14" t="s">
        <v>421</v>
      </c>
      <c r="AU66" s="14">
        <v>2012.0</v>
      </c>
      <c r="AV66" s="14">
        <v>124.0</v>
      </c>
      <c r="AW66" s="14" t="s">
        <v>99</v>
      </c>
      <c r="AX66" s="14" t="s">
        <v>99</v>
      </c>
      <c r="AY66" s="14" t="s">
        <v>99</v>
      </c>
      <c r="AZ66" s="14" t="s">
        <v>99</v>
      </c>
      <c r="BA66" s="14" t="s">
        <v>99</v>
      </c>
      <c r="BB66" s="14">
        <v>334.0</v>
      </c>
      <c r="BC66" s="14">
        <v>347.0</v>
      </c>
      <c r="BD66" s="14" t="s">
        <v>99</v>
      </c>
      <c r="BE66" s="14" t="s">
        <v>4728</v>
      </c>
      <c r="BF66" s="15" t="str">
        <f>HYPERLINK("http://dx.doi.org/10.1016/j.rse.2012.05.019","http://dx.doi.org/10.1016/j.rse.2012.05.019")</f>
        <v>http://dx.doi.org/10.1016/j.rse.2012.05.019</v>
      </c>
      <c r="BG66" s="14" t="s">
        <v>99</v>
      </c>
      <c r="BH66" s="14" t="s">
        <v>99</v>
      </c>
      <c r="BI66" s="14">
        <v>14.0</v>
      </c>
      <c r="BJ66" s="14" t="s">
        <v>4729</v>
      </c>
      <c r="BK66" s="14" t="s">
        <v>122</v>
      </c>
      <c r="BL66" s="14" t="s">
        <v>4730</v>
      </c>
      <c r="BM66" s="14" t="s">
        <v>4731</v>
      </c>
      <c r="BN66" s="14" t="s">
        <v>99</v>
      </c>
      <c r="BO66" s="14" t="s">
        <v>425</v>
      </c>
      <c r="BP66" s="14" t="s">
        <v>99</v>
      </c>
      <c r="BQ66" s="14" t="s">
        <v>99</v>
      </c>
      <c r="BR66" s="14" t="s">
        <v>124</v>
      </c>
      <c r="BS66" s="14" t="s">
        <v>4732</v>
      </c>
      <c r="BT66" s="14" t="str">
        <f>HYPERLINK("https%3A%2F%2Fwww.webofscience.com%2Fwos%2Fwoscc%2Ffull-record%2FWOS:000311247700029","View Full Record in Web of Science")</f>
        <v>View Full Record in Web of Science</v>
      </c>
    </row>
    <row r="67" ht="12.75" customHeight="1">
      <c r="A67" s="14" t="s">
        <v>97</v>
      </c>
      <c r="B67" s="14" t="s">
        <v>4927</v>
      </c>
      <c r="C67" s="14" t="s">
        <v>99</v>
      </c>
      <c r="D67" s="14" t="s">
        <v>99</v>
      </c>
      <c r="E67" s="14" t="s">
        <v>99</v>
      </c>
      <c r="F67" s="14" t="s">
        <v>4928</v>
      </c>
      <c r="G67" s="14" t="s">
        <v>99</v>
      </c>
      <c r="H67" s="14" t="s">
        <v>99</v>
      </c>
      <c r="I67" s="14" t="s">
        <v>4929</v>
      </c>
      <c r="J67" s="14" t="s">
        <v>581</v>
      </c>
      <c r="K67" s="14" t="s">
        <v>99</v>
      </c>
      <c r="L67" s="14" t="s">
        <v>99</v>
      </c>
      <c r="M67" s="14" t="s">
        <v>103</v>
      </c>
      <c r="N67" s="14" t="s">
        <v>104</v>
      </c>
      <c r="O67" s="14" t="s">
        <v>99</v>
      </c>
      <c r="P67" s="14" t="s">
        <v>99</v>
      </c>
      <c r="Q67" s="14" t="s">
        <v>99</v>
      </c>
      <c r="R67" s="14" t="s">
        <v>99</v>
      </c>
      <c r="S67" s="14" t="s">
        <v>99</v>
      </c>
      <c r="T67" s="14" t="s">
        <v>4930</v>
      </c>
      <c r="U67" s="14" t="s">
        <v>4931</v>
      </c>
      <c r="V67" s="14" t="s">
        <v>4932</v>
      </c>
      <c r="W67" s="14" t="s">
        <v>4933</v>
      </c>
      <c r="X67" s="14" t="s">
        <v>4934</v>
      </c>
      <c r="Y67" s="14" t="s">
        <v>4935</v>
      </c>
      <c r="Z67" s="14" t="s">
        <v>4936</v>
      </c>
      <c r="AA67" s="14" t="s">
        <v>99</v>
      </c>
      <c r="AB67" s="14" t="s">
        <v>4937</v>
      </c>
      <c r="AC67" s="14" t="s">
        <v>4938</v>
      </c>
      <c r="AD67" s="14" t="s">
        <v>4938</v>
      </c>
      <c r="AE67" s="14" t="s">
        <v>4939</v>
      </c>
      <c r="AF67" s="14" t="s">
        <v>99</v>
      </c>
      <c r="AG67" s="14">
        <v>43.0</v>
      </c>
      <c r="AH67" s="14">
        <v>143.0</v>
      </c>
      <c r="AI67" s="14">
        <v>171.0</v>
      </c>
      <c r="AJ67" s="14">
        <v>1.0</v>
      </c>
      <c r="AK67" s="14">
        <v>70.0</v>
      </c>
      <c r="AL67" s="14" t="s">
        <v>1033</v>
      </c>
      <c r="AM67" s="14" t="s">
        <v>442</v>
      </c>
      <c r="AN67" s="14" t="s">
        <v>1034</v>
      </c>
      <c r="AO67" s="14" t="s">
        <v>593</v>
      </c>
      <c r="AP67" s="14" t="s">
        <v>99</v>
      </c>
      <c r="AQ67" s="14" t="s">
        <v>99</v>
      </c>
      <c r="AR67" s="14" t="s">
        <v>595</v>
      </c>
      <c r="AS67" s="14" t="s">
        <v>596</v>
      </c>
      <c r="AT67" s="14" t="s">
        <v>616</v>
      </c>
      <c r="AU67" s="14">
        <v>2012.0</v>
      </c>
      <c r="AV67" s="14">
        <v>17.0</v>
      </c>
      <c r="AW67" s="14" t="s">
        <v>99</v>
      </c>
      <c r="AX67" s="14" t="s">
        <v>99</v>
      </c>
      <c r="AY67" s="14" t="s">
        <v>99</v>
      </c>
      <c r="AZ67" s="14" t="s">
        <v>1738</v>
      </c>
      <c r="BA67" s="14" t="s">
        <v>99</v>
      </c>
      <c r="BB67" s="14">
        <v>108.0</v>
      </c>
      <c r="BC67" s="14">
        <v>119.0</v>
      </c>
      <c r="BD67" s="14" t="s">
        <v>99</v>
      </c>
      <c r="BE67" s="14" t="s">
        <v>4940</v>
      </c>
      <c r="BF67" s="15" t="str">
        <f>HYPERLINK("http://dx.doi.org/10.1016/j.ecolind.2011.04.023","http://dx.doi.org/10.1016/j.ecolind.2011.04.023")</f>
        <v>http://dx.doi.org/10.1016/j.ecolind.2011.04.023</v>
      </c>
      <c r="BG67" s="14" t="s">
        <v>99</v>
      </c>
      <c r="BH67" s="14" t="s">
        <v>99</v>
      </c>
      <c r="BI67" s="14">
        <v>12.0</v>
      </c>
      <c r="BJ67" s="14" t="s">
        <v>598</v>
      </c>
      <c r="BK67" s="14" t="s">
        <v>122</v>
      </c>
      <c r="BL67" s="14" t="s">
        <v>352</v>
      </c>
      <c r="BM67" s="14" t="s">
        <v>4941</v>
      </c>
      <c r="BN67" s="14" t="s">
        <v>99</v>
      </c>
      <c r="BO67" s="14" t="s">
        <v>99</v>
      </c>
      <c r="BP67" s="14" t="s">
        <v>99</v>
      </c>
      <c r="BQ67" s="14" t="s">
        <v>99</v>
      </c>
      <c r="BR67" s="14" t="s">
        <v>124</v>
      </c>
      <c r="BS67" s="14" t="s">
        <v>4942</v>
      </c>
      <c r="BT67" s="14" t="str">
        <f>HYPERLINK("https%3A%2F%2Fwww.webofscience.com%2Fwos%2Fwoscc%2Ffull-record%2FWOS:000300208400013","View Full Record in Web of Science")</f>
        <v>View Full Record in Web of Science</v>
      </c>
    </row>
    <row r="68" ht="12.75" customHeight="1">
      <c r="A68" s="14" t="s">
        <v>97</v>
      </c>
      <c r="B68" s="14" t="s">
        <v>4998</v>
      </c>
      <c r="C68" s="14" t="s">
        <v>99</v>
      </c>
      <c r="D68" s="14" t="s">
        <v>99</v>
      </c>
      <c r="E68" s="14" t="s">
        <v>99</v>
      </c>
      <c r="F68" s="14" t="s">
        <v>4999</v>
      </c>
      <c r="G68" s="14" t="s">
        <v>99</v>
      </c>
      <c r="H68" s="14" t="s">
        <v>99</v>
      </c>
      <c r="I68" s="14" t="s">
        <v>5000</v>
      </c>
      <c r="J68" s="14" t="s">
        <v>2332</v>
      </c>
      <c r="K68" s="14" t="s">
        <v>99</v>
      </c>
      <c r="L68" s="14" t="s">
        <v>99</v>
      </c>
      <c r="M68" s="14" t="s">
        <v>103</v>
      </c>
      <c r="N68" s="14" t="s">
        <v>104</v>
      </c>
      <c r="O68" s="14" t="s">
        <v>99</v>
      </c>
      <c r="P68" s="14" t="s">
        <v>99</v>
      </c>
      <c r="Q68" s="14" t="s">
        <v>99</v>
      </c>
      <c r="R68" s="14" t="s">
        <v>99</v>
      </c>
      <c r="S68" s="14" t="s">
        <v>99</v>
      </c>
      <c r="T68" s="14" t="s">
        <v>5001</v>
      </c>
      <c r="U68" s="14" t="s">
        <v>5002</v>
      </c>
      <c r="V68" s="14" t="s">
        <v>5003</v>
      </c>
      <c r="W68" s="14" t="s">
        <v>5004</v>
      </c>
      <c r="X68" s="14" t="s">
        <v>5005</v>
      </c>
      <c r="Y68" s="14" t="s">
        <v>5006</v>
      </c>
      <c r="Z68" s="14" t="s">
        <v>5007</v>
      </c>
      <c r="AA68" s="14" t="s">
        <v>5008</v>
      </c>
      <c r="AB68" s="14" t="s">
        <v>5009</v>
      </c>
      <c r="AC68" s="14" t="s">
        <v>5010</v>
      </c>
      <c r="AD68" s="14" t="s">
        <v>5011</v>
      </c>
      <c r="AE68" s="14" t="s">
        <v>5012</v>
      </c>
      <c r="AF68" s="14" t="s">
        <v>99</v>
      </c>
      <c r="AG68" s="14">
        <v>135.0</v>
      </c>
      <c r="AH68" s="14">
        <v>465.0</v>
      </c>
      <c r="AI68" s="14">
        <v>526.0</v>
      </c>
      <c r="AJ68" s="14">
        <v>3.0</v>
      </c>
      <c r="AK68" s="14">
        <v>380.0</v>
      </c>
      <c r="AL68" s="14" t="s">
        <v>493</v>
      </c>
      <c r="AM68" s="14" t="s">
        <v>468</v>
      </c>
      <c r="AN68" s="14" t="s">
        <v>635</v>
      </c>
      <c r="AO68" s="14" t="s">
        <v>2345</v>
      </c>
      <c r="AP68" s="14" t="s">
        <v>2346</v>
      </c>
      <c r="AQ68" s="14" t="s">
        <v>99</v>
      </c>
      <c r="AR68" s="14" t="s">
        <v>2347</v>
      </c>
      <c r="AS68" s="14" t="s">
        <v>2348</v>
      </c>
      <c r="AT68" s="14" t="s">
        <v>640</v>
      </c>
      <c r="AU68" s="14">
        <v>2012.0</v>
      </c>
      <c r="AV68" s="14">
        <v>22.0</v>
      </c>
      <c r="AW68" s="14">
        <v>2.0</v>
      </c>
      <c r="AX68" s="14" t="s">
        <v>99</v>
      </c>
      <c r="AY68" s="14" t="s">
        <v>99</v>
      </c>
      <c r="AZ68" s="14" t="s">
        <v>99</v>
      </c>
      <c r="BA68" s="14" t="s">
        <v>99</v>
      </c>
      <c r="BB68" s="14">
        <v>418.0</v>
      </c>
      <c r="BC68" s="14">
        <v>429.0</v>
      </c>
      <c r="BD68" s="14" t="s">
        <v>99</v>
      </c>
      <c r="BE68" s="14" t="s">
        <v>5013</v>
      </c>
      <c r="BF68" s="15" t="str">
        <f>HYPERLINK("http://dx.doi.org/10.1016/j.gloenvcha.2011.10.009","http://dx.doi.org/10.1016/j.gloenvcha.2011.10.009")</f>
        <v>http://dx.doi.org/10.1016/j.gloenvcha.2011.10.009</v>
      </c>
      <c r="BG68" s="14" t="s">
        <v>99</v>
      </c>
      <c r="BH68" s="14" t="s">
        <v>99</v>
      </c>
      <c r="BI68" s="14">
        <v>12.0</v>
      </c>
      <c r="BJ68" s="14" t="s">
        <v>2350</v>
      </c>
      <c r="BK68" s="14" t="s">
        <v>800</v>
      </c>
      <c r="BL68" s="14" t="s">
        <v>2351</v>
      </c>
      <c r="BM68" s="14" t="s">
        <v>5014</v>
      </c>
      <c r="BN68" s="14" t="s">
        <v>99</v>
      </c>
      <c r="BO68" s="14" t="s">
        <v>5015</v>
      </c>
      <c r="BP68" s="14" t="s">
        <v>99</v>
      </c>
      <c r="BQ68" s="14" t="s">
        <v>99</v>
      </c>
      <c r="BR68" s="14" t="s">
        <v>124</v>
      </c>
      <c r="BS68" s="14" t="s">
        <v>5016</v>
      </c>
      <c r="BT68" s="14" t="str">
        <f>HYPERLINK("https%3A%2F%2Fwww.webofscience.com%2Fwos%2Fwoscc%2Ffull-record%2FWOS:000304290100012","View Full Record in Web of Science")</f>
        <v>View Full Record in Web of Science</v>
      </c>
    </row>
    <row r="69" ht="12.75" customHeight="1">
      <c r="A69" s="14" t="s">
        <v>97</v>
      </c>
      <c r="B69" s="14" t="s">
        <v>5123</v>
      </c>
      <c r="C69" s="14" t="s">
        <v>99</v>
      </c>
      <c r="D69" s="14" t="s">
        <v>99</v>
      </c>
      <c r="E69" s="14" t="s">
        <v>99</v>
      </c>
      <c r="F69" s="14" t="s">
        <v>5124</v>
      </c>
      <c r="G69" s="14" t="s">
        <v>99</v>
      </c>
      <c r="H69" s="14" t="s">
        <v>99</v>
      </c>
      <c r="I69" s="14" t="s">
        <v>5125</v>
      </c>
      <c r="J69" s="14" t="s">
        <v>5126</v>
      </c>
      <c r="K69" s="14" t="s">
        <v>99</v>
      </c>
      <c r="L69" s="14" t="s">
        <v>99</v>
      </c>
      <c r="M69" s="14" t="s">
        <v>103</v>
      </c>
      <c r="N69" s="14" t="s">
        <v>104</v>
      </c>
      <c r="O69" s="14" t="s">
        <v>99</v>
      </c>
      <c r="P69" s="14" t="s">
        <v>99</v>
      </c>
      <c r="Q69" s="14" t="s">
        <v>99</v>
      </c>
      <c r="R69" s="14" t="s">
        <v>99</v>
      </c>
      <c r="S69" s="14" t="s">
        <v>99</v>
      </c>
      <c r="T69" s="14" t="s">
        <v>99</v>
      </c>
      <c r="U69" s="14" t="s">
        <v>5127</v>
      </c>
      <c r="V69" s="14" t="s">
        <v>5128</v>
      </c>
      <c r="W69" s="14" t="s">
        <v>5129</v>
      </c>
      <c r="X69" s="14" t="s">
        <v>3359</v>
      </c>
      <c r="Y69" s="14" t="s">
        <v>5130</v>
      </c>
      <c r="Z69" s="14" t="s">
        <v>5131</v>
      </c>
      <c r="AA69" s="14" t="s">
        <v>99</v>
      </c>
      <c r="AB69" s="14" t="s">
        <v>99</v>
      </c>
      <c r="AC69" s="14" t="s">
        <v>5132</v>
      </c>
      <c r="AD69" s="14" t="s">
        <v>5132</v>
      </c>
      <c r="AE69" s="14" t="s">
        <v>5133</v>
      </c>
      <c r="AF69" s="14" t="s">
        <v>99</v>
      </c>
      <c r="AG69" s="14">
        <v>103.0</v>
      </c>
      <c r="AH69" s="14">
        <v>178.0</v>
      </c>
      <c r="AI69" s="14">
        <v>203.0</v>
      </c>
      <c r="AJ69" s="14">
        <v>4.0</v>
      </c>
      <c r="AK69" s="14">
        <v>194.0</v>
      </c>
      <c r="AL69" s="14" t="s">
        <v>341</v>
      </c>
      <c r="AM69" s="14" t="s">
        <v>342</v>
      </c>
      <c r="AN69" s="14" t="s">
        <v>343</v>
      </c>
      <c r="AO69" s="14" t="s">
        <v>5134</v>
      </c>
      <c r="AP69" s="14" t="s">
        <v>5135</v>
      </c>
      <c r="AQ69" s="14" t="s">
        <v>99</v>
      </c>
      <c r="AR69" s="14" t="s">
        <v>5136</v>
      </c>
      <c r="AS69" s="14" t="s">
        <v>5137</v>
      </c>
      <c r="AT69" s="14" t="s">
        <v>1462</v>
      </c>
      <c r="AU69" s="14">
        <v>2012.0</v>
      </c>
      <c r="AV69" s="14">
        <v>3.0</v>
      </c>
      <c r="AW69" s="14">
        <v>2.0</v>
      </c>
      <c r="AX69" s="14" t="s">
        <v>99</v>
      </c>
      <c r="AY69" s="14" t="s">
        <v>99</v>
      </c>
      <c r="AZ69" s="14" t="s">
        <v>99</v>
      </c>
      <c r="BA69" s="14" t="s">
        <v>99</v>
      </c>
      <c r="BB69" s="14">
        <v>115.0</v>
      </c>
      <c r="BC69" s="14">
        <v>129.0</v>
      </c>
      <c r="BD69" s="14" t="s">
        <v>99</v>
      </c>
      <c r="BE69" s="14" t="s">
        <v>5138</v>
      </c>
      <c r="BF69" s="15" t="str">
        <f>HYPERLINK("http://dx.doi.org/10.1002/wcc.160","http://dx.doi.org/10.1002/wcc.160")</f>
        <v>http://dx.doi.org/10.1002/wcc.160</v>
      </c>
      <c r="BG69" s="14" t="s">
        <v>99</v>
      </c>
      <c r="BH69" s="14" t="s">
        <v>99</v>
      </c>
      <c r="BI69" s="14">
        <v>15.0</v>
      </c>
      <c r="BJ69" s="14" t="s">
        <v>5139</v>
      </c>
      <c r="BK69" s="14" t="s">
        <v>800</v>
      </c>
      <c r="BL69" s="14" t="s">
        <v>574</v>
      </c>
      <c r="BM69" s="14" t="s">
        <v>5140</v>
      </c>
      <c r="BN69" s="14" t="s">
        <v>99</v>
      </c>
      <c r="BO69" s="14" t="s">
        <v>99</v>
      </c>
      <c r="BP69" s="14" t="s">
        <v>99</v>
      </c>
      <c r="BQ69" s="14" t="s">
        <v>99</v>
      </c>
      <c r="BR69" s="14" t="s">
        <v>124</v>
      </c>
      <c r="BS69" s="14" t="s">
        <v>5141</v>
      </c>
      <c r="BT69" s="14" t="str">
        <f>HYPERLINK("https%3A%2F%2Fwww.webofscience.com%2Fwos%2Fwoscc%2Ffull-record%2FWOS:000301644400001","View Full Record in Web of Science")</f>
        <v>View Full Record in Web of Science</v>
      </c>
    </row>
    <row r="70" ht="12.75" customHeight="1">
      <c r="A70" s="14" t="s">
        <v>97</v>
      </c>
      <c r="B70" s="14" t="s">
        <v>5215</v>
      </c>
      <c r="C70" s="14" t="s">
        <v>99</v>
      </c>
      <c r="D70" s="14" t="s">
        <v>99</v>
      </c>
      <c r="E70" s="14" t="s">
        <v>99</v>
      </c>
      <c r="F70" s="14" t="s">
        <v>5216</v>
      </c>
      <c r="G70" s="14" t="s">
        <v>99</v>
      </c>
      <c r="H70" s="14" t="s">
        <v>99</v>
      </c>
      <c r="I70" s="14" t="s">
        <v>5217</v>
      </c>
      <c r="J70" s="14" t="s">
        <v>776</v>
      </c>
      <c r="K70" s="14" t="s">
        <v>99</v>
      </c>
      <c r="L70" s="14" t="s">
        <v>99</v>
      </c>
      <c r="M70" s="14" t="s">
        <v>103</v>
      </c>
      <c r="N70" s="14" t="s">
        <v>104</v>
      </c>
      <c r="O70" s="14" t="s">
        <v>99</v>
      </c>
      <c r="P70" s="14" t="s">
        <v>99</v>
      </c>
      <c r="Q70" s="14" t="s">
        <v>99</v>
      </c>
      <c r="R70" s="14" t="s">
        <v>99</v>
      </c>
      <c r="S70" s="14" t="s">
        <v>99</v>
      </c>
      <c r="T70" s="14" t="s">
        <v>5218</v>
      </c>
      <c r="U70" s="14" t="s">
        <v>5219</v>
      </c>
      <c r="V70" s="14" t="s">
        <v>5220</v>
      </c>
      <c r="W70" s="14" t="s">
        <v>5221</v>
      </c>
      <c r="X70" s="14" t="s">
        <v>5222</v>
      </c>
      <c r="Y70" s="14" t="s">
        <v>5223</v>
      </c>
      <c r="Z70" s="14" t="s">
        <v>5224</v>
      </c>
      <c r="AA70" s="14" t="s">
        <v>5225</v>
      </c>
      <c r="AB70" s="14" t="s">
        <v>5226</v>
      </c>
      <c r="AC70" s="14" t="s">
        <v>5227</v>
      </c>
      <c r="AD70" s="14" t="s">
        <v>5228</v>
      </c>
      <c r="AE70" s="14" t="s">
        <v>5229</v>
      </c>
      <c r="AF70" s="14" t="s">
        <v>99</v>
      </c>
      <c r="AG70" s="14">
        <v>42.0</v>
      </c>
      <c r="AH70" s="14">
        <v>455.0</v>
      </c>
      <c r="AI70" s="14">
        <v>527.0</v>
      </c>
      <c r="AJ70" s="14">
        <v>6.0</v>
      </c>
      <c r="AK70" s="14">
        <v>232.0</v>
      </c>
      <c r="AL70" s="14" t="s">
        <v>788</v>
      </c>
      <c r="AM70" s="14" t="s">
        <v>789</v>
      </c>
      <c r="AN70" s="14" t="s">
        <v>790</v>
      </c>
      <c r="AO70" s="14" t="s">
        <v>791</v>
      </c>
      <c r="AP70" s="14" t="s">
        <v>99</v>
      </c>
      <c r="AQ70" s="14" t="s">
        <v>99</v>
      </c>
      <c r="AR70" s="14" t="s">
        <v>793</v>
      </c>
      <c r="AS70" s="14" t="s">
        <v>794</v>
      </c>
      <c r="AT70" s="14" t="s">
        <v>5230</v>
      </c>
      <c r="AU70" s="14">
        <v>2012.0</v>
      </c>
      <c r="AV70" s="14">
        <v>109.0</v>
      </c>
      <c r="AW70" s="14">
        <v>4.0</v>
      </c>
      <c r="AX70" s="14" t="s">
        <v>99</v>
      </c>
      <c r="AY70" s="14" t="s">
        <v>99</v>
      </c>
      <c r="AZ70" s="14" t="s">
        <v>99</v>
      </c>
      <c r="BA70" s="14" t="s">
        <v>99</v>
      </c>
      <c r="BB70" s="14">
        <v>1341.0</v>
      </c>
      <c r="BC70" s="14">
        <v>1346.0</v>
      </c>
      <c r="BD70" s="14" t="s">
        <v>99</v>
      </c>
      <c r="BE70" s="14" t="s">
        <v>5231</v>
      </c>
      <c r="BF70" s="15" t="str">
        <f>HYPERLINK("http://dx.doi.org/10.1073/pnas.1111374109","http://dx.doi.org/10.1073/pnas.1111374109")</f>
        <v>http://dx.doi.org/10.1073/pnas.1111374109</v>
      </c>
      <c r="BG70" s="14" t="s">
        <v>99</v>
      </c>
      <c r="BH70" s="14" t="s">
        <v>99</v>
      </c>
      <c r="BI70" s="14">
        <v>6.0</v>
      </c>
      <c r="BJ70" s="14" t="s">
        <v>799</v>
      </c>
      <c r="BK70" s="14" t="s">
        <v>122</v>
      </c>
      <c r="BL70" s="14" t="s">
        <v>801</v>
      </c>
      <c r="BM70" s="14" t="s">
        <v>5232</v>
      </c>
      <c r="BN70" s="14">
        <v>2.2232692E7</v>
      </c>
      <c r="BO70" s="14" t="s">
        <v>99</v>
      </c>
      <c r="BP70" s="14" t="s">
        <v>99</v>
      </c>
      <c r="BQ70" s="14" t="s">
        <v>99</v>
      </c>
      <c r="BR70" s="14" t="s">
        <v>124</v>
      </c>
      <c r="BS70" s="14" t="s">
        <v>5233</v>
      </c>
      <c r="BT70" s="14" t="str">
        <f>HYPERLINK("https%3A%2F%2Fwww.webofscience.com%2Fwos%2Fwoscc%2Ffull-record%2FWOS:000299412600068","View Full Record in Web of Science")</f>
        <v>View Full Record in Web of Science</v>
      </c>
    </row>
    <row r="71" ht="12.75" customHeight="1">
      <c r="A71" s="14" t="s">
        <v>97</v>
      </c>
      <c r="B71" s="14" t="s">
        <v>5414</v>
      </c>
      <c r="C71" s="14" t="s">
        <v>99</v>
      </c>
      <c r="D71" s="14" t="s">
        <v>99</v>
      </c>
      <c r="E71" s="14" t="s">
        <v>99</v>
      </c>
      <c r="F71" s="14" t="s">
        <v>5415</v>
      </c>
      <c r="G71" s="14" t="s">
        <v>99</v>
      </c>
      <c r="H71" s="14" t="s">
        <v>99</v>
      </c>
      <c r="I71" s="14" t="s">
        <v>5416</v>
      </c>
      <c r="J71" s="14" t="s">
        <v>556</v>
      </c>
      <c r="K71" s="14" t="s">
        <v>99</v>
      </c>
      <c r="L71" s="14" t="s">
        <v>99</v>
      </c>
      <c r="M71" s="14" t="s">
        <v>103</v>
      </c>
      <c r="N71" s="14" t="s">
        <v>104</v>
      </c>
      <c r="O71" s="14" t="s">
        <v>99</v>
      </c>
      <c r="P71" s="14" t="s">
        <v>99</v>
      </c>
      <c r="Q71" s="14" t="s">
        <v>99</v>
      </c>
      <c r="R71" s="14" t="s">
        <v>99</v>
      </c>
      <c r="S71" s="14" t="s">
        <v>99</v>
      </c>
      <c r="T71" s="14" t="s">
        <v>5417</v>
      </c>
      <c r="U71" s="14" t="s">
        <v>5418</v>
      </c>
      <c r="V71" s="14" t="s">
        <v>5419</v>
      </c>
      <c r="W71" s="14" t="s">
        <v>5420</v>
      </c>
      <c r="X71" s="14" t="s">
        <v>5421</v>
      </c>
      <c r="Y71" s="14" t="s">
        <v>5422</v>
      </c>
      <c r="Z71" s="14" t="s">
        <v>5423</v>
      </c>
      <c r="AA71" s="14" t="s">
        <v>5424</v>
      </c>
      <c r="AB71" s="14" t="s">
        <v>5425</v>
      </c>
      <c r="AC71" s="14" t="s">
        <v>5426</v>
      </c>
      <c r="AD71" s="14" t="s">
        <v>5427</v>
      </c>
      <c r="AE71" s="14" t="s">
        <v>5428</v>
      </c>
      <c r="AF71" s="14" t="s">
        <v>99</v>
      </c>
      <c r="AG71" s="14">
        <v>50.0</v>
      </c>
      <c r="AH71" s="14">
        <v>118.0</v>
      </c>
      <c r="AI71" s="14">
        <v>133.0</v>
      </c>
      <c r="AJ71" s="14">
        <v>0.0</v>
      </c>
      <c r="AK71" s="14">
        <v>97.0</v>
      </c>
      <c r="AL71" s="14" t="s">
        <v>566</v>
      </c>
      <c r="AM71" s="14" t="s">
        <v>567</v>
      </c>
      <c r="AN71" s="14" t="s">
        <v>568</v>
      </c>
      <c r="AO71" s="14" t="s">
        <v>569</v>
      </c>
      <c r="AP71" s="14" t="s">
        <v>99</v>
      </c>
      <c r="AQ71" s="14" t="s">
        <v>99</v>
      </c>
      <c r="AR71" s="14" t="s">
        <v>570</v>
      </c>
      <c r="AS71" s="14" t="s">
        <v>571</v>
      </c>
      <c r="AT71" s="14" t="s">
        <v>145</v>
      </c>
      <c r="AU71" s="14">
        <v>2011.0</v>
      </c>
      <c r="AV71" s="14">
        <v>6.0</v>
      </c>
      <c r="AW71" s="14">
        <v>4.0</v>
      </c>
      <c r="AX71" s="14" t="s">
        <v>99</v>
      </c>
      <c r="AY71" s="14" t="s">
        <v>99</v>
      </c>
      <c r="AZ71" s="14" t="s">
        <v>99</v>
      </c>
      <c r="BA71" s="14" t="s">
        <v>99</v>
      </c>
      <c r="BB71" s="14" t="s">
        <v>99</v>
      </c>
      <c r="BC71" s="14" t="s">
        <v>99</v>
      </c>
      <c r="BD71" s="14">
        <v>45201.0</v>
      </c>
      <c r="BE71" s="14" t="s">
        <v>5429</v>
      </c>
      <c r="BF71" s="15" t="str">
        <f>HYPERLINK("http://dx.doi.org/10.1088/1748-9326/6/4/045201","http://dx.doi.org/10.1088/1748-9326/6/4/045201")</f>
        <v>http://dx.doi.org/10.1088/1748-9326/6/4/045201</v>
      </c>
      <c r="BG71" s="14" t="s">
        <v>99</v>
      </c>
      <c r="BH71" s="14" t="s">
        <v>99</v>
      </c>
      <c r="BI71" s="14">
        <v>8.0</v>
      </c>
      <c r="BJ71" s="14" t="s">
        <v>573</v>
      </c>
      <c r="BK71" s="14" t="s">
        <v>800</v>
      </c>
      <c r="BL71" s="14" t="s">
        <v>574</v>
      </c>
      <c r="BM71" s="14" t="s">
        <v>5430</v>
      </c>
      <c r="BN71" s="14" t="s">
        <v>99</v>
      </c>
      <c r="BO71" s="14" t="s">
        <v>1251</v>
      </c>
      <c r="BP71" s="14" t="s">
        <v>99</v>
      </c>
      <c r="BQ71" s="14" t="s">
        <v>99</v>
      </c>
      <c r="BR71" s="14" t="s">
        <v>124</v>
      </c>
      <c r="BS71" s="14" t="s">
        <v>5431</v>
      </c>
      <c r="BT71" s="14" t="str">
        <f>HYPERLINK("https%3A%2F%2Fwww.webofscience.com%2Fwos%2Fwoscc%2Ffull-record%2FWOS:000298674700039","View Full Record in Web of Science")</f>
        <v>View Full Record in Web of Science</v>
      </c>
    </row>
    <row r="72" ht="12.75" customHeight="1">
      <c r="A72" s="14" t="s">
        <v>97</v>
      </c>
      <c r="B72" s="14" t="s">
        <v>5744</v>
      </c>
      <c r="C72" s="14" t="s">
        <v>99</v>
      </c>
      <c r="D72" s="14" t="s">
        <v>99</v>
      </c>
      <c r="E72" s="14" t="s">
        <v>99</v>
      </c>
      <c r="F72" s="14" t="s">
        <v>5745</v>
      </c>
      <c r="G72" s="14" t="s">
        <v>99</v>
      </c>
      <c r="H72" s="14" t="s">
        <v>99</v>
      </c>
      <c r="I72" s="14" t="s">
        <v>5746</v>
      </c>
      <c r="J72" s="14" t="s">
        <v>5747</v>
      </c>
      <c r="K72" s="14" t="s">
        <v>99</v>
      </c>
      <c r="L72" s="14" t="s">
        <v>99</v>
      </c>
      <c r="M72" s="14" t="s">
        <v>103</v>
      </c>
      <c r="N72" s="14" t="s">
        <v>104</v>
      </c>
      <c r="O72" s="14" t="s">
        <v>99</v>
      </c>
      <c r="P72" s="14" t="s">
        <v>99</v>
      </c>
      <c r="Q72" s="14" t="s">
        <v>99</v>
      </c>
      <c r="R72" s="14" t="s">
        <v>99</v>
      </c>
      <c r="S72" s="14" t="s">
        <v>99</v>
      </c>
      <c r="T72" s="14" t="s">
        <v>5748</v>
      </c>
      <c r="U72" s="14" t="s">
        <v>99</v>
      </c>
      <c r="V72" s="14" t="s">
        <v>5749</v>
      </c>
      <c r="W72" s="14" t="s">
        <v>5750</v>
      </c>
      <c r="X72" s="14" t="s">
        <v>5751</v>
      </c>
      <c r="Y72" s="14" t="s">
        <v>5752</v>
      </c>
      <c r="Z72" s="14" t="s">
        <v>5753</v>
      </c>
      <c r="AA72" s="14" t="s">
        <v>99</v>
      </c>
      <c r="AB72" s="14" t="s">
        <v>99</v>
      </c>
      <c r="AC72" s="14" t="s">
        <v>99</v>
      </c>
      <c r="AD72" s="14" t="s">
        <v>99</v>
      </c>
      <c r="AE72" s="14" t="s">
        <v>99</v>
      </c>
      <c r="AF72" s="14" t="s">
        <v>99</v>
      </c>
      <c r="AG72" s="14">
        <v>24.0</v>
      </c>
      <c r="AH72" s="14">
        <v>73.0</v>
      </c>
      <c r="AI72" s="14">
        <v>91.0</v>
      </c>
      <c r="AJ72" s="14">
        <v>1.0</v>
      </c>
      <c r="AK72" s="14">
        <v>79.0</v>
      </c>
      <c r="AL72" s="14" t="s">
        <v>493</v>
      </c>
      <c r="AM72" s="14" t="s">
        <v>468</v>
      </c>
      <c r="AN72" s="14" t="s">
        <v>635</v>
      </c>
      <c r="AO72" s="14" t="s">
        <v>5754</v>
      </c>
      <c r="AP72" s="14" t="s">
        <v>5755</v>
      </c>
      <c r="AQ72" s="14" t="s">
        <v>99</v>
      </c>
      <c r="AR72" s="14" t="s">
        <v>5747</v>
      </c>
      <c r="AS72" s="14" t="s">
        <v>5756</v>
      </c>
      <c r="AT72" s="14" t="s">
        <v>718</v>
      </c>
      <c r="AU72" s="14">
        <v>2011.0</v>
      </c>
      <c r="AV72" s="14">
        <v>36.0</v>
      </c>
      <c r="AW72" s="14">
        <v>2.0</v>
      </c>
      <c r="AX72" s="14" t="s">
        <v>99</v>
      </c>
      <c r="AY72" s="14" t="s">
        <v>99</v>
      </c>
      <c r="AZ72" s="14" t="s">
        <v>99</v>
      </c>
      <c r="BA72" s="14" t="s">
        <v>99</v>
      </c>
      <c r="BB72" s="14">
        <v>186.0</v>
      </c>
      <c r="BC72" s="14">
        <v>196.0</v>
      </c>
      <c r="BD72" s="14" t="s">
        <v>99</v>
      </c>
      <c r="BE72" s="14" t="s">
        <v>5757</v>
      </c>
      <c r="BF72" s="15" t="str">
        <f>HYPERLINK("http://dx.doi.org/10.1016/j.foodpol.2010.11.015","http://dx.doi.org/10.1016/j.foodpol.2010.11.015")</f>
        <v>http://dx.doi.org/10.1016/j.foodpol.2010.11.015</v>
      </c>
      <c r="BG72" s="14" t="s">
        <v>99</v>
      </c>
      <c r="BH72" s="14" t="s">
        <v>99</v>
      </c>
      <c r="BI72" s="14">
        <v>11.0</v>
      </c>
      <c r="BJ72" s="14" t="s">
        <v>5758</v>
      </c>
      <c r="BK72" s="14" t="s">
        <v>800</v>
      </c>
      <c r="BL72" s="14" t="s">
        <v>5759</v>
      </c>
      <c r="BM72" s="14" t="s">
        <v>5760</v>
      </c>
      <c r="BN72" s="14" t="s">
        <v>99</v>
      </c>
      <c r="BO72" s="14" t="s">
        <v>99</v>
      </c>
      <c r="BP72" s="14" t="s">
        <v>99</v>
      </c>
      <c r="BQ72" s="14" t="s">
        <v>99</v>
      </c>
      <c r="BR72" s="14" t="s">
        <v>124</v>
      </c>
      <c r="BS72" s="14" t="s">
        <v>5761</v>
      </c>
      <c r="BT72" s="14" t="str">
        <f>HYPERLINK("https%3A%2F%2Fwww.webofscience.com%2Fwos%2Fwoscc%2Ffull-record%2FWOS:000289340500011","View Full Record in Web of Science")</f>
        <v>View Full Record in Web of Science</v>
      </c>
    </row>
    <row r="73" ht="12.75" customHeight="1">
      <c r="A73" s="14" t="s">
        <v>97</v>
      </c>
      <c r="B73" s="14" t="s">
        <v>5802</v>
      </c>
      <c r="C73" s="14" t="s">
        <v>99</v>
      </c>
      <c r="D73" s="14" t="s">
        <v>99</v>
      </c>
      <c r="E73" s="14" t="s">
        <v>99</v>
      </c>
      <c r="F73" s="14" t="s">
        <v>5803</v>
      </c>
      <c r="G73" s="14" t="s">
        <v>99</v>
      </c>
      <c r="H73" s="14" t="s">
        <v>99</v>
      </c>
      <c r="I73" s="14" t="s">
        <v>5804</v>
      </c>
      <c r="J73" s="14" t="s">
        <v>776</v>
      </c>
      <c r="K73" s="14" t="s">
        <v>99</v>
      </c>
      <c r="L73" s="14" t="s">
        <v>99</v>
      </c>
      <c r="M73" s="14" t="s">
        <v>103</v>
      </c>
      <c r="N73" s="14" t="s">
        <v>104</v>
      </c>
      <c r="O73" s="14" t="s">
        <v>99</v>
      </c>
      <c r="P73" s="14" t="s">
        <v>99</v>
      </c>
      <c r="Q73" s="14" t="s">
        <v>99</v>
      </c>
      <c r="R73" s="14" t="s">
        <v>99</v>
      </c>
      <c r="S73" s="14" t="s">
        <v>99</v>
      </c>
      <c r="T73" s="14" t="s">
        <v>5805</v>
      </c>
      <c r="U73" s="14" t="s">
        <v>5806</v>
      </c>
      <c r="V73" s="14" t="s">
        <v>5807</v>
      </c>
      <c r="W73" s="14" t="s">
        <v>5808</v>
      </c>
      <c r="X73" s="14" t="s">
        <v>5809</v>
      </c>
      <c r="Y73" s="14" t="s">
        <v>5810</v>
      </c>
      <c r="Z73" s="14" t="s">
        <v>5811</v>
      </c>
      <c r="AA73" s="14" t="s">
        <v>5812</v>
      </c>
      <c r="AB73" s="14" t="s">
        <v>5813</v>
      </c>
      <c r="AC73" s="14" t="s">
        <v>5814</v>
      </c>
      <c r="AD73" s="14" t="s">
        <v>5815</v>
      </c>
      <c r="AE73" s="14" t="s">
        <v>5816</v>
      </c>
      <c r="AF73" s="14" t="s">
        <v>99</v>
      </c>
      <c r="AG73" s="14">
        <v>95.0</v>
      </c>
      <c r="AH73" s="14">
        <v>2177.0</v>
      </c>
      <c r="AI73" s="14">
        <v>2570.0</v>
      </c>
      <c r="AJ73" s="14">
        <v>34.0</v>
      </c>
      <c r="AK73" s="14">
        <v>1443.0</v>
      </c>
      <c r="AL73" s="14" t="s">
        <v>788</v>
      </c>
      <c r="AM73" s="14" t="s">
        <v>789</v>
      </c>
      <c r="AN73" s="14" t="s">
        <v>790</v>
      </c>
      <c r="AO73" s="14" t="s">
        <v>791</v>
      </c>
      <c r="AP73" s="14" t="s">
        <v>99</v>
      </c>
      <c r="AQ73" s="14" t="s">
        <v>99</v>
      </c>
      <c r="AR73" s="14" t="s">
        <v>793</v>
      </c>
      <c r="AS73" s="14" t="s">
        <v>794</v>
      </c>
      <c r="AT73" s="14" t="s">
        <v>5817</v>
      </c>
      <c r="AU73" s="14">
        <v>2011.0</v>
      </c>
      <c r="AV73" s="14">
        <v>108.0</v>
      </c>
      <c r="AW73" s="14">
        <v>9.0</v>
      </c>
      <c r="AX73" s="14" t="s">
        <v>99</v>
      </c>
      <c r="AY73" s="14" t="s">
        <v>99</v>
      </c>
      <c r="AZ73" s="14" t="s">
        <v>99</v>
      </c>
      <c r="BA73" s="14" t="s">
        <v>99</v>
      </c>
      <c r="BB73" s="14">
        <v>3465.0</v>
      </c>
      <c r="BC73" s="14">
        <v>3472.0</v>
      </c>
      <c r="BD73" s="14" t="s">
        <v>99</v>
      </c>
      <c r="BE73" s="14" t="s">
        <v>5818</v>
      </c>
      <c r="BF73" s="15" t="str">
        <f>HYPERLINK("http://dx.doi.org/10.1073/pnas.1100480108","http://dx.doi.org/10.1073/pnas.1100480108")</f>
        <v>http://dx.doi.org/10.1073/pnas.1100480108</v>
      </c>
      <c r="BG73" s="14" t="s">
        <v>99</v>
      </c>
      <c r="BH73" s="14" t="s">
        <v>99</v>
      </c>
      <c r="BI73" s="14">
        <v>8.0</v>
      </c>
      <c r="BJ73" s="14" t="s">
        <v>799</v>
      </c>
      <c r="BK73" s="14" t="s">
        <v>800</v>
      </c>
      <c r="BL73" s="14" t="s">
        <v>801</v>
      </c>
      <c r="BM73" s="14" t="s">
        <v>5819</v>
      </c>
      <c r="BN73" s="14">
        <v>2.1321211E7</v>
      </c>
      <c r="BO73" s="14" t="s">
        <v>99</v>
      </c>
      <c r="BP73" s="14" t="s">
        <v>99</v>
      </c>
      <c r="BQ73" s="14" t="s">
        <v>99</v>
      </c>
      <c r="BR73" s="14" t="s">
        <v>124</v>
      </c>
      <c r="BS73" s="14" t="s">
        <v>5820</v>
      </c>
      <c r="BT73" s="14" t="str">
        <f>HYPERLINK("https%3A%2F%2Fwww.webofscience.com%2Fwos%2Fwoscc%2Ffull-record%2FWOS:000287844400010","View Full Record in Web of Science")</f>
        <v>View Full Record in Web of Science</v>
      </c>
    </row>
    <row r="74" ht="12.75" customHeight="1">
      <c r="A74" s="14" t="s">
        <v>97</v>
      </c>
      <c r="B74" s="14" t="s">
        <v>5837</v>
      </c>
      <c r="C74" s="14" t="s">
        <v>99</v>
      </c>
      <c r="D74" s="14" t="s">
        <v>99</v>
      </c>
      <c r="E74" s="14" t="s">
        <v>99</v>
      </c>
      <c r="F74" s="14" t="s">
        <v>5838</v>
      </c>
      <c r="G74" s="14" t="s">
        <v>99</v>
      </c>
      <c r="H74" s="14" t="s">
        <v>99</v>
      </c>
      <c r="I74" s="14" t="s">
        <v>5839</v>
      </c>
      <c r="J74" s="14" t="s">
        <v>5840</v>
      </c>
      <c r="K74" s="14" t="s">
        <v>99</v>
      </c>
      <c r="L74" s="14" t="s">
        <v>99</v>
      </c>
      <c r="M74" s="14" t="s">
        <v>103</v>
      </c>
      <c r="N74" s="14" t="s">
        <v>104</v>
      </c>
      <c r="O74" s="14" t="s">
        <v>99</v>
      </c>
      <c r="P74" s="14" t="s">
        <v>99</v>
      </c>
      <c r="Q74" s="14" t="s">
        <v>99</v>
      </c>
      <c r="R74" s="14" t="s">
        <v>99</v>
      </c>
      <c r="S74" s="14" t="s">
        <v>99</v>
      </c>
      <c r="T74" s="14" t="s">
        <v>99</v>
      </c>
      <c r="U74" s="14" t="s">
        <v>5841</v>
      </c>
      <c r="V74" s="14" t="s">
        <v>5842</v>
      </c>
      <c r="W74" s="14" t="s">
        <v>5843</v>
      </c>
      <c r="X74" s="14" t="s">
        <v>5844</v>
      </c>
      <c r="Y74" s="14" t="s">
        <v>5845</v>
      </c>
      <c r="Z74" s="14" t="s">
        <v>5846</v>
      </c>
      <c r="AA74" s="14" t="s">
        <v>5847</v>
      </c>
      <c r="AB74" s="14" t="s">
        <v>5848</v>
      </c>
      <c r="AC74" s="14" t="s">
        <v>5849</v>
      </c>
      <c r="AD74" s="14" t="s">
        <v>5850</v>
      </c>
      <c r="AE74" s="14" t="s">
        <v>5851</v>
      </c>
      <c r="AF74" s="14" t="s">
        <v>99</v>
      </c>
      <c r="AG74" s="14">
        <v>30.0</v>
      </c>
      <c r="AH74" s="14">
        <v>104.0</v>
      </c>
      <c r="AI74" s="14">
        <v>117.0</v>
      </c>
      <c r="AJ74" s="14">
        <v>1.0</v>
      </c>
      <c r="AK74" s="14">
        <v>55.0</v>
      </c>
      <c r="AL74" s="14" t="s">
        <v>1326</v>
      </c>
      <c r="AM74" s="14" t="s">
        <v>1594</v>
      </c>
      <c r="AN74" s="14" t="s">
        <v>5852</v>
      </c>
      <c r="AO74" s="14" t="s">
        <v>5853</v>
      </c>
      <c r="AP74" s="14" t="s">
        <v>5854</v>
      </c>
      <c r="AQ74" s="14" t="s">
        <v>99</v>
      </c>
      <c r="AR74" s="14" t="s">
        <v>5855</v>
      </c>
      <c r="AS74" s="14" t="s">
        <v>5856</v>
      </c>
      <c r="AT74" s="14" t="s">
        <v>280</v>
      </c>
      <c r="AU74" s="14">
        <v>2011.0</v>
      </c>
      <c r="AV74" s="14">
        <v>4.0</v>
      </c>
      <c r="AW74" s="14">
        <v>2.0</v>
      </c>
      <c r="AX74" s="14" t="s">
        <v>99</v>
      </c>
      <c r="AY74" s="14" t="s">
        <v>99</v>
      </c>
      <c r="AZ74" s="14" t="s">
        <v>99</v>
      </c>
      <c r="BA74" s="14" t="s">
        <v>99</v>
      </c>
      <c r="BB74" s="14">
        <v>99.0</v>
      </c>
      <c r="BC74" s="14">
        <v>103.0</v>
      </c>
      <c r="BD74" s="14" t="s">
        <v>99</v>
      </c>
      <c r="BE74" s="14" t="s">
        <v>5857</v>
      </c>
      <c r="BF74" s="15" t="str">
        <f>HYPERLINK("http://dx.doi.org/10.1038/NGEO1057","http://dx.doi.org/10.1038/NGEO1057")</f>
        <v>http://dx.doi.org/10.1038/NGEO1057</v>
      </c>
      <c r="BG74" s="14" t="s">
        <v>99</v>
      </c>
      <c r="BH74" s="14" t="s">
        <v>99</v>
      </c>
      <c r="BI74" s="14">
        <v>5.0</v>
      </c>
      <c r="BJ74" s="14" t="s">
        <v>990</v>
      </c>
      <c r="BK74" s="14" t="s">
        <v>122</v>
      </c>
      <c r="BL74" s="14" t="s">
        <v>991</v>
      </c>
      <c r="BM74" s="14" t="s">
        <v>5858</v>
      </c>
      <c r="BN74" s="14" t="s">
        <v>99</v>
      </c>
      <c r="BO74" s="14" t="s">
        <v>425</v>
      </c>
      <c r="BP74" s="14" t="s">
        <v>99</v>
      </c>
      <c r="BQ74" s="14" t="s">
        <v>99</v>
      </c>
      <c r="BR74" s="14" t="s">
        <v>124</v>
      </c>
      <c r="BS74" s="14" t="s">
        <v>5859</v>
      </c>
      <c r="BT74" s="14" t="str">
        <f>HYPERLINK("https%3A%2F%2Fwww.webofscience.com%2Fwos%2Fwoscc%2Ffull-record%2FWOS:000286723300014","View Full Record in Web of Science")</f>
        <v>View Full Record in Web of Science</v>
      </c>
    </row>
    <row r="75" ht="12.75" customHeight="1">
      <c r="A75" s="14" t="s">
        <v>97</v>
      </c>
      <c r="B75" s="14" t="s">
        <v>6025</v>
      </c>
      <c r="C75" s="14" t="s">
        <v>99</v>
      </c>
      <c r="D75" s="14" t="s">
        <v>99</v>
      </c>
      <c r="E75" s="14" t="s">
        <v>99</v>
      </c>
      <c r="F75" s="14" t="s">
        <v>6026</v>
      </c>
      <c r="G75" s="14" t="s">
        <v>99</v>
      </c>
      <c r="H75" s="14" t="s">
        <v>99</v>
      </c>
      <c r="I75" s="14" t="s">
        <v>6027</v>
      </c>
      <c r="J75" s="14" t="s">
        <v>2500</v>
      </c>
      <c r="K75" s="14" t="s">
        <v>99</v>
      </c>
      <c r="L75" s="14" t="s">
        <v>99</v>
      </c>
      <c r="M75" s="14" t="s">
        <v>103</v>
      </c>
      <c r="N75" s="14" t="s">
        <v>104</v>
      </c>
      <c r="O75" s="14" t="s">
        <v>99</v>
      </c>
      <c r="P75" s="14" t="s">
        <v>99</v>
      </c>
      <c r="Q75" s="14" t="s">
        <v>99</v>
      </c>
      <c r="R75" s="14" t="s">
        <v>99</v>
      </c>
      <c r="S75" s="14" t="s">
        <v>99</v>
      </c>
      <c r="T75" s="14" t="s">
        <v>99</v>
      </c>
      <c r="U75" s="14" t="s">
        <v>6028</v>
      </c>
      <c r="V75" s="14" t="s">
        <v>6029</v>
      </c>
      <c r="W75" s="14" t="s">
        <v>6030</v>
      </c>
      <c r="X75" s="14" t="s">
        <v>6031</v>
      </c>
      <c r="Y75" s="14" t="s">
        <v>6032</v>
      </c>
      <c r="Z75" s="14" t="s">
        <v>6033</v>
      </c>
      <c r="AA75" s="14" t="s">
        <v>6034</v>
      </c>
      <c r="AB75" s="14" t="s">
        <v>6035</v>
      </c>
      <c r="AC75" s="14" t="s">
        <v>6036</v>
      </c>
      <c r="AD75" s="14" t="s">
        <v>6037</v>
      </c>
      <c r="AE75" s="14" t="s">
        <v>6038</v>
      </c>
      <c r="AF75" s="14" t="s">
        <v>99</v>
      </c>
      <c r="AG75" s="14">
        <v>118.0</v>
      </c>
      <c r="AH75" s="14">
        <v>202.0</v>
      </c>
      <c r="AI75" s="14">
        <v>259.0</v>
      </c>
      <c r="AJ75" s="14">
        <v>5.0</v>
      </c>
      <c r="AK75" s="14">
        <v>238.0</v>
      </c>
      <c r="AL75" s="14" t="s">
        <v>2512</v>
      </c>
      <c r="AM75" s="14" t="s">
        <v>2513</v>
      </c>
      <c r="AN75" s="14" t="s">
        <v>2514</v>
      </c>
      <c r="AO75" s="14" t="s">
        <v>2515</v>
      </c>
      <c r="AP75" s="14" t="s">
        <v>99</v>
      </c>
      <c r="AQ75" s="14" t="s">
        <v>99</v>
      </c>
      <c r="AR75" s="14" t="s">
        <v>2500</v>
      </c>
      <c r="AS75" s="14" t="s">
        <v>2516</v>
      </c>
      <c r="AT75" s="14" t="s">
        <v>4519</v>
      </c>
      <c r="AU75" s="14">
        <v>2010.0</v>
      </c>
      <c r="AV75" s="14">
        <v>5.0</v>
      </c>
      <c r="AW75" s="14">
        <v>12.0</v>
      </c>
      <c r="AX75" s="14" t="s">
        <v>99</v>
      </c>
      <c r="AY75" s="14" t="s">
        <v>99</v>
      </c>
      <c r="AZ75" s="14" t="s">
        <v>99</v>
      </c>
      <c r="BA75" s="14" t="s">
        <v>99</v>
      </c>
      <c r="BB75" s="14" t="s">
        <v>99</v>
      </c>
      <c r="BC75" s="14" t="s">
        <v>99</v>
      </c>
      <c r="BD75" s="14" t="s">
        <v>6039</v>
      </c>
      <c r="BE75" s="14" t="s">
        <v>6040</v>
      </c>
      <c r="BF75" s="15" t="str">
        <f>HYPERLINK("http://dx.doi.org/10.1371/journal.pone.0014327","http://dx.doi.org/10.1371/journal.pone.0014327")</f>
        <v>http://dx.doi.org/10.1371/journal.pone.0014327</v>
      </c>
      <c r="BG75" s="14" t="s">
        <v>99</v>
      </c>
      <c r="BH75" s="14" t="s">
        <v>99</v>
      </c>
      <c r="BI75" s="14">
        <v>22.0</v>
      </c>
      <c r="BJ75" s="14" t="s">
        <v>799</v>
      </c>
      <c r="BK75" s="14" t="s">
        <v>800</v>
      </c>
      <c r="BL75" s="14" t="s">
        <v>801</v>
      </c>
      <c r="BM75" s="14" t="s">
        <v>6041</v>
      </c>
      <c r="BN75" s="14">
        <v>2.1179509E7</v>
      </c>
      <c r="BO75" s="14" t="s">
        <v>1251</v>
      </c>
      <c r="BP75" s="14" t="s">
        <v>99</v>
      </c>
      <c r="BQ75" s="14" t="s">
        <v>99</v>
      </c>
      <c r="BR75" s="14" t="s">
        <v>124</v>
      </c>
      <c r="BS75" s="14" t="s">
        <v>6042</v>
      </c>
      <c r="BT75" s="14" t="str">
        <f>HYPERLINK("https%3A%2F%2Fwww.webofscience.com%2Fwos%2Fwoscc%2Ffull-record%2FWOS:000285340000006","View Full Record in Web of Science")</f>
        <v>View Full Record in Web of Science</v>
      </c>
    </row>
    <row r="76" ht="12.75" customHeight="1">
      <c r="A76" s="14" t="s">
        <v>97</v>
      </c>
      <c r="B76" s="14" t="s">
        <v>6043</v>
      </c>
      <c r="C76" s="14" t="s">
        <v>99</v>
      </c>
      <c r="D76" s="14" t="s">
        <v>99</v>
      </c>
      <c r="E76" s="14" t="s">
        <v>99</v>
      </c>
      <c r="F76" s="14" t="s">
        <v>6044</v>
      </c>
      <c r="G76" s="14" t="s">
        <v>99</v>
      </c>
      <c r="H76" s="14" t="s">
        <v>99</v>
      </c>
      <c r="I76" s="14" t="s">
        <v>6045</v>
      </c>
      <c r="J76" s="14" t="s">
        <v>6046</v>
      </c>
      <c r="K76" s="14" t="s">
        <v>99</v>
      </c>
      <c r="L76" s="14" t="s">
        <v>99</v>
      </c>
      <c r="M76" s="14" t="s">
        <v>103</v>
      </c>
      <c r="N76" s="14" t="s">
        <v>104</v>
      </c>
      <c r="O76" s="14" t="s">
        <v>99</v>
      </c>
      <c r="P76" s="14" t="s">
        <v>99</v>
      </c>
      <c r="Q76" s="14" t="s">
        <v>99</v>
      </c>
      <c r="R76" s="14" t="s">
        <v>99</v>
      </c>
      <c r="S76" s="14" t="s">
        <v>99</v>
      </c>
      <c r="T76" s="14" t="s">
        <v>6047</v>
      </c>
      <c r="U76" s="14" t="s">
        <v>6048</v>
      </c>
      <c r="V76" s="14" t="s">
        <v>6049</v>
      </c>
      <c r="W76" s="14" t="s">
        <v>6050</v>
      </c>
      <c r="X76" s="14" t="s">
        <v>6051</v>
      </c>
      <c r="Y76" s="14" t="s">
        <v>6052</v>
      </c>
      <c r="Z76" s="14" t="s">
        <v>99</v>
      </c>
      <c r="AA76" s="14" t="s">
        <v>6053</v>
      </c>
      <c r="AB76" s="14" t="s">
        <v>6054</v>
      </c>
      <c r="AC76" s="14" t="s">
        <v>6055</v>
      </c>
      <c r="AD76" s="14" t="s">
        <v>6056</v>
      </c>
      <c r="AE76" s="14" t="s">
        <v>6057</v>
      </c>
      <c r="AF76" s="14" t="s">
        <v>99</v>
      </c>
      <c r="AG76" s="14">
        <v>60.0</v>
      </c>
      <c r="AH76" s="14">
        <v>379.0</v>
      </c>
      <c r="AI76" s="14">
        <v>443.0</v>
      </c>
      <c r="AJ76" s="14">
        <v>4.0</v>
      </c>
      <c r="AK76" s="14">
        <v>131.0</v>
      </c>
      <c r="AL76" s="14" t="s">
        <v>6058</v>
      </c>
      <c r="AM76" s="14" t="s">
        <v>789</v>
      </c>
      <c r="AN76" s="14" t="s">
        <v>6059</v>
      </c>
      <c r="AO76" s="14" t="s">
        <v>6060</v>
      </c>
      <c r="AP76" s="14" t="s">
        <v>99</v>
      </c>
      <c r="AQ76" s="14" t="s">
        <v>99</v>
      </c>
      <c r="AR76" s="14" t="s">
        <v>6046</v>
      </c>
      <c r="AS76" s="14" t="s">
        <v>6061</v>
      </c>
      <c r="AT76" s="14" t="s">
        <v>1058</v>
      </c>
      <c r="AU76" s="14">
        <v>2010.0</v>
      </c>
      <c r="AV76" s="14">
        <v>60.0</v>
      </c>
      <c r="AW76" s="14">
        <v>11.0</v>
      </c>
      <c r="AX76" s="14" t="s">
        <v>99</v>
      </c>
      <c r="AY76" s="14" t="s">
        <v>99</v>
      </c>
      <c r="AZ76" s="14" t="s">
        <v>99</v>
      </c>
      <c r="BA76" s="14" t="s">
        <v>99</v>
      </c>
      <c r="BB76" s="14">
        <v>886.0</v>
      </c>
      <c r="BC76" s="14">
        <v>897.0</v>
      </c>
      <c r="BD76" s="14" t="s">
        <v>99</v>
      </c>
      <c r="BE76" s="14" t="s">
        <v>6062</v>
      </c>
      <c r="BF76" s="15" t="str">
        <f>HYPERLINK("http://dx.doi.org/10.1525/bio.2010.60.11.5","http://dx.doi.org/10.1525/bio.2010.60.11.5")</f>
        <v>http://dx.doi.org/10.1525/bio.2010.60.11.5</v>
      </c>
      <c r="BG76" s="14" t="s">
        <v>99</v>
      </c>
      <c r="BH76" s="14" t="s">
        <v>99</v>
      </c>
      <c r="BI76" s="14">
        <v>12.0</v>
      </c>
      <c r="BJ76" s="14" t="s">
        <v>1803</v>
      </c>
      <c r="BK76" s="14" t="s">
        <v>122</v>
      </c>
      <c r="BL76" s="14" t="s">
        <v>1804</v>
      </c>
      <c r="BM76" s="14" t="s">
        <v>6063</v>
      </c>
      <c r="BN76" s="14" t="s">
        <v>99</v>
      </c>
      <c r="BO76" s="14" t="s">
        <v>99</v>
      </c>
      <c r="BP76" s="14" t="s">
        <v>99</v>
      </c>
      <c r="BQ76" s="14" t="s">
        <v>99</v>
      </c>
      <c r="BR76" s="14" t="s">
        <v>124</v>
      </c>
      <c r="BS76" s="14" t="s">
        <v>6064</v>
      </c>
      <c r="BT76" s="14" t="str">
        <f>HYPERLINK("https%3A%2F%2Fwww.webofscience.com%2Fwos%2Fwoscc%2Ffull-record%2FWOS:000285328400005","View Full Record in Web of Science")</f>
        <v>View Full Record in Web of Science</v>
      </c>
    </row>
    <row r="77" ht="12.75" customHeight="1">
      <c r="A77" s="14" t="s">
        <v>97</v>
      </c>
      <c r="B77" s="14" t="s">
        <v>6083</v>
      </c>
      <c r="C77" s="14" t="s">
        <v>99</v>
      </c>
      <c r="D77" s="14" t="s">
        <v>99</v>
      </c>
      <c r="E77" s="14" t="s">
        <v>99</v>
      </c>
      <c r="F77" s="14" t="s">
        <v>6084</v>
      </c>
      <c r="G77" s="14" t="s">
        <v>99</v>
      </c>
      <c r="H77" s="14" t="s">
        <v>99</v>
      </c>
      <c r="I77" s="14" t="s">
        <v>6085</v>
      </c>
      <c r="J77" s="14" t="s">
        <v>776</v>
      </c>
      <c r="K77" s="14" t="s">
        <v>99</v>
      </c>
      <c r="L77" s="14" t="s">
        <v>99</v>
      </c>
      <c r="M77" s="14" t="s">
        <v>103</v>
      </c>
      <c r="N77" s="14" t="s">
        <v>104</v>
      </c>
      <c r="O77" s="14" t="s">
        <v>99</v>
      </c>
      <c r="P77" s="14" t="s">
        <v>99</v>
      </c>
      <c r="Q77" s="14" t="s">
        <v>99</v>
      </c>
      <c r="R77" s="14" t="s">
        <v>99</v>
      </c>
      <c r="S77" s="14" t="s">
        <v>99</v>
      </c>
      <c r="T77" s="14" t="s">
        <v>6086</v>
      </c>
      <c r="U77" s="14" t="s">
        <v>6087</v>
      </c>
      <c r="V77" s="14" t="s">
        <v>6088</v>
      </c>
      <c r="W77" s="14" t="s">
        <v>6089</v>
      </c>
      <c r="X77" s="14" t="s">
        <v>6090</v>
      </c>
      <c r="Y77" s="14" t="s">
        <v>6091</v>
      </c>
      <c r="Z77" s="14" t="s">
        <v>6092</v>
      </c>
      <c r="AA77" s="14" t="s">
        <v>6093</v>
      </c>
      <c r="AB77" s="14" t="s">
        <v>6094</v>
      </c>
      <c r="AC77" s="14" t="s">
        <v>6095</v>
      </c>
      <c r="AD77" s="14" t="s">
        <v>6096</v>
      </c>
      <c r="AE77" s="14" t="s">
        <v>6097</v>
      </c>
      <c r="AF77" s="14" t="s">
        <v>99</v>
      </c>
      <c r="AG77" s="14">
        <v>50.0</v>
      </c>
      <c r="AH77" s="14">
        <v>1274.0</v>
      </c>
      <c r="AI77" s="14">
        <v>1515.0</v>
      </c>
      <c r="AJ77" s="14">
        <v>12.0</v>
      </c>
      <c r="AK77" s="14">
        <v>381.0</v>
      </c>
      <c r="AL77" s="14" t="s">
        <v>788</v>
      </c>
      <c r="AM77" s="14" t="s">
        <v>789</v>
      </c>
      <c r="AN77" s="14" t="s">
        <v>790</v>
      </c>
      <c r="AO77" s="14" t="s">
        <v>791</v>
      </c>
      <c r="AP77" s="14" t="s">
        <v>99</v>
      </c>
      <c r="AQ77" s="14" t="s">
        <v>99</v>
      </c>
      <c r="AR77" s="14" t="s">
        <v>793</v>
      </c>
      <c r="AS77" s="14" t="s">
        <v>794</v>
      </c>
      <c r="AT77" s="14" t="s">
        <v>6098</v>
      </c>
      <c r="AU77" s="14">
        <v>2010.0</v>
      </c>
      <c r="AV77" s="14">
        <v>107.0</v>
      </c>
      <c r="AW77" s="14">
        <v>38.0</v>
      </c>
      <c r="AX77" s="14" t="s">
        <v>99</v>
      </c>
      <c r="AY77" s="14" t="s">
        <v>99</v>
      </c>
      <c r="AZ77" s="14" t="s">
        <v>99</v>
      </c>
      <c r="BA77" s="14" t="s">
        <v>99</v>
      </c>
      <c r="BB77" s="14">
        <v>16732.0</v>
      </c>
      <c r="BC77" s="14">
        <v>16737.0</v>
      </c>
      <c r="BD77" s="14" t="s">
        <v>99</v>
      </c>
      <c r="BE77" s="14" t="s">
        <v>6099</v>
      </c>
      <c r="BF77" s="15" t="str">
        <f>HYPERLINK("http://dx.doi.org/10.1073/pnas.0910275107","http://dx.doi.org/10.1073/pnas.0910275107")</f>
        <v>http://dx.doi.org/10.1073/pnas.0910275107</v>
      </c>
      <c r="BG77" s="14" t="s">
        <v>99</v>
      </c>
      <c r="BH77" s="14" t="s">
        <v>99</v>
      </c>
      <c r="BI77" s="14">
        <v>6.0</v>
      </c>
      <c r="BJ77" s="14" t="s">
        <v>799</v>
      </c>
      <c r="BK77" s="14" t="s">
        <v>122</v>
      </c>
      <c r="BL77" s="14" t="s">
        <v>801</v>
      </c>
      <c r="BM77" s="14" t="s">
        <v>6100</v>
      </c>
      <c r="BN77" s="14">
        <v>2.080775E7</v>
      </c>
      <c r="BO77" s="14" t="s">
        <v>373</v>
      </c>
      <c r="BP77" s="14" t="s">
        <v>99</v>
      </c>
      <c r="BQ77" s="14" t="s">
        <v>99</v>
      </c>
      <c r="BR77" s="14" t="s">
        <v>124</v>
      </c>
      <c r="BS77" s="14" t="s">
        <v>6101</v>
      </c>
      <c r="BT77" s="14" t="str">
        <f>HYPERLINK("https%3A%2F%2Fwww.webofscience.com%2Fwos%2Fwoscc%2Ffull-record%2FWOS:000282003700063","View Full Record in Web of Science")</f>
        <v>View Full Record in Web of Science</v>
      </c>
    </row>
    <row r="78" ht="12.75" customHeight="1">
      <c r="A78" s="14" t="s">
        <v>97</v>
      </c>
      <c r="B78" s="14" t="s">
        <v>6102</v>
      </c>
      <c r="C78" s="14" t="s">
        <v>99</v>
      </c>
      <c r="D78" s="14" t="s">
        <v>99</v>
      </c>
      <c r="E78" s="14" t="s">
        <v>99</v>
      </c>
      <c r="F78" s="14" t="s">
        <v>6103</v>
      </c>
      <c r="G78" s="14" t="s">
        <v>99</v>
      </c>
      <c r="H78" s="14" t="s">
        <v>99</v>
      </c>
      <c r="I78" s="14" t="s">
        <v>6104</v>
      </c>
      <c r="J78" s="14" t="s">
        <v>2566</v>
      </c>
      <c r="K78" s="14" t="s">
        <v>99</v>
      </c>
      <c r="L78" s="14" t="s">
        <v>99</v>
      </c>
      <c r="M78" s="14" t="s">
        <v>103</v>
      </c>
      <c r="N78" s="14" t="s">
        <v>104</v>
      </c>
      <c r="O78" s="14" t="s">
        <v>99</v>
      </c>
      <c r="P78" s="14" t="s">
        <v>99</v>
      </c>
      <c r="Q78" s="14" t="s">
        <v>99</v>
      </c>
      <c r="R78" s="14" t="s">
        <v>99</v>
      </c>
      <c r="S78" s="14" t="s">
        <v>99</v>
      </c>
      <c r="T78" s="14" t="s">
        <v>99</v>
      </c>
      <c r="U78" s="14" t="s">
        <v>6105</v>
      </c>
      <c r="V78" s="14" t="s">
        <v>6106</v>
      </c>
      <c r="W78" s="14" t="s">
        <v>6107</v>
      </c>
      <c r="X78" s="14" t="s">
        <v>6108</v>
      </c>
      <c r="Y78" s="14" t="s">
        <v>6109</v>
      </c>
      <c r="Z78" s="14" t="s">
        <v>6110</v>
      </c>
      <c r="AA78" s="14" t="s">
        <v>6111</v>
      </c>
      <c r="AB78" s="14" t="s">
        <v>6112</v>
      </c>
      <c r="AC78" s="14" t="s">
        <v>6113</v>
      </c>
      <c r="AD78" s="14" t="s">
        <v>6114</v>
      </c>
      <c r="AE78" s="14" t="s">
        <v>6115</v>
      </c>
      <c r="AF78" s="14" t="s">
        <v>99</v>
      </c>
      <c r="AG78" s="14">
        <v>31.0</v>
      </c>
      <c r="AH78" s="14">
        <v>972.0</v>
      </c>
      <c r="AI78" s="14">
        <v>1165.0</v>
      </c>
      <c r="AJ78" s="14">
        <v>13.0</v>
      </c>
      <c r="AK78" s="14">
        <v>677.0</v>
      </c>
      <c r="AL78" s="14" t="s">
        <v>1243</v>
      </c>
      <c r="AM78" s="14" t="s">
        <v>789</v>
      </c>
      <c r="AN78" s="14" t="s">
        <v>1244</v>
      </c>
      <c r="AO78" s="14" t="s">
        <v>2578</v>
      </c>
      <c r="AP78" s="14" t="s">
        <v>99</v>
      </c>
      <c r="AQ78" s="14" t="s">
        <v>99</v>
      </c>
      <c r="AR78" s="14" t="s">
        <v>2566</v>
      </c>
      <c r="AS78" s="14" t="s">
        <v>2580</v>
      </c>
      <c r="AT78" s="14" t="s">
        <v>6116</v>
      </c>
      <c r="AU78" s="14">
        <v>2010.0</v>
      </c>
      <c r="AV78" s="14">
        <v>329.0</v>
      </c>
      <c r="AW78" s="14">
        <v>5996.0</v>
      </c>
      <c r="AX78" s="14" t="s">
        <v>99</v>
      </c>
      <c r="AY78" s="14" t="s">
        <v>99</v>
      </c>
      <c r="AZ78" s="14" t="s">
        <v>99</v>
      </c>
      <c r="BA78" s="14" t="s">
        <v>99</v>
      </c>
      <c r="BB78" s="14">
        <v>1185.0</v>
      </c>
      <c r="BC78" s="14">
        <v>1188.0</v>
      </c>
      <c r="BD78" s="14" t="s">
        <v>99</v>
      </c>
      <c r="BE78" s="14" t="s">
        <v>6117</v>
      </c>
      <c r="BF78" s="15" t="str">
        <f>HYPERLINK("http://dx.doi.org/10.1126/science.1192321","http://dx.doi.org/10.1126/science.1192321")</f>
        <v>http://dx.doi.org/10.1126/science.1192321</v>
      </c>
      <c r="BG78" s="14" t="s">
        <v>99</v>
      </c>
      <c r="BH78" s="14" t="s">
        <v>99</v>
      </c>
      <c r="BI78" s="14">
        <v>4.0</v>
      </c>
      <c r="BJ78" s="14" t="s">
        <v>799</v>
      </c>
      <c r="BK78" s="14" t="s">
        <v>122</v>
      </c>
      <c r="BL78" s="14" t="s">
        <v>801</v>
      </c>
      <c r="BM78" s="14" t="s">
        <v>6118</v>
      </c>
      <c r="BN78" s="14">
        <v>2.0724586E7</v>
      </c>
      <c r="BO78" s="14" t="s">
        <v>238</v>
      </c>
      <c r="BP78" s="14" t="s">
        <v>99</v>
      </c>
      <c r="BQ78" s="14" t="s">
        <v>99</v>
      </c>
      <c r="BR78" s="14" t="s">
        <v>124</v>
      </c>
      <c r="BS78" s="14" t="s">
        <v>6119</v>
      </c>
      <c r="BT78" s="14" t="str">
        <f>HYPERLINK("https%3A%2F%2Fwww.webofscience.com%2Fwos%2Fwoscc%2Ffull-record%2FWOS:000281485600030","View Full Record in Web of Science")</f>
        <v>View Full Record in Web of Science</v>
      </c>
    </row>
    <row r="79" ht="12.75" customHeight="1">
      <c r="A79" s="14" t="s">
        <v>97</v>
      </c>
      <c r="B79" s="14" t="s">
        <v>6120</v>
      </c>
      <c r="C79" s="14" t="s">
        <v>99</v>
      </c>
      <c r="D79" s="14" t="s">
        <v>99</v>
      </c>
      <c r="E79" s="14" t="s">
        <v>99</v>
      </c>
      <c r="F79" s="14" t="s">
        <v>6121</v>
      </c>
      <c r="G79" s="14" t="s">
        <v>99</v>
      </c>
      <c r="H79" s="14" t="s">
        <v>99</v>
      </c>
      <c r="I79" s="14" t="s">
        <v>6122</v>
      </c>
      <c r="J79" s="14" t="s">
        <v>6123</v>
      </c>
      <c r="K79" s="14" t="s">
        <v>99</v>
      </c>
      <c r="L79" s="14" t="s">
        <v>99</v>
      </c>
      <c r="M79" s="14" t="s">
        <v>103</v>
      </c>
      <c r="N79" s="14" t="s">
        <v>104</v>
      </c>
      <c r="O79" s="14" t="s">
        <v>99</v>
      </c>
      <c r="P79" s="14" t="s">
        <v>99</v>
      </c>
      <c r="Q79" s="14" t="s">
        <v>99</v>
      </c>
      <c r="R79" s="14" t="s">
        <v>99</v>
      </c>
      <c r="S79" s="14" t="s">
        <v>99</v>
      </c>
      <c r="T79" s="14" t="s">
        <v>6124</v>
      </c>
      <c r="U79" s="14" t="s">
        <v>6125</v>
      </c>
      <c r="V79" s="14" t="s">
        <v>6126</v>
      </c>
      <c r="W79" s="14" t="s">
        <v>6127</v>
      </c>
      <c r="X79" s="14" t="s">
        <v>6128</v>
      </c>
      <c r="Y79" s="14" t="s">
        <v>6129</v>
      </c>
      <c r="Z79" s="14" t="s">
        <v>99</v>
      </c>
      <c r="AA79" s="14" t="s">
        <v>6130</v>
      </c>
      <c r="AB79" s="14" t="s">
        <v>6131</v>
      </c>
      <c r="AC79" s="14" t="s">
        <v>99</v>
      </c>
      <c r="AD79" s="14" t="s">
        <v>99</v>
      </c>
      <c r="AE79" s="14" t="s">
        <v>99</v>
      </c>
      <c r="AF79" s="14" t="s">
        <v>99</v>
      </c>
      <c r="AG79" s="14">
        <v>58.0</v>
      </c>
      <c r="AH79" s="14">
        <v>159.0</v>
      </c>
      <c r="AI79" s="14">
        <v>180.0</v>
      </c>
      <c r="AJ79" s="14">
        <v>3.0</v>
      </c>
      <c r="AK79" s="14">
        <v>124.0</v>
      </c>
      <c r="AL79" s="14" t="s">
        <v>441</v>
      </c>
      <c r="AM79" s="14" t="s">
        <v>442</v>
      </c>
      <c r="AN79" s="14" t="s">
        <v>443</v>
      </c>
      <c r="AO79" s="14" t="s">
        <v>6132</v>
      </c>
      <c r="AP79" s="14" t="s">
        <v>6133</v>
      </c>
      <c r="AQ79" s="14" t="s">
        <v>99</v>
      </c>
      <c r="AR79" s="14" t="s">
        <v>6134</v>
      </c>
      <c r="AS79" s="14" t="s">
        <v>6135</v>
      </c>
      <c r="AT79" s="14" t="s">
        <v>6136</v>
      </c>
      <c r="AU79" s="14">
        <v>2010.0</v>
      </c>
      <c r="AV79" s="14">
        <v>99.0</v>
      </c>
      <c r="AW79" s="14">
        <v>3.0</v>
      </c>
      <c r="AX79" s="14" t="s">
        <v>99</v>
      </c>
      <c r="AY79" s="14" t="s">
        <v>99</v>
      </c>
      <c r="AZ79" s="14" t="s">
        <v>99</v>
      </c>
      <c r="BA79" s="14" t="s">
        <v>99</v>
      </c>
      <c r="BB79" s="14">
        <v>397.0</v>
      </c>
      <c r="BC79" s="14">
        <v>404.0</v>
      </c>
      <c r="BD79" s="14" t="s">
        <v>99</v>
      </c>
      <c r="BE79" s="14" t="s">
        <v>6137</v>
      </c>
      <c r="BF79" s="15" t="str">
        <f>HYPERLINK("http://dx.doi.org/10.1016/j.aquatox.2010.05.019","http://dx.doi.org/10.1016/j.aquatox.2010.05.019")</f>
        <v>http://dx.doi.org/10.1016/j.aquatox.2010.05.019</v>
      </c>
      <c r="BG79" s="14" t="s">
        <v>99</v>
      </c>
      <c r="BH79" s="14" t="s">
        <v>99</v>
      </c>
      <c r="BI79" s="14">
        <v>8.0</v>
      </c>
      <c r="BJ79" s="14" t="s">
        <v>6138</v>
      </c>
      <c r="BK79" s="14" t="s">
        <v>122</v>
      </c>
      <c r="BL79" s="14" t="s">
        <v>6138</v>
      </c>
      <c r="BM79" s="14" t="s">
        <v>6139</v>
      </c>
      <c r="BN79" s="14">
        <v>2.0591511E7</v>
      </c>
      <c r="BO79" s="14" t="s">
        <v>99</v>
      </c>
      <c r="BP79" s="14" t="s">
        <v>99</v>
      </c>
      <c r="BQ79" s="14" t="s">
        <v>99</v>
      </c>
      <c r="BR79" s="14" t="s">
        <v>124</v>
      </c>
      <c r="BS79" s="14" t="s">
        <v>6140</v>
      </c>
      <c r="BT79" s="14" t="str">
        <f>HYPERLINK("https%3A%2F%2Fwww.webofscience.com%2Fwos%2Fwoscc%2Ffull-record%2FWOS:000281493400010","View Full Record in Web of Science")</f>
        <v>View Full Record in Web of Science</v>
      </c>
    </row>
    <row r="80" ht="12.75" customHeight="1">
      <c r="A80" s="14" t="s">
        <v>97</v>
      </c>
      <c r="B80" s="14" t="s">
        <v>6157</v>
      </c>
      <c r="C80" s="14" t="s">
        <v>99</v>
      </c>
      <c r="D80" s="14" t="s">
        <v>99</v>
      </c>
      <c r="E80" s="14" t="s">
        <v>99</v>
      </c>
      <c r="F80" s="14" t="s">
        <v>6158</v>
      </c>
      <c r="G80" s="14" t="s">
        <v>99</v>
      </c>
      <c r="H80" s="14" t="s">
        <v>99</v>
      </c>
      <c r="I80" s="14" t="s">
        <v>6159</v>
      </c>
      <c r="J80" s="14" t="s">
        <v>776</v>
      </c>
      <c r="K80" s="14" t="s">
        <v>99</v>
      </c>
      <c r="L80" s="14" t="s">
        <v>99</v>
      </c>
      <c r="M80" s="14" t="s">
        <v>103</v>
      </c>
      <c r="N80" s="14" t="s">
        <v>104</v>
      </c>
      <c r="O80" s="14" t="s">
        <v>99</v>
      </c>
      <c r="P80" s="14" t="s">
        <v>99</v>
      </c>
      <c r="Q80" s="14" t="s">
        <v>99</v>
      </c>
      <c r="R80" s="14" t="s">
        <v>99</v>
      </c>
      <c r="S80" s="14" t="s">
        <v>99</v>
      </c>
      <c r="T80" s="14" t="s">
        <v>6160</v>
      </c>
      <c r="U80" s="14" t="s">
        <v>6161</v>
      </c>
      <c r="V80" s="14" t="s">
        <v>6162</v>
      </c>
      <c r="W80" s="14" t="s">
        <v>6163</v>
      </c>
      <c r="X80" s="14" t="s">
        <v>6164</v>
      </c>
      <c r="Y80" s="14" t="s">
        <v>6165</v>
      </c>
      <c r="Z80" s="14" t="s">
        <v>6166</v>
      </c>
      <c r="AA80" s="14" t="s">
        <v>6167</v>
      </c>
      <c r="AB80" s="14" t="s">
        <v>6168</v>
      </c>
      <c r="AC80" s="14" t="s">
        <v>6169</v>
      </c>
      <c r="AD80" s="14" t="s">
        <v>6170</v>
      </c>
      <c r="AE80" s="14" t="s">
        <v>6171</v>
      </c>
      <c r="AF80" s="14" t="s">
        <v>99</v>
      </c>
      <c r="AG80" s="14">
        <v>56.0</v>
      </c>
      <c r="AH80" s="14">
        <v>224.0</v>
      </c>
      <c r="AI80" s="14">
        <v>260.0</v>
      </c>
      <c r="AJ80" s="14">
        <v>0.0</v>
      </c>
      <c r="AK80" s="14">
        <v>108.0</v>
      </c>
      <c r="AL80" s="14" t="s">
        <v>788</v>
      </c>
      <c r="AM80" s="14" t="s">
        <v>789</v>
      </c>
      <c r="AN80" s="14" t="s">
        <v>790</v>
      </c>
      <c r="AO80" s="14" t="s">
        <v>791</v>
      </c>
      <c r="AP80" s="14" t="s">
        <v>792</v>
      </c>
      <c r="AQ80" s="14" t="s">
        <v>99</v>
      </c>
      <c r="AR80" s="14" t="s">
        <v>793</v>
      </c>
      <c r="AS80" s="14" t="s">
        <v>794</v>
      </c>
      <c r="AT80" s="14" t="s">
        <v>6172</v>
      </c>
      <c r="AU80" s="14">
        <v>2010.0</v>
      </c>
      <c r="AV80" s="14">
        <v>107.0</v>
      </c>
      <c r="AW80" s="14">
        <v>33.0</v>
      </c>
      <c r="AX80" s="14" t="s">
        <v>99</v>
      </c>
      <c r="AY80" s="14" t="s">
        <v>99</v>
      </c>
      <c r="AZ80" s="14" t="s">
        <v>99</v>
      </c>
      <c r="BA80" s="14" t="s">
        <v>99</v>
      </c>
      <c r="BB80" s="14">
        <v>14556.0</v>
      </c>
      <c r="BC80" s="14">
        <v>14561.0</v>
      </c>
      <c r="BD80" s="14" t="s">
        <v>99</v>
      </c>
      <c r="BE80" s="14" t="s">
        <v>6173</v>
      </c>
      <c r="BF80" s="15" t="str">
        <f>HYPERLINK("http://dx.doi.org/10.1073/pnas.0914471107","http://dx.doi.org/10.1073/pnas.0914471107")</f>
        <v>http://dx.doi.org/10.1073/pnas.0914471107</v>
      </c>
      <c r="BG80" s="14" t="s">
        <v>99</v>
      </c>
      <c r="BH80" s="14" t="s">
        <v>99</v>
      </c>
      <c r="BI80" s="14">
        <v>6.0</v>
      </c>
      <c r="BJ80" s="14" t="s">
        <v>799</v>
      </c>
      <c r="BK80" s="14" t="s">
        <v>800</v>
      </c>
      <c r="BL80" s="14" t="s">
        <v>801</v>
      </c>
      <c r="BM80" s="14" t="s">
        <v>6174</v>
      </c>
      <c r="BN80" s="14">
        <v>2.06792E7</v>
      </c>
      <c r="BO80" s="14" t="s">
        <v>425</v>
      </c>
      <c r="BP80" s="14" t="s">
        <v>99</v>
      </c>
      <c r="BQ80" s="14" t="s">
        <v>99</v>
      </c>
      <c r="BR80" s="14" t="s">
        <v>124</v>
      </c>
      <c r="BS80" s="14" t="s">
        <v>6175</v>
      </c>
      <c r="BT80" s="14" t="str">
        <f>HYPERLINK("https%3A%2F%2Fwww.webofscience.com%2Fwos%2Fwoscc%2Ffull-record%2FWOS:000281287600010","View Full Record in Web of Science")</f>
        <v>View Full Record in Web of Science</v>
      </c>
    </row>
    <row r="81" ht="12.75" customHeight="1">
      <c r="A81" s="14" t="s">
        <v>97</v>
      </c>
      <c r="B81" s="14" t="s">
        <v>6176</v>
      </c>
      <c r="C81" s="14" t="s">
        <v>99</v>
      </c>
      <c r="D81" s="14" t="s">
        <v>99</v>
      </c>
      <c r="E81" s="14" t="s">
        <v>99</v>
      </c>
      <c r="F81" s="14" t="s">
        <v>6177</v>
      </c>
      <c r="G81" s="14" t="s">
        <v>99</v>
      </c>
      <c r="H81" s="14" t="s">
        <v>99</v>
      </c>
      <c r="I81" s="14" t="s">
        <v>6178</v>
      </c>
      <c r="J81" s="14" t="s">
        <v>6179</v>
      </c>
      <c r="K81" s="14" t="s">
        <v>99</v>
      </c>
      <c r="L81" s="14" t="s">
        <v>99</v>
      </c>
      <c r="M81" s="14" t="s">
        <v>103</v>
      </c>
      <c r="N81" s="14" t="s">
        <v>104</v>
      </c>
      <c r="O81" s="14" t="s">
        <v>99</v>
      </c>
      <c r="P81" s="14" t="s">
        <v>99</v>
      </c>
      <c r="Q81" s="14" t="s">
        <v>99</v>
      </c>
      <c r="R81" s="14" t="s">
        <v>99</v>
      </c>
      <c r="S81" s="14" t="s">
        <v>99</v>
      </c>
      <c r="T81" s="14" t="s">
        <v>6180</v>
      </c>
      <c r="U81" s="14" t="s">
        <v>6181</v>
      </c>
      <c r="V81" s="14" t="s">
        <v>6182</v>
      </c>
      <c r="W81" s="14" t="s">
        <v>6183</v>
      </c>
      <c r="X81" s="14" t="s">
        <v>6184</v>
      </c>
      <c r="Y81" s="14" t="s">
        <v>6185</v>
      </c>
      <c r="Z81" s="14" t="s">
        <v>6186</v>
      </c>
      <c r="AA81" s="14" t="s">
        <v>6187</v>
      </c>
      <c r="AB81" s="14" t="s">
        <v>6188</v>
      </c>
      <c r="AC81" s="14" t="s">
        <v>6189</v>
      </c>
      <c r="AD81" s="14" t="s">
        <v>6190</v>
      </c>
      <c r="AE81" s="14" t="s">
        <v>6191</v>
      </c>
      <c r="AF81" s="14" t="s">
        <v>99</v>
      </c>
      <c r="AG81" s="14">
        <v>205.0</v>
      </c>
      <c r="AH81" s="14">
        <v>255.0</v>
      </c>
      <c r="AI81" s="14">
        <v>288.0</v>
      </c>
      <c r="AJ81" s="14">
        <v>1.0</v>
      </c>
      <c r="AK81" s="14">
        <v>174.0</v>
      </c>
      <c r="AL81" s="14" t="s">
        <v>467</v>
      </c>
      <c r="AM81" s="14" t="s">
        <v>468</v>
      </c>
      <c r="AN81" s="14" t="s">
        <v>469</v>
      </c>
      <c r="AO81" s="14" t="s">
        <v>6192</v>
      </c>
      <c r="AP81" s="14" t="s">
        <v>6193</v>
      </c>
      <c r="AQ81" s="14" t="s">
        <v>99</v>
      </c>
      <c r="AR81" s="14" t="s">
        <v>6194</v>
      </c>
      <c r="AS81" s="14" t="s">
        <v>6195</v>
      </c>
      <c r="AT81" s="14" t="s">
        <v>448</v>
      </c>
      <c r="AU81" s="14">
        <v>2010.0</v>
      </c>
      <c r="AV81" s="14">
        <v>57.0</v>
      </c>
      <c r="AW81" s="14">
        <v>16.0</v>
      </c>
      <c r="AX81" s="14" t="s">
        <v>99</v>
      </c>
      <c r="AY81" s="14" t="s">
        <v>99</v>
      </c>
      <c r="AZ81" s="14" t="s">
        <v>99</v>
      </c>
      <c r="BA81" s="14" t="s">
        <v>99</v>
      </c>
      <c r="BB81" s="14">
        <v>1504.0</v>
      </c>
      <c r="BC81" s="14">
        <v>1518.0</v>
      </c>
      <c r="BD81" s="14" t="s">
        <v>99</v>
      </c>
      <c r="BE81" s="14" t="s">
        <v>6196</v>
      </c>
      <c r="BF81" s="15" t="str">
        <f>HYPERLINK("http://dx.doi.org/10.1016/j.dsr2.2010.02.018","http://dx.doi.org/10.1016/j.dsr2.2010.02.018")</f>
        <v>http://dx.doi.org/10.1016/j.dsr2.2010.02.018</v>
      </c>
      <c r="BG81" s="14" t="s">
        <v>99</v>
      </c>
      <c r="BH81" s="14" t="s">
        <v>99</v>
      </c>
      <c r="BI81" s="14">
        <v>15.0</v>
      </c>
      <c r="BJ81" s="14" t="s">
        <v>2034</v>
      </c>
      <c r="BK81" s="14" t="s">
        <v>122</v>
      </c>
      <c r="BL81" s="14" t="s">
        <v>2034</v>
      </c>
      <c r="BM81" s="14" t="s">
        <v>6197</v>
      </c>
      <c r="BN81" s="14" t="s">
        <v>99</v>
      </c>
      <c r="BO81" s="14" t="s">
        <v>425</v>
      </c>
      <c r="BP81" s="14" t="s">
        <v>99</v>
      </c>
      <c r="BQ81" s="14" t="s">
        <v>99</v>
      </c>
      <c r="BR81" s="14" t="s">
        <v>124</v>
      </c>
      <c r="BS81" s="14" t="s">
        <v>6198</v>
      </c>
      <c r="BT81" s="14" t="str">
        <f>HYPERLINK("https%3A%2F%2Fwww.webofscience.com%2Fwos%2Fwoscc%2Ffull-record%2FWOS:000280377900008","View Full Record in Web of Science")</f>
        <v>View Full Record in Web of Science</v>
      </c>
    </row>
    <row r="82" ht="12.75" customHeight="1">
      <c r="A82" s="14" t="s">
        <v>97</v>
      </c>
      <c r="B82" s="14" t="s">
        <v>6282</v>
      </c>
      <c r="C82" s="14" t="s">
        <v>99</v>
      </c>
      <c r="D82" s="14" t="s">
        <v>99</v>
      </c>
      <c r="E82" s="14" t="s">
        <v>99</v>
      </c>
      <c r="F82" s="14" t="s">
        <v>6283</v>
      </c>
      <c r="G82" s="14" t="s">
        <v>99</v>
      </c>
      <c r="H82" s="14" t="s">
        <v>99</v>
      </c>
      <c r="I82" s="14" t="s">
        <v>6284</v>
      </c>
      <c r="J82" s="14" t="s">
        <v>6285</v>
      </c>
      <c r="K82" s="14" t="s">
        <v>99</v>
      </c>
      <c r="L82" s="14" t="s">
        <v>99</v>
      </c>
      <c r="M82" s="14" t="s">
        <v>103</v>
      </c>
      <c r="N82" s="14" t="s">
        <v>104</v>
      </c>
      <c r="O82" s="14" t="s">
        <v>99</v>
      </c>
      <c r="P82" s="14" t="s">
        <v>99</v>
      </c>
      <c r="Q82" s="14" t="s">
        <v>99</v>
      </c>
      <c r="R82" s="14" t="s">
        <v>99</v>
      </c>
      <c r="S82" s="14" t="s">
        <v>99</v>
      </c>
      <c r="T82" s="14" t="s">
        <v>6286</v>
      </c>
      <c r="U82" s="14" t="s">
        <v>6287</v>
      </c>
      <c r="V82" s="14" t="s">
        <v>6288</v>
      </c>
      <c r="W82" s="14" t="s">
        <v>6289</v>
      </c>
      <c r="X82" s="14" t="s">
        <v>6290</v>
      </c>
      <c r="Y82" s="14" t="s">
        <v>6291</v>
      </c>
      <c r="Z82" s="14" t="s">
        <v>6292</v>
      </c>
      <c r="AA82" s="14" t="s">
        <v>6293</v>
      </c>
      <c r="AB82" s="14" t="s">
        <v>6294</v>
      </c>
      <c r="AC82" s="14" t="s">
        <v>6295</v>
      </c>
      <c r="AD82" s="14" t="s">
        <v>6296</v>
      </c>
      <c r="AE82" s="14" t="s">
        <v>6297</v>
      </c>
      <c r="AF82" s="14" t="s">
        <v>99</v>
      </c>
      <c r="AG82" s="14">
        <v>45.0</v>
      </c>
      <c r="AH82" s="14">
        <v>1319.0</v>
      </c>
      <c r="AI82" s="14">
        <v>1455.0</v>
      </c>
      <c r="AJ82" s="14">
        <v>11.0</v>
      </c>
      <c r="AK82" s="14">
        <v>719.0</v>
      </c>
      <c r="AL82" s="14" t="s">
        <v>6298</v>
      </c>
      <c r="AM82" s="14" t="s">
        <v>6299</v>
      </c>
      <c r="AN82" s="14" t="s">
        <v>6300</v>
      </c>
      <c r="AO82" s="14" t="s">
        <v>6301</v>
      </c>
      <c r="AP82" s="14" t="s">
        <v>6302</v>
      </c>
      <c r="AQ82" s="14" t="s">
        <v>99</v>
      </c>
      <c r="AR82" s="14" t="s">
        <v>6303</v>
      </c>
      <c r="AS82" s="14" t="s">
        <v>6304</v>
      </c>
      <c r="AT82" s="14" t="s">
        <v>616</v>
      </c>
      <c r="AU82" s="14">
        <v>2010.0</v>
      </c>
      <c r="AV82" s="14">
        <v>118.0</v>
      </c>
      <c r="AW82" s="14">
        <v>6.0</v>
      </c>
      <c r="AX82" s="14" t="s">
        <v>99</v>
      </c>
      <c r="AY82" s="14" t="s">
        <v>99</v>
      </c>
      <c r="AZ82" s="14" t="s">
        <v>99</v>
      </c>
      <c r="BA82" s="14" t="s">
        <v>99</v>
      </c>
      <c r="BB82" s="14">
        <v>847.0</v>
      </c>
      <c r="BC82" s="14">
        <v>855.0</v>
      </c>
      <c r="BD82" s="14" t="s">
        <v>99</v>
      </c>
      <c r="BE82" s="14" t="s">
        <v>6305</v>
      </c>
      <c r="BF82" s="15" t="str">
        <f>HYPERLINK("http://dx.doi.org/10.1289/ehp.0901623","http://dx.doi.org/10.1289/ehp.0901623")</f>
        <v>http://dx.doi.org/10.1289/ehp.0901623</v>
      </c>
      <c r="BG82" s="14" t="s">
        <v>99</v>
      </c>
      <c r="BH82" s="14" t="s">
        <v>99</v>
      </c>
      <c r="BI82" s="14">
        <v>9.0</v>
      </c>
      <c r="BJ82" s="14" t="s">
        <v>6306</v>
      </c>
      <c r="BK82" s="14" t="s">
        <v>122</v>
      </c>
      <c r="BL82" s="14" t="s">
        <v>6307</v>
      </c>
      <c r="BM82" s="14" t="s">
        <v>6308</v>
      </c>
      <c r="BN82" s="14">
        <v>2.0519161E7</v>
      </c>
      <c r="BO82" s="14" t="s">
        <v>1251</v>
      </c>
      <c r="BP82" s="14" t="s">
        <v>99</v>
      </c>
      <c r="BQ82" s="14" t="s">
        <v>99</v>
      </c>
      <c r="BR82" s="14" t="s">
        <v>124</v>
      </c>
      <c r="BS82" s="14" t="s">
        <v>6309</v>
      </c>
      <c r="BT82" s="14" t="str">
        <f>HYPERLINK("https%3A%2F%2Fwww.webofscience.com%2Fwos%2Fwoscc%2Ffull-record%2FWOS:000278591300031","View Full Record in Web of Science")</f>
        <v>View Full Record in Web of Science</v>
      </c>
    </row>
    <row r="83" ht="12.75" customHeight="1">
      <c r="A83" s="14" t="s">
        <v>97</v>
      </c>
      <c r="B83" s="14" t="s">
        <v>6310</v>
      </c>
      <c r="C83" s="14" t="s">
        <v>99</v>
      </c>
      <c r="D83" s="14" t="s">
        <v>99</v>
      </c>
      <c r="E83" s="14" t="s">
        <v>99</v>
      </c>
      <c r="F83" s="14" t="s">
        <v>6311</v>
      </c>
      <c r="G83" s="14" t="s">
        <v>99</v>
      </c>
      <c r="H83" s="14" t="s">
        <v>99</v>
      </c>
      <c r="I83" s="14" t="s">
        <v>6312</v>
      </c>
      <c r="J83" s="14" t="s">
        <v>2566</v>
      </c>
      <c r="K83" s="14" t="s">
        <v>99</v>
      </c>
      <c r="L83" s="14" t="s">
        <v>99</v>
      </c>
      <c r="M83" s="14" t="s">
        <v>103</v>
      </c>
      <c r="N83" s="14" t="s">
        <v>104</v>
      </c>
      <c r="O83" s="14" t="s">
        <v>99</v>
      </c>
      <c r="P83" s="14" t="s">
        <v>99</v>
      </c>
      <c r="Q83" s="14" t="s">
        <v>99</v>
      </c>
      <c r="R83" s="14" t="s">
        <v>99</v>
      </c>
      <c r="S83" s="14" t="s">
        <v>99</v>
      </c>
      <c r="T83" s="14" t="s">
        <v>99</v>
      </c>
      <c r="U83" s="14" t="s">
        <v>6313</v>
      </c>
      <c r="V83" s="14" t="s">
        <v>6314</v>
      </c>
      <c r="W83" s="14" t="s">
        <v>6315</v>
      </c>
      <c r="X83" s="14" t="s">
        <v>6316</v>
      </c>
      <c r="Y83" s="14" t="s">
        <v>6317</v>
      </c>
      <c r="Z83" s="14" t="s">
        <v>6318</v>
      </c>
      <c r="AA83" s="14" t="s">
        <v>6319</v>
      </c>
      <c r="AB83" s="14" t="s">
        <v>6320</v>
      </c>
      <c r="AC83" s="14" t="s">
        <v>6321</v>
      </c>
      <c r="AD83" s="14" t="s">
        <v>6322</v>
      </c>
      <c r="AE83" s="14" t="s">
        <v>6323</v>
      </c>
      <c r="AF83" s="14" t="s">
        <v>99</v>
      </c>
      <c r="AG83" s="14">
        <v>26.0</v>
      </c>
      <c r="AH83" s="14">
        <v>3585.0</v>
      </c>
      <c r="AI83" s="14">
        <v>4250.0</v>
      </c>
      <c r="AJ83" s="14">
        <v>56.0</v>
      </c>
      <c r="AK83" s="14">
        <v>4484.0</v>
      </c>
      <c r="AL83" s="14" t="s">
        <v>1243</v>
      </c>
      <c r="AM83" s="14" t="s">
        <v>789</v>
      </c>
      <c r="AN83" s="14" t="s">
        <v>1244</v>
      </c>
      <c r="AO83" s="14" t="s">
        <v>2578</v>
      </c>
      <c r="AP83" s="14" t="s">
        <v>2579</v>
      </c>
      <c r="AQ83" s="14" t="s">
        <v>99</v>
      </c>
      <c r="AR83" s="14" t="s">
        <v>2566</v>
      </c>
      <c r="AS83" s="14" t="s">
        <v>2580</v>
      </c>
      <c r="AT83" s="14" t="s">
        <v>6324</v>
      </c>
      <c r="AU83" s="14">
        <v>2010.0</v>
      </c>
      <c r="AV83" s="14">
        <v>328.0</v>
      </c>
      <c r="AW83" s="14">
        <v>5982.0</v>
      </c>
      <c r="AX83" s="14" t="s">
        <v>99</v>
      </c>
      <c r="AY83" s="14" t="s">
        <v>99</v>
      </c>
      <c r="AZ83" s="14" t="s">
        <v>99</v>
      </c>
      <c r="BA83" s="14" t="s">
        <v>99</v>
      </c>
      <c r="BB83" s="14">
        <v>1164.0</v>
      </c>
      <c r="BC83" s="14">
        <v>1168.0</v>
      </c>
      <c r="BD83" s="14" t="s">
        <v>99</v>
      </c>
      <c r="BE83" s="14" t="s">
        <v>6325</v>
      </c>
      <c r="BF83" s="15" t="str">
        <f>HYPERLINK("http://dx.doi.org/10.1126/science.1187512","http://dx.doi.org/10.1126/science.1187512")</f>
        <v>http://dx.doi.org/10.1126/science.1187512</v>
      </c>
      <c r="BG83" s="14" t="s">
        <v>99</v>
      </c>
      <c r="BH83" s="14" t="s">
        <v>99</v>
      </c>
      <c r="BI83" s="14">
        <v>5.0</v>
      </c>
      <c r="BJ83" s="14" t="s">
        <v>799</v>
      </c>
      <c r="BK83" s="14" t="s">
        <v>122</v>
      </c>
      <c r="BL83" s="14" t="s">
        <v>801</v>
      </c>
      <c r="BM83" s="14" t="s">
        <v>6326</v>
      </c>
      <c r="BN83" s="14">
        <v>2.0430971E7</v>
      </c>
      <c r="BO83" s="14" t="s">
        <v>99</v>
      </c>
      <c r="BP83" s="14" t="s">
        <v>99</v>
      </c>
      <c r="BQ83" s="14" t="s">
        <v>99</v>
      </c>
      <c r="BR83" s="14" t="s">
        <v>124</v>
      </c>
      <c r="BS83" s="14" t="s">
        <v>6327</v>
      </c>
      <c r="BT83" s="14" t="str">
        <f>HYPERLINK("https%3A%2F%2Fwww.webofscience.com%2Fwos%2Fwoscc%2Ffull-record%2FWOS:000278104700046","View Full Record in Web of Science")</f>
        <v>View Full Record in Web of Science</v>
      </c>
    </row>
    <row r="84" ht="12.75" customHeight="1">
      <c r="A84" s="14" t="s">
        <v>97</v>
      </c>
      <c r="B84" s="14" t="s">
        <v>6383</v>
      </c>
      <c r="C84" s="14" t="s">
        <v>99</v>
      </c>
      <c r="D84" s="14" t="s">
        <v>99</v>
      </c>
      <c r="E84" s="14" t="s">
        <v>99</v>
      </c>
      <c r="F84" s="14" t="s">
        <v>6384</v>
      </c>
      <c r="G84" s="14" t="s">
        <v>99</v>
      </c>
      <c r="H84" s="14" t="s">
        <v>99</v>
      </c>
      <c r="I84" s="14" t="s">
        <v>6385</v>
      </c>
      <c r="J84" s="14" t="s">
        <v>5840</v>
      </c>
      <c r="K84" s="14" t="s">
        <v>99</v>
      </c>
      <c r="L84" s="14" t="s">
        <v>99</v>
      </c>
      <c r="M84" s="14" t="s">
        <v>103</v>
      </c>
      <c r="N84" s="14" t="s">
        <v>104</v>
      </c>
      <c r="O84" s="14" t="s">
        <v>99</v>
      </c>
      <c r="P84" s="14" t="s">
        <v>99</v>
      </c>
      <c r="Q84" s="14" t="s">
        <v>99</v>
      </c>
      <c r="R84" s="14" t="s">
        <v>99</v>
      </c>
      <c r="S84" s="14" t="s">
        <v>99</v>
      </c>
      <c r="T84" s="14" t="s">
        <v>99</v>
      </c>
      <c r="U84" s="14" t="s">
        <v>6386</v>
      </c>
      <c r="V84" s="14" t="s">
        <v>6387</v>
      </c>
      <c r="W84" s="14" t="s">
        <v>6388</v>
      </c>
      <c r="X84" s="14" t="s">
        <v>6389</v>
      </c>
      <c r="Y84" s="14" t="s">
        <v>6390</v>
      </c>
      <c r="Z84" s="14" t="s">
        <v>6391</v>
      </c>
      <c r="AA84" s="14" t="s">
        <v>6392</v>
      </c>
      <c r="AB84" s="14" t="s">
        <v>6393</v>
      </c>
      <c r="AC84" s="14" t="s">
        <v>6394</v>
      </c>
      <c r="AD84" s="14" t="s">
        <v>6395</v>
      </c>
      <c r="AE84" s="14" t="s">
        <v>6396</v>
      </c>
      <c r="AF84" s="14" t="s">
        <v>99</v>
      </c>
      <c r="AG84" s="14">
        <v>37.0</v>
      </c>
      <c r="AH84" s="14">
        <v>708.0</v>
      </c>
      <c r="AI84" s="14">
        <v>796.0</v>
      </c>
      <c r="AJ84" s="14">
        <v>31.0</v>
      </c>
      <c r="AK84" s="14">
        <v>916.0</v>
      </c>
      <c r="AL84" s="14" t="s">
        <v>1326</v>
      </c>
      <c r="AM84" s="14" t="s">
        <v>1594</v>
      </c>
      <c r="AN84" s="14" t="s">
        <v>5852</v>
      </c>
      <c r="AO84" s="14" t="s">
        <v>5853</v>
      </c>
      <c r="AP84" s="14" t="s">
        <v>5854</v>
      </c>
      <c r="AQ84" s="14" t="s">
        <v>99</v>
      </c>
      <c r="AR84" s="14" t="s">
        <v>5855</v>
      </c>
      <c r="AS84" s="14" t="s">
        <v>5856</v>
      </c>
      <c r="AT84" s="14" t="s">
        <v>640</v>
      </c>
      <c r="AU84" s="14">
        <v>2010.0</v>
      </c>
      <c r="AV84" s="14">
        <v>3.0</v>
      </c>
      <c r="AW84" s="14">
        <v>5.0</v>
      </c>
      <c r="AX84" s="14" t="s">
        <v>99</v>
      </c>
      <c r="AY84" s="14" t="s">
        <v>99</v>
      </c>
      <c r="AZ84" s="14" t="s">
        <v>1738</v>
      </c>
      <c r="BA84" s="14" t="s">
        <v>99</v>
      </c>
      <c r="BB84" s="14">
        <v>311.0</v>
      </c>
      <c r="BC84" s="14">
        <v>314.0</v>
      </c>
      <c r="BD84" s="14" t="s">
        <v>99</v>
      </c>
      <c r="BE84" s="14" t="s">
        <v>6397</v>
      </c>
      <c r="BF84" s="15" t="str">
        <f>HYPERLINK("http://dx.doi.org/10.1038/ngeo838","http://dx.doi.org/10.1038/ngeo838")</f>
        <v>http://dx.doi.org/10.1038/ngeo838</v>
      </c>
      <c r="BG84" s="14" t="s">
        <v>99</v>
      </c>
      <c r="BH84" s="14" t="s">
        <v>99</v>
      </c>
      <c r="BI84" s="14">
        <v>4.0</v>
      </c>
      <c r="BJ84" s="14" t="s">
        <v>990</v>
      </c>
      <c r="BK84" s="14" t="s">
        <v>122</v>
      </c>
      <c r="BL84" s="14" t="s">
        <v>991</v>
      </c>
      <c r="BM84" s="14" t="s">
        <v>6398</v>
      </c>
      <c r="BN84" s="14" t="s">
        <v>99</v>
      </c>
      <c r="BO84" s="14" t="s">
        <v>99</v>
      </c>
      <c r="BP84" s="14" t="s">
        <v>99</v>
      </c>
      <c r="BQ84" s="14" t="s">
        <v>99</v>
      </c>
      <c r="BR84" s="14" t="s">
        <v>124</v>
      </c>
      <c r="BS84" s="14" t="s">
        <v>6399</v>
      </c>
      <c r="BT84" s="14" t="str">
        <f>HYPERLINK("https%3A%2F%2Fwww.webofscience.com%2Fwos%2Fwoscc%2Ffull-record%2FWOS:000277188500011","View Full Record in Web of Science")</f>
        <v>View Full Record in Web of Science</v>
      </c>
    </row>
    <row r="85" ht="12.75" customHeight="1">
      <c r="A85" s="14" t="s">
        <v>97</v>
      </c>
      <c r="B85" s="14" t="s">
        <v>6545</v>
      </c>
      <c r="C85" s="14" t="s">
        <v>99</v>
      </c>
      <c r="D85" s="14" t="s">
        <v>99</v>
      </c>
      <c r="E85" s="14" t="s">
        <v>99</v>
      </c>
      <c r="F85" s="14" t="s">
        <v>6546</v>
      </c>
      <c r="G85" s="14" t="s">
        <v>99</v>
      </c>
      <c r="H85" s="14" t="s">
        <v>99</v>
      </c>
      <c r="I85" s="14" t="s">
        <v>6547</v>
      </c>
      <c r="J85" s="14" t="s">
        <v>2566</v>
      </c>
      <c r="K85" s="14" t="s">
        <v>99</v>
      </c>
      <c r="L85" s="14" t="s">
        <v>99</v>
      </c>
      <c r="M85" s="14" t="s">
        <v>103</v>
      </c>
      <c r="N85" s="14" t="s">
        <v>104</v>
      </c>
      <c r="O85" s="14" t="s">
        <v>99</v>
      </c>
      <c r="P85" s="14" t="s">
        <v>99</v>
      </c>
      <c r="Q85" s="14" t="s">
        <v>99</v>
      </c>
      <c r="R85" s="14" t="s">
        <v>99</v>
      </c>
      <c r="S85" s="14" t="s">
        <v>99</v>
      </c>
      <c r="T85" s="14" t="s">
        <v>99</v>
      </c>
      <c r="U85" s="14" t="s">
        <v>6548</v>
      </c>
      <c r="V85" s="14" t="s">
        <v>6549</v>
      </c>
      <c r="W85" s="14" t="s">
        <v>6550</v>
      </c>
      <c r="X85" s="14" t="s">
        <v>6551</v>
      </c>
      <c r="Y85" s="14" t="s">
        <v>6552</v>
      </c>
      <c r="Z85" s="14" t="s">
        <v>6553</v>
      </c>
      <c r="AA85" s="14" t="s">
        <v>6554</v>
      </c>
      <c r="AB85" s="14" t="s">
        <v>6555</v>
      </c>
      <c r="AC85" s="14" t="s">
        <v>6556</v>
      </c>
      <c r="AD85" s="14" t="s">
        <v>6557</v>
      </c>
      <c r="AE85" s="14" t="s">
        <v>6558</v>
      </c>
      <c r="AF85" s="14" t="s">
        <v>99</v>
      </c>
      <c r="AG85" s="14">
        <v>22.0</v>
      </c>
      <c r="AH85" s="14">
        <v>806.0</v>
      </c>
      <c r="AI85" s="14">
        <v>1024.0</v>
      </c>
      <c r="AJ85" s="14">
        <v>5.0</v>
      </c>
      <c r="AK85" s="14">
        <v>362.0</v>
      </c>
      <c r="AL85" s="14" t="s">
        <v>1243</v>
      </c>
      <c r="AM85" s="14" t="s">
        <v>789</v>
      </c>
      <c r="AN85" s="14" t="s">
        <v>1244</v>
      </c>
      <c r="AO85" s="14" t="s">
        <v>2578</v>
      </c>
      <c r="AP85" s="14" t="s">
        <v>2579</v>
      </c>
      <c r="AQ85" s="14" t="s">
        <v>99</v>
      </c>
      <c r="AR85" s="14" t="s">
        <v>2566</v>
      </c>
      <c r="AS85" s="14" t="s">
        <v>2580</v>
      </c>
      <c r="AT85" s="14" t="s">
        <v>4442</v>
      </c>
      <c r="AU85" s="14">
        <v>2010.0</v>
      </c>
      <c r="AV85" s="14">
        <v>327.0</v>
      </c>
      <c r="AW85" s="14">
        <v>5964.0</v>
      </c>
      <c r="AX85" s="14" t="s">
        <v>99</v>
      </c>
      <c r="AY85" s="14" t="s">
        <v>99</v>
      </c>
      <c r="AZ85" s="14" t="s">
        <v>99</v>
      </c>
      <c r="BA85" s="14" t="s">
        <v>99</v>
      </c>
      <c r="BB85" s="14">
        <v>454.0</v>
      </c>
      <c r="BC85" s="14">
        <v>458.0</v>
      </c>
      <c r="BD85" s="14" t="s">
        <v>99</v>
      </c>
      <c r="BE85" s="14" t="s">
        <v>6559</v>
      </c>
      <c r="BF85" s="15" t="str">
        <f>HYPERLINK("http://dx.doi.org/10.1126/science.1180568","http://dx.doi.org/10.1126/science.1180568")</f>
        <v>http://dx.doi.org/10.1126/science.1180568</v>
      </c>
      <c r="BG85" s="14" t="s">
        <v>99</v>
      </c>
      <c r="BH85" s="14" t="s">
        <v>99</v>
      </c>
      <c r="BI85" s="14">
        <v>5.0</v>
      </c>
      <c r="BJ85" s="14" t="s">
        <v>799</v>
      </c>
      <c r="BK85" s="14" t="s">
        <v>122</v>
      </c>
      <c r="BL85" s="14" t="s">
        <v>801</v>
      </c>
      <c r="BM85" s="14" t="s">
        <v>6560</v>
      </c>
      <c r="BN85" s="14">
        <v>2.0093471E7</v>
      </c>
      <c r="BO85" s="14" t="s">
        <v>99</v>
      </c>
      <c r="BP85" s="14" t="s">
        <v>99</v>
      </c>
      <c r="BQ85" s="14" t="s">
        <v>99</v>
      </c>
      <c r="BR85" s="14" t="s">
        <v>124</v>
      </c>
      <c r="BS85" s="14" t="s">
        <v>6561</v>
      </c>
      <c r="BT85" s="14" t="str">
        <f>HYPERLINK("https%3A%2F%2Fwww.webofscience.com%2Fwos%2Fwoscc%2Ffull-record%2FWOS:000273783100035","View Full Record in Web of Science")</f>
        <v>View Full Record in Web of Science</v>
      </c>
    </row>
    <row r="86" ht="12.75" customHeight="1">
      <c r="A86" s="14" t="s">
        <v>97</v>
      </c>
      <c r="B86" s="14" t="s">
        <v>6613</v>
      </c>
      <c r="C86" s="14" t="s">
        <v>99</v>
      </c>
      <c r="D86" s="14" t="s">
        <v>99</v>
      </c>
      <c r="E86" s="14" t="s">
        <v>99</v>
      </c>
      <c r="F86" s="14" t="s">
        <v>6614</v>
      </c>
      <c r="G86" s="14" t="s">
        <v>99</v>
      </c>
      <c r="H86" s="14" t="s">
        <v>99</v>
      </c>
      <c r="I86" s="14" t="s">
        <v>6615</v>
      </c>
      <c r="J86" s="14" t="s">
        <v>900</v>
      </c>
      <c r="K86" s="14" t="s">
        <v>99</v>
      </c>
      <c r="L86" s="14" t="s">
        <v>99</v>
      </c>
      <c r="M86" s="14" t="s">
        <v>103</v>
      </c>
      <c r="N86" s="14" t="s">
        <v>104</v>
      </c>
      <c r="O86" s="14" t="s">
        <v>99</v>
      </c>
      <c r="P86" s="14" t="s">
        <v>99</v>
      </c>
      <c r="Q86" s="14" t="s">
        <v>99</v>
      </c>
      <c r="R86" s="14" t="s">
        <v>99</v>
      </c>
      <c r="S86" s="14" t="s">
        <v>99</v>
      </c>
      <c r="T86" s="14" t="s">
        <v>99</v>
      </c>
      <c r="U86" s="14" t="s">
        <v>6616</v>
      </c>
      <c r="V86" s="14" t="s">
        <v>6617</v>
      </c>
      <c r="W86" s="14" t="s">
        <v>6618</v>
      </c>
      <c r="X86" s="14" t="s">
        <v>6619</v>
      </c>
      <c r="Y86" s="14" t="s">
        <v>6620</v>
      </c>
      <c r="Z86" s="14" t="s">
        <v>6621</v>
      </c>
      <c r="AA86" s="14" t="s">
        <v>6622</v>
      </c>
      <c r="AB86" s="14" t="s">
        <v>6623</v>
      </c>
      <c r="AC86" s="14" t="s">
        <v>6624</v>
      </c>
      <c r="AD86" s="14" t="s">
        <v>6625</v>
      </c>
      <c r="AE86" s="14" t="s">
        <v>6626</v>
      </c>
      <c r="AF86" s="14" t="s">
        <v>99</v>
      </c>
      <c r="AG86" s="14">
        <v>31.0</v>
      </c>
      <c r="AH86" s="14">
        <v>1863.0</v>
      </c>
      <c r="AI86" s="14">
        <v>2183.0</v>
      </c>
      <c r="AJ86" s="14">
        <v>31.0</v>
      </c>
      <c r="AK86" s="14">
        <v>1498.0</v>
      </c>
      <c r="AL86" s="14" t="s">
        <v>1326</v>
      </c>
      <c r="AM86" s="14" t="s">
        <v>274</v>
      </c>
      <c r="AN86" s="14" t="s">
        <v>1327</v>
      </c>
      <c r="AO86" s="14" t="s">
        <v>912</v>
      </c>
      <c r="AP86" s="14" t="s">
        <v>99</v>
      </c>
      <c r="AQ86" s="14" t="s">
        <v>99</v>
      </c>
      <c r="AR86" s="14" t="s">
        <v>900</v>
      </c>
      <c r="AS86" s="14" t="s">
        <v>914</v>
      </c>
      <c r="AT86" s="14" t="s">
        <v>6627</v>
      </c>
      <c r="AU86" s="14">
        <v>2009.0</v>
      </c>
      <c r="AV86" s="14">
        <v>462.0</v>
      </c>
      <c r="AW86" s="14">
        <v>7276.0</v>
      </c>
      <c r="AX86" s="14" t="s">
        <v>99</v>
      </c>
      <c r="AY86" s="14" t="s">
        <v>99</v>
      </c>
      <c r="AZ86" s="14" t="s">
        <v>99</v>
      </c>
      <c r="BA86" s="14" t="s">
        <v>99</v>
      </c>
      <c r="BB86" s="14">
        <v>1052.0</v>
      </c>
      <c r="BC86" s="14" t="s">
        <v>6628</v>
      </c>
      <c r="BD86" s="14" t="s">
        <v>99</v>
      </c>
      <c r="BE86" s="14" t="s">
        <v>6629</v>
      </c>
      <c r="BF86" s="15" t="str">
        <f>HYPERLINK("http://dx.doi.org/10.1038/nature08649","http://dx.doi.org/10.1038/nature08649")</f>
        <v>http://dx.doi.org/10.1038/nature08649</v>
      </c>
      <c r="BG86" s="14" t="s">
        <v>99</v>
      </c>
      <c r="BH86" s="14" t="s">
        <v>99</v>
      </c>
      <c r="BI86" s="14">
        <v>6.0</v>
      </c>
      <c r="BJ86" s="14" t="s">
        <v>799</v>
      </c>
      <c r="BK86" s="14" t="s">
        <v>122</v>
      </c>
      <c r="BL86" s="14" t="s">
        <v>801</v>
      </c>
      <c r="BM86" s="14" t="s">
        <v>6630</v>
      </c>
      <c r="BN86" s="14">
        <v>2.0033047E7</v>
      </c>
      <c r="BO86" s="14" t="s">
        <v>99</v>
      </c>
      <c r="BP86" s="14" t="s">
        <v>99</v>
      </c>
      <c r="BQ86" s="14" t="s">
        <v>99</v>
      </c>
      <c r="BR86" s="14" t="s">
        <v>124</v>
      </c>
      <c r="BS86" s="14" t="s">
        <v>6631</v>
      </c>
      <c r="BT86" s="14" t="str">
        <f>HYPERLINK("https%3A%2F%2Fwww.webofscience.com%2Fwos%2Fwoscc%2Ffull-record%2FWOS:000272996000046","View Full Record in Web of Science")</f>
        <v>View Full Record in Web of Science</v>
      </c>
    </row>
    <row r="87" ht="12.75" customHeight="1">
      <c r="A87" s="14" t="s">
        <v>97</v>
      </c>
      <c r="B87" s="14" t="s">
        <v>6632</v>
      </c>
      <c r="C87" s="14" t="s">
        <v>99</v>
      </c>
      <c r="D87" s="14" t="s">
        <v>99</v>
      </c>
      <c r="E87" s="14" t="s">
        <v>99</v>
      </c>
      <c r="F87" s="14" t="s">
        <v>6633</v>
      </c>
      <c r="G87" s="14" t="s">
        <v>99</v>
      </c>
      <c r="H87" s="14" t="s">
        <v>99</v>
      </c>
      <c r="I87" s="14" t="s">
        <v>6634</v>
      </c>
      <c r="J87" s="14" t="s">
        <v>623</v>
      </c>
      <c r="K87" s="14" t="s">
        <v>99</v>
      </c>
      <c r="L87" s="14" t="s">
        <v>99</v>
      </c>
      <c r="M87" s="14" t="s">
        <v>103</v>
      </c>
      <c r="N87" s="14" t="s">
        <v>104</v>
      </c>
      <c r="O87" s="14" t="s">
        <v>99</v>
      </c>
      <c r="P87" s="14" t="s">
        <v>99</v>
      </c>
      <c r="Q87" s="14" t="s">
        <v>99</v>
      </c>
      <c r="R87" s="14" t="s">
        <v>99</v>
      </c>
      <c r="S87" s="14" t="s">
        <v>99</v>
      </c>
      <c r="T87" s="14" t="s">
        <v>6635</v>
      </c>
      <c r="U87" s="14" t="s">
        <v>6636</v>
      </c>
      <c r="V87" s="14" t="s">
        <v>6637</v>
      </c>
      <c r="W87" s="14" t="s">
        <v>6638</v>
      </c>
      <c r="X87" s="14" t="s">
        <v>6639</v>
      </c>
      <c r="Y87" s="14" t="s">
        <v>6640</v>
      </c>
      <c r="Z87" s="14" t="s">
        <v>99</v>
      </c>
      <c r="AA87" s="14" t="s">
        <v>6641</v>
      </c>
      <c r="AB87" s="14" t="s">
        <v>99</v>
      </c>
      <c r="AC87" s="14" t="s">
        <v>99</v>
      </c>
      <c r="AD87" s="14" t="s">
        <v>99</v>
      </c>
      <c r="AE87" s="14" t="s">
        <v>99</v>
      </c>
      <c r="AF87" s="14" t="s">
        <v>99</v>
      </c>
      <c r="AG87" s="14">
        <v>40.0</v>
      </c>
      <c r="AH87" s="14">
        <v>290.0</v>
      </c>
      <c r="AI87" s="14">
        <v>351.0</v>
      </c>
      <c r="AJ87" s="14">
        <v>0.0</v>
      </c>
      <c r="AK87" s="14">
        <v>78.0</v>
      </c>
      <c r="AL87" s="14" t="s">
        <v>493</v>
      </c>
      <c r="AM87" s="14" t="s">
        <v>468</v>
      </c>
      <c r="AN87" s="14" t="s">
        <v>635</v>
      </c>
      <c r="AO87" s="14" t="s">
        <v>636</v>
      </c>
      <c r="AP87" s="14" t="s">
        <v>637</v>
      </c>
      <c r="AQ87" s="14" t="s">
        <v>99</v>
      </c>
      <c r="AR87" s="14" t="s">
        <v>638</v>
      </c>
      <c r="AS87" s="14" t="s">
        <v>639</v>
      </c>
      <c r="AT87" s="14" t="s">
        <v>1058</v>
      </c>
      <c r="AU87" s="14">
        <v>2009.0</v>
      </c>
      <c r="AV87" s="14">
        <v>29.0</v>
      </c>
      <c r="AW87" s="14">
        <v>4.0</v>
      </c>
      <c r="AX87" s="14" t="s">
        <v>99</v>
      </c>
      <c r="AY87" s="14" t="s">
        <v>99</v>
      </c>
      <c r="AZ87" s="14" t="s">
        <v>99</v>
      </c>
      <c r="BA87" s="14" t="s">
        <v>99</v>
      </c>
      <c r="BB87" s="14">
        <v>501.0</v>
      </c>
      <c r="BC87" s="14">
        <v>512.0</v>
      </c>
      <c r="BD87" s="14" t="s">
        <v>99</v>
      </c>
      <c r="BE87" s="14" t="s">
        <v>6642</v>
      </c>
      <c r="BF87" s="15" t="str">
        <f>HYPERLINK("http://dx.doi.org/10.1016/j.apgeog.2008.10.004","http://dx.doi.org/10.1016/j.apgeog.2008.10.004")</f>
        <v>http://dx.doi.org/10.1016/j.apgeog.2008.10.004</v>
      </c>
      <c r="BG87" s="14" t="s">
        <v>99</v>
      </c>
      <c r="BH87" s="14" t="s">
        <v>99</v>
      </c>
      <c r="BI87" s="14">
        <v>12.0</v>
      </c>
      <c r="BJ87" s="14" t="s">
        <v>642</v>
      </c>
      <c r="BK87" s="14" t="s">
        <v>643</v>
      </c>
      <c r="BL87" s="14" t="s">
        <v>642</v>
      </c>
      <c r="BM87" s="14" t="s">
        <v>6643</v>
      </c>
      <c r="BN87" s="14" t="s">
        <v>99</v>
      </c>
      <c r="BO87" s="14" t="s">
        <v>99</v>
      </c>
      <c r="BP87" s="14" t="s">
        <v>99</v>
      </c>
      <c r="BQ87" s="14" t="s">
        <v>99</v>
      </c>
      <c r="BR87" s="14" t="s">
        <v>124</v>
      </c>
      <c r="BS87" s="14" t="s">
        <v>6644</v>
      </c>
      <c r="BT87" s="14" t="str">
        <f>HYPERLINK("https%3A%2F%2Fwww.webofscience.com%2Fwos%2Fwoscc%2Ffull-record%2FWOS:000271256000004","View Full Record in Web of Science")</f>
        <v>View Full Record in Web of Science</v>
      </c>
    </row>
    <row r="88" ht="12.75" customHeight="1">
      <c r="A88" s="14" t="s">
        <v>97</v>
      </c>
      <c r="B88" s="14" t="s">
        <v>6732</v>
      </c>
      <c r="C88" s="14" t="s">
        <v>99</v>
      </c>
      <c r="D88" s="14" t="s">
        <v>99</v>
      </c>
      <c r="E88" s="14" t="s">
        <v>99</v>
      </c>
      <c r="F88" s="14" t="s">
        <v>6733</v>
      </c>
      <c r="G88" s="14" t="s">
        <v>99</v>
      </c>
      <c r="H88" s="14" t="s">
        <v>99</v>
      </c>
      <c r="I88" s="14" t="s">
        <v>6734</v>
      </c>
      <c r="J88" s="14" t="s">
        <v>2566</v>
      </c>
      <c r="K88" s="14" t="s">
        <v>99</v>
      </c>
      <c r="L88" s="14" t="s">
        <v>99</v>
      </c>
      <c r="M88" s="14" t="s">
        <v>103</v>
      </c>
      <c r="N88" s="14" t="s">
        <v>104</v>
      </c>
      <c r="O88" s="14" t="s">
        <v>99</v>
      </c>
      <c r="P88" s="14" t="s">
        <v>99</v>
      </c>
      <c r="Q88" s="14" t="s">
        <v>99</v>
      </c>
      <c r="R88" s="14" t="s">
        <v>99</v>
      </c>
      <c r="S88" s="14" t="s">
        <v>99</v>
      </c>
      <c r="T88" s="14" t="s">
        <v>99</v>
      </c>
      <c r="U88" s="14" t="s">
        <v>6735</v>
      </c>
      <c r="V88" s="14" t="s">
        <v>6736</v>
      </c>
      <c r="W88" s="14" t="s">
        <v>6737</v>
      </c>
      <c r="X88" s="14" t="s">
        <v>6738</v>
      </c>
      <c r="Y88" s="14" t="s">
        <v>6739</v>
      </c>
      <c r="Z88" s="14" t="s">
        <v>6740</v>
      </c>
      <c r="AA88" s="14" t="s">
        <v>6741</v>
      </c>
      <c r="AB88" s="14" t="s">
        <v>6742</v>
      </c>
      <c r="AC88" s="14" t="s">
        <v>6743</v>
      </c>
      <c r="AD88" s="14" t="s">
        <v>6744</v>
      </c>
      <c r="AE88" s="14" t="s">
        <v>6745</v>
      </c>
      <c r="AF88" s="14" t="s">
        <v>99</v>
      </c>
      <c r="AG88" s="14">
        <v>41.0</v>
      </c>
      <c r="AH88" s="14">
        <v>1716.0</v>
      </c>
      <c r="AI88" s="14">
        <v>1989.0</v>
      </c>
      <c r="AJ88" s="14">
        <v>10.0</v>
      </c>
      <c r="AK88" s="14">
        <v>1399.0</v>
      </c>
      <c r="AL88" s="14" t="s">
        <v>1243</v>
      </c>
      <c r="AM88" s="14" t="s">
        <v>789</v>
      </c>
      <c r="AN88" s="14" t="s">
        <v>1244</v>
      </c>
      <c r="AO88" s="14" t="s">
        <v>2578</v>
      </c>
      <c r="AP88" s="14" t="s">
        <v>2579</v>
      </c>
      <c r="AQ88" s="14" t="s">
        <v>99</v>
      </c>
      <c r="AR88" s="14" t="s">
        <v>2566</v>
      </c>
      <c r="AS88" s="14" t="s">
        <v>2580</v>
      </c>
      <c r="AT88" s="14" t="s">
        <v>6746</v>
      </c>
      <c r="AU88" s="14">
        <v>2009.0</v>
      </c>
      <c r="AV88" s="14">
        <v>325.0</v>
      </c>
      <c r="AW88" s="14">
        <v>5940.0</v>
      </c>
      <c r="AX88" s="14" t="s">
        <v>99</v>
      </c>
      <c r="AY88" s="14" t="s">
        <v>99</v>
      </c>
      <c r="AZ88" s="14" t="s">
        <v>99</v>
      </c>
      <c r="BA88" s="14" t="s">
        <v>99</v>
      </c>
      <c r="BB88" s="14">
        <v>578.0</v>
      </c>
      <c r="BC88" s="14">
        <v>585.0</v>
      </c>
      <c r="BD88" s="14" t="s">
        <v>99</v>
      </c>
      <c r="BE88" s="14" t="s">
        <v>6747</v>
      </c>
      <c r="BF88" s="15" t="str">
        <f>HYPERLINK("http://dx.doi.org/10.1126/science.1173146","http://dx.doi.org/10.1126/science.1173146")</f>
        <v>http://dx.doi.org/10.1126/science.1173146</v>
      </c>
      <c r="BG88" s="14" t="s">
        <v>99</v>
      </c>
      <c r="BH88" s="14" t="s">
        <v>99</v>
      </c>
      <c r="BI88" s="14">
        <v>8.0</v>
      </c>
      <c r="BJ88" s="14" t="s">
        <v>799</v>
      </c>
      <c r="BK88" s="14" t="s">
        <v>122</v>
      </c>
      <c r="BL88" s="14" t="s">
        <v>801</v>
      </c>
      <c r="BM88" s="14" t="s">
        <v>6748</v>
      </c>
      <c r="BN88" s="14">
        <v>1.9644114E7</v>
      </c>
      <c r="BO88" s="14" t="s">
        <v>425</v>
      </c>
      <c r="BP88" s="14" t="s">
        <v>99</v>
      </c>
      <c r="BQ88" s="14" t="s">
        <v>99</v>
      </c>
      <c r="BR88" s="14" t="s">
        <v>124</v>
      </c>
      <c r="BS88" s="14" t="s">
        <v>6749</v>
      </c>
      <c r="BT88" s="14" t="str">
        <f>HYPERLINK("https%3A%2F%2Fwww.webofscience.com%2Fwos%2Fwoscc%2Ffull-record%2FWOS:000268493000042","View Full Record in Web of Science")</f>
        <v>View Full Record in Web of Science</v>
      </c>
    </row>
    <row r="89" ht="12.75" customHeight="1">
      <c r="A89" s="14" t="s">
        <v>97</v>
      </c>
      <c r="B89" s="14" t="s">
        <v>6750</v>
      </c>
      <c r="C89" s="14" t="s">
        <v>99</v>
      </c>
      <c r="D89" s="14" t="s">
        <v>99</v>
      </c>
      <c r="E89" s="14" t="s">
        <v>99</v>
      </c>
      <c r="F89" s="14" t="s">
        <v>6751</v>
      </c>
      <c r="G89" s="14" t="s">
        <v>99</v>
      </c>
      <c r="H89" s="14" t="s">
        <v>99</v>
      </c>
      <c r="I89" s="14" t="s">
        <v>6752</v>
      </c>
      <c r="J89" s="14" t="s">
        <v>3729</v>
      </c>
      <c r="K89" s="14" t="s">
        <v>99</v>
      </c>
      <c r="L89" s="14" t="s">
        <v>99</v>
      </c>
      <c r="M89" s="14" t="s">
        <v>103</v>
      </c>
      <c r="N89" s="14" t="s">
        <v>104</v>
      </c>
      <c r="O89" s="14" t="s">
        <v>99</v>
      </c>
      <c r="P89" s="14" t="s">
        <v>99</v>
      </c>
      <c r="Q89" s="14" t="s">
        <v>99</v>
      </c>
      <c r="R89" s="14" t="s">
        <v>99</v>
      </c>
      <c r="S89" s="14" t="s">
        <v>99</v>
      </c>
      <c r="T89" s="14" t="s">
        <v>6753</v>
      </c>
      <c r="U89" s="14" t="s">
        <v>6754</v>
      </c>
      <c r="V89" s="14" t="s">
        <v>6755</v>
      </c>
      <c r="W89" s="14" t="s">
        <v>6756</v>
      </c>
      <c r="X89" s="14" t="s">
        <v>6757</v>
      </c>
      <c r="Y89" s="14" t="s">
        <v>6758</v>
      </c>
      <c r="Z89" s="14" t="s">
        <v>6759</v>
      </c>
      <c r="AA89" s="14" t="s">
        <v>6760</v>
      </c>
      <c r="AB89" s="14" t="s">
        <v>6761</v>
      </c>
      <c r="AC89" s="14" t="s">
        <v>6762</v>
      </c>
      <c r="AD89" s="14" t="s">
        <v>6763</v>
      </c>
      <c r="AE89" s="14" t="s">
        <v>99</v>
      </c>
      <c r="AF89" s="14" t="s">
        <v>99</v>
      </c>
      <c r="AG89" s="14">
        <v>96.0</v>
      </c>
      <c r="AH89" s="14">
        <v>4028.0</v>
      </c>
      <c r="AI89" s="14">
        <v>4579.0</v>
      </c>
      <c r="AJ89" s="14">
        <v>62.0</v>
      </c>
      <c r="AK89" s="14">
        <v>4136.0</v>
      </c>
      <c r="AL89" s="14" t="s">
        <v>1544</v>
      </c>
      <c r="AM89" s="14" t="s">
        <v>274</v>
      </c>
      <c r="AN89" s="14" t="s">
        <v>1545</v>
      </c>
      <c r="AO89" s="14" t="s">
        <v>3739</v>
      </c>
      <c r="AP89" s="14" t="s">
        <v>3740</v>
      </c>
      <c r="AQ89" s="14" t="s">
        <v>99</v>
      </c>
      <c r="AR89" s="14" t="s">
        <v>3741</v>
      </c>
      <c r="AS89" s="14" t="s">
        <v>3742</v>
      </c>
      <c r="AT89" s="14" t="s">
        <v>6764</v>
      </c>
      <c r="AU89" s="14">
        <v>2009.0</v>
      </c>
      <c r="AV89" s="14">
        <v>364.0</v>
      </c>
      <c r="AW89" s="14">
        <v>1526.0</v>
      </c>
      <c r="AX89" s="14" t="s">
        <v>99</v>
      </c>
      <c r="AY89" s="14" t="s">
        <v>99</v>
      </c>
      <c r="AZ89" s="14" t="s">
        <v>99</v>
      </c>
      <c r="BA89" s="14" t="s">
        <v>99</v>
      </c>
      <c r="BB89" s="14">
        <v>1985.0</v>
      </c>
      <c r="BC89" s="14">
        <v>1998.0</v>
      </c>
      <c r="BD89" s="14" t="s">
        <v>99</v>
      </c>
      <c r="BE89" s="14" t="s">
        <v>6765</v>
      </c>
      <c r="BF89" s="15" t="str">
        <f>HYPERLINK("http://dx.doi.org/10.1098/rstb.2008.0205","http://dx.doi.org/10.1098/rstb.2008.0205")</f>
        <v>http://dx.doi.org/10.1098/rstb.2008.0205</v>
      </c>
      <c r="BG89" s="14" t="s">
        <v>99</v>
      </c>
      <c r="BH89" s="14" t="s">
        <v>99</v>
      </c>
      <c r="BI89" s="14">
        <v>14.0</v>
      </c>
      <c r="BJ89" s="14" t="s">
        <v>1803</v>
      </c>
      <c r="BK89" s="14" t="s">
        <v>122</v>
      </c>
      <c r="BL89" s="14" t="s">
        <v>1804</v>
      </c>
      <c r="BM89" s="14" t="s">
        <v>6766</v>
      </c>
      <c r="BN89" s="14">
        <v>1.9528051E7</v>
      </c>
      <c r="BO89" s="14" t="s">
        <v>425</v>
      </c>
      <c r="BP89" s="14" t="s">
        <v>99</v>
      </c>
      <c r="BQ89" s="14" t="s">
        <v>99</v>
      </c>
      <c r="BR89" s="14" t="s">
        <v>124</v>
      </c>
      <c r="BS89" s="14" t="s">
        <v>6767</v>
      </c>
      <c r="BT89" s="14" t="str">
        <f>HYPERLINK("https%3A%2F%2Fwww.webofscience.com%2Fwos%2Fwoscc%2Ffull-record%2FWOS:000267281600004","View Full Record in Web of Science")</f>
        <v>View Full Record in Web of Science</v>
      </c>
    </row>
    <row r="90" ht="12.75" customHeight="1">
      <c r="A90" s="14" t="s">
        <v>97</v>
      </c>
      <c r="B90" s="14" t="s">
        <v>7175</v>
      </c>
      <c r="C90" s="14" t="s">
        <v>99</v>
      </c>
      <c r="D90" s="14" t="s">
        <v>99</v>
      </c>
      <c r="E90" s="14" t="s">
        <v>99</v>
      </c>
      <c r="F90" s="14" t="s">
        <v>7176</v>
      </c>
      <c r="G90" s="14" t="s">
        <v>99</v>
      </c>
      <c r="H90" s="14" t="s">
        <v>99</v>
      </c>
      <c r="I90" s="14" t="s">
        <v>7177</v>
      </c>
      <c r="J90" s="14" t="s">
        <v>7178</v>
      </c>
      <c r="K90" s="14" t="s">
        <v>99</v>
      </c>
      <c r="L90" s="14" t="s">
        <v>99</v>
      </c>
      <c r="M90" s="14" t="s">
        <v>103</v>
      </c>
      <c r="N90" s="14" t="s">
        <v>104</v>
      </c>
      <c r="O90" s="14" t="s">
        <v>99</v>
      </c>
      <c r="P90" s="14" t="s">
        <v>99</v>
      </c>
      <c r="Q90" s="14" t="s">
        <v>99</v>
      </c>
      <c r="R90" s="14" t="s">
        <v>99</v>
      </c>
      <c r="S90" s="14" t="s">
        <v>99</v>
      </c>
      <c r="T90" s="14" t="s">
        <v>99</v>
      </c>
      <c r="U90" s="14" t="s">
        <v>7179</v>
      </c>
      <c r="V90" s="14" t="s">
        <v>7180</v>
      </c>
      <c r="W90" s="14" t="s">
        <v>7181</v>
      </c>
      <c r="X90" s="14" t="s">
        <v>7182</v>
      </c>
      <c r="Y90" s="14" t="s">
        <v>7183</v>
      </c>
      <c r="Z90" s="14" t="s">
        <v>7184</v>
      </c>
      <c r="AA90" s="14" t="s">
        <v>99</v>
      </c>
      <c r="AB90" s="14" t="s">
        <v>99</v>
      </c>
      <c r="AC90" s="14" t="s">
        <v>99</v>
      </c>
      <c r="AD90" s="14" t="s">
        <v>99</v>
      </c>
      <c r="AE90" s="14" t="s">
        <v>99</v>
      </c>
      <c r="AF90" s="14" t="s">
        <v>99</v>
      </c>
      <c r="AG90" s="14">
        <v>58.0</v>
      </c>
      <c r="AH90" s="14">
        <v>821.0</v>
      </c>
      <c r="AI90" s="14">
        <v>936.0</v>
      </c>
      <c r="AJ90" s="14">
        <v>22.0</v>
      </c>
      <c r="AK90" s="14">
        <v>485.0</v>
      </c>
      <c r="AL90" s="14" t="s">
        <v>4722</v>
      </c>
      <c r="AM90" s="14" t="s">
        <v>1594</v>
      </c>
      <c r="AN90" s="14" t="s">
        <v>4723</v>
      </c>
      <c r="AO90" s="14" t="s">
        <v>7185</v>
      </c>
      <c r="AP90" s="14" t="s">
        <v>7186</v>
      </c>
      <c r="AQ90" s="14" t="s">
        <v>99</v>
      </c>
      <c r="AR90" s="14" t="s">
        <v>7187</v>
      </c>
      <c r="AS90" s="14" t="s">
        <v>7188</v>
      </c>
      <c r="AT90" s="14" t="s">
        <v>348</v>
      </c>
      <c r="AU90" s="14">
        <v>2008.0</v>
      </c>
      <c r="AV90" s="14">
        <v>35.0</v>
      </c>
      <c r="AW90" s="14">
        <v>5.0</v>
      </c>
      <c r="AX90" s="14" t="s">
        <v>99</v>
      </c>
      <c r="AY90" s="14" t="s">
        <v>99</v>
      </c>
      <c r="AZ90" s="14" t="s">
        <v>99</v>
      </c>
      <c r="BA90" s="14" t="s">
        <v>99</v>
      </c>
      <c r="BB90" s="14">
        <v>429.0</v>
      </c>
      <c r="BC90" s="14">
        <v>435.0</v>
      </c>
      <c r="BD90" s="14" t="s">
        <v>99</v>
      </c>
      <c r="BE90" s="14" t="s">
        <v>7189</v>
      </c>
      <c r="BF90" s="15" t="str">
        <f>HYPERLINK("http://dx.doi.org/10.1016/j.amepre.2008.08.021","http://dx.doi.org/10.1016/j.amepre.2008.08.021")</f>
        <v>http://dx.doi.org/10.1016/j.amepre.2008.08.021</v>
      </c>
      <c r="BG90" s="14" t="s">
        <v>99</v>
      </c>
      <c r="BH90" s="14" t="s">
        <v>99</v>
      </c>
      <c r="BI90" s="14">
        <v>7.0</v>
      </c>
      <c r="BJ90" s="14" t="s">
        <v>7190</v>
      </c>
      <c r="BK90" s="14" t="s">
        <v>122</v>
      </c>
      <c r="BL90" s="14" t="s">
        <v>7191</v>
      </c>
      <c r="BM90" s="14" t="s">
        <v>7192</v>
      </c>
      <c r="BN90" s="14">
        <v>1.8929969E7</v>
      </c>
      <c r="BO90" s="14" t="s">
        <v>99</v>
      </c>
      <c r="BP90" s="14" t="s">
        <v>99</v>
      </c>
      <c r="BQ90" s="14" t="s">
        <v>99</v>
      </c>
      <c r="BR90" s="14" t="s">
        <v>124</v>
      </c>
      <c r="BS90" s="14" t="s">
        <v>7193</v>
      </c>
      <c r="BT90" s="14" t="str">
        <f>HYPERLINK("https%3A%2F%2Fwww.webofscience.com%2Fwos%2Fwoscc%2Ffull-record%2FWOS:000260396600007","View Full Record in Web of Science")</f>
        <v>View Full Record in Web of Science</v>
      </c>
    </row>
    <row r="91" ht="12.75" customHeight="1">
      <c r="A91" s="14" t="s">
        <v>97</v>
      </c>
      <c r="B91" s="14" t="s">
        <v>7504</v>
      </c>
      <c r="C91" s="14" t="s">
        <v>99</v>
      </c>
      <c r="D91" s="14" t="s">
        <v>99</v>
      </c>
      <c r="E91" s="14" t="s">
        <v>99</v>
      </c>
      <c r="F91" s="14" t="s">
        <v>7505</v>
      </c>
      <c r="G91" s="14" t="s">
        <v>99</v>
      </c>
      <c r="H91" s="14" t="s">
        <v>99</v>
      </c>
      <c r="I91" s="14" t="s">
        <v>7506</v>
      </c>
      <c r="J91" s="14" t="s">
        <v>7507</v>
      </c>
      <c r="K91" s="14" t="s">
        <v>99</v>
      </c>
      <c r="L91" s="14" t="s">
        <v>99</v>
      </c>
      <c r="M91" s="14" t="s">
        <v>103</v>
      </c>
      <c r="N91" s="14" t="s">
        <v>104</v>
      </c>
      <c r="O91" s="14" t="s">
        <v>99</v>
      </c>
      <c r="P91" s="14" t="s">
        <v>99</v>
      </c>
      <c r="Q91" s="14" t="s">
        <v>99</v>
      </c>
      <c r="R91" s="14" t="s">
        <v>99</v>
      </c>
      <c r="S91" s="14" t="s">
        <v>99</v>
      </c>
      <c r="T91" s="14" t="s">
        <v>7508</v>
      </c>
      <c r="U91" s="14" t="s">
        <v>7509</v>
      </c>
      <c r="V91" s="14" t="s">
        <v>7510</v>
      </c>
      <c r="W91" s="14" t="s">
        <v>7511</v>
      </c>
      <c r="X91" s="14" t="s">
        <v>7512</v>
      </c>
      <c r="Y91" s="14" t="s">
        <v>7513</v>
      </c>
      <c r="Z91" s="14" t="s">
        <v>7514</v>
      </c>
      <c r="AA91" s="14" t="s">
        <v>7515</v>
      </c>
      <c r="AB91" s="14" t="s">
        <v>7516</v>
      </c>
      <c r="AC91" s="14" t="s">
        <v>99</v>
      </c>
      <c r="AD91" s="14" t="s">
        <v>99</v>
      </c>
      <c r="AE91" s="14" t="s">
        <v>99</v>
      </c>
      <c r="AF91" s="14" t="s">
        <v>99</v>
      </c>
      <c r="AG91" s="14">
        <v>77.0</v>
      </c>
      <c r="AH91" s="14">
        <v>259.0</v>
      </c>
      <c r="AI91" s="14">
        <v>294.0</v>
      </c>
      <c r="AJ91" s="14">
        <v>2.0</v>
      </c>
      <c r="AK91" s="14">
        <v>109.0</v>
      </c>
      <c r="AL91" s="14" t="s">
        <v>1731</v>
      </c>
      <c r="AM91" s="14" t="s">
        <v>1594</v>
      </c>
      <c r="AN91" s="14" t="s">
        <v>3585</v>
      </c>
      <c r="AO91" s="14" t="s">
        <v>7517</v>
      </c>
      <c r="AP91" s="14" t="s">
        <v>7518</v>
      </c>
      <c r="AQ91" s="14" t="s">
        <v>99</v>
      </c>
      <c r="AR91" s="14" t="s">
        <v>7507</v>
      </c>
      <c r="AS91" s="14" t="s">
        <v>7519</v>
      </c>
      <c r="AT91" s="14" t="s">
        <v>616</v>
      </c>
      <c r="AU91" s="14">
        <v>2008.0</v>
      </c>
      <c r="AV91" s="14">
        <v>11.0</v>
      </c>
      <c r="AW91" s="14">
        <v>4.0</v>
      </c>
      <c r="AX91" s="14" t="s">
        <v>99</v>
      </c>
      <c r="AY91" s="14" t="s">
        <v>99</v>
      </c>
      <c r="AZ91" s="14" t="s">
        <v>99</v>
      </c>
      <c r="BA91" s="14" t="s">
        <v>99</v>
      </c>
      <c r="BB91" s="14">
        <v>614.0</v>
      </c>
      <c r="BC91" s="14">
        <v>628.0</v>
      </c>
      <c r="BD91" s="14" t="s">
        <v>99</v>
      </c>
      <c r="BE91" s="14" t="s">
        <v>7520</v>
      </c>
      <c r="BF91" s="15" t="str">
        <f>HYPERLINK("http://dx.doi.org/10.1007/s10021-008-9146-z","http://dx.doi.org/10.1007/s10021-008-9146-z")</f>
        <v>http://dx.doi.org/10.1007/s10021-008-9146-z</v>
      </c>
      <c r="BG91" s="14" t="s">
        <v>99</v>
      </c>
      <c r="BH91" s="14" t="s">
        <v>99</v>
      </c>
      <c r="BI91" s="14">
        <v>15.0</v>
      </c>
      <c r="BJ91" s="14" t="s">
        <v>259</v>
      </c>
      <c r="BK91" s="14" t="s">
        <v>122</v>
      </c>
      <c r="BL91" s="14" t="s">
        <v>260</v>
      </c>
      <c r="BM91" s="14" t="s">
        <v>7521</v>
      </c>
      <c r="BN91" s="14" t="s">
        <v>99</v>
      </c>
      <c r="BO91" s="14" t="s">
        <v>99</v>
      </c>
      <c r="BP91" s="14" t="s">
        <v>99</v>
      </c>
      <c r="BQ91" s="14" t="s">
        <v>99</v>
      </c>
      <c r="BR91" s="14" t="s">
        <v>124</v>
      </c>
      <c r="BS91" s="14" t="s">
        <v>7522</v>
      </c>
      <c r="BT91" s="14" t="str">
        <f>HYPERLINK("https%3A%2F%2Fwww.webofscience.com%2Fwos%2Fwoscc%2Ffull-record%2FWOS:000256529200009","View Full Record in Web of Science")</f>
        <v>View Full Record in Web of Science</v>
      </c>
    </row>
    <row r="92" ht="12.75" customHeight="1">
      <c r="A92" s="14" t="s">
        <v>97</v>
      </c>
      <c r="B92" s="14" t="s">
        <v>7538</v>
      </c>
      <c r="C92" s="14" t="s">
        <v>99</v>
      </c>
      <c r="D92" s="14" t="s">
        <v>99</v>
      </c>
      <c r="E92" s="14" t="s">
        <v>99</v>
      </c>
      <c r="F92" s="14" t="s">
        <v>7539</v>
      </c>
      <c r="G92" s="14" t="s">
        <v>99</v>
      </c>
      <c r="H92" s="14" t="s">
        <v>99</v>
      </c>
      <c r="I92" s="14" t="s">
        <v>7540</v>
      </c>
      <c r="J92" s="14" t="s">
        <v>900</v>
      </c>
      <c r="K92" s="14" t="s">
        <v>99</v>
      </c>
      <c r="L92" s="14" t="s">
        <v>99</v>
      </c>
      <c r="M92" s="14" t="s">
        <v>103</v>
      </c>
      <c r="N92" s="14" t="s">
        <v>104</v>
      </c>
      <c r="O92" s="14" t="s">
        <v>99</v>
      </c>
      <c r="P92" s="14" t="s">
        <v>99</v>
      </c>
      <c r="Q92" s="14" t="s">
        <v>99</v>
      </c>
      <c r="R92" s="14" t="s">
        <v>99</v>
      </c>
      <c r="S92" s="14" t="s">
        <v>99</v>
      </c>
      <c r="T92" s="14" t="s">
        <v>99</v>
      </c>
      <c r="U92" s="14" t="s">
        <v>7541</v>
      </c>
      <c r="V92" s="14" t="s">
        <v>7542</v>
      </c>
      <c r="W92" s="14" t="s">
        <v>7543</v>
      </c>
      <c r="X92" s="14" t="s">
        <v>7544</v>
      </c>
      <c r="Y92" s="14" t="s">
        <v>7545</v>
      </c>
      <c r="Z92" s="14" t="s">
        <v>7546</v>
      </c>
      <c r="AA92" s="14" t="s">
        <v>7547</v>
      </c>
      <c r="AB92" s="14" t="s">
        <v>7548</v>
      </c>
      <c r="AC92" s="14" t="s">
        <v>99</v>
      </c>
      <c r="AD92" s="14" t="s">
        <v>99</v>
      </c>
      <c r="AE92" s="14" t="s">
        <v>99</v>
      </c>
      <c r="AF92" s="14" t="s">
        <v>99</v>
      </c>
      <c r="AG92" s="14">
        <v>26.0</v>
      </c>
      <c r="AH92" s="14">
        <v>1619.0</v>
      </c>
      <c r="AI92" s="14">
        <v>2034.0</v>
      </c>
      <c r="AJ92" s="14">
        <v>37.0</v>
      </c>
      <c r="AK92" s="14">
        <v>775.0</v>
      </c>
      <c r="AL92" s="14" t="s">
        <v>1326</v>
      </c>
      <c r="AM92" s="14" t="s">
        <v>274</v>
      </c>
      <c r="AN92" s="14" t="s">
        <v>1327</v>
      </c>
      <c r="AO92" s="14" t="s">
        <v>912</v>
      </c>
      <c r="AP92" s="14" t="s">
        <v>913</v>
      </c>
      <c r="AQ92" s="14" t="s">
        <v>99</v>
      </c>
      <c r="AR92" s="14" t="s">
        <v>900</v>
      </c>
      <c r="AS92" s="14" t="s">
        <v>914</v>
      </c>
      <c r="AT92" s="14" t="s">
        <v>7549</v>
      </c>
      <c r="AU92" s="14">
        <v>2008.0</v>
      </c>
      <c r="AV92" s="14">
        <v>453.0</v>
      </c>
      <c r="AW92" s="14">
        <v>7193.0</v>
      </c>
      <c r="AX92" s="14" t="s">
        <v>99</v>
      </c>
      <c r="AY92" s="14" t="s">
        <v>99</v>
      </c>
      <c r="AZ92" s="14" t="s">
        <v>99</v>
      </c>
      <c r="BA92" s="14" t="s">
        <v>99</v>
      </c>
      <c r="BB92" s="14">
        <v>379.0</v>
      </c>
      <c r="BC92" s="14">
        <v>382.0</v>
      </c>
      <c r="BD92" s="14" t="s">
        <v>99</v>
      </c>
      <c r="BE92" s="14" t="s">
        <v>7550</v>
      </c>
      <c r="BF92" s="15" t="str">
        <f>HYPERLINK("http://dx.doi.org/10.1038/nature06949","http://dx.doi.org/10.1038/nature06949")</f>
        <v>http://dx.doi.org/10.1038/nature06949</v>
      </c>
      <c r="BG92" s="14" t="s">
        <v>99</v>
      </c>
      <c r="BH92" s="14" t="s">
        <v>99</v>
      </c>
      <c r="BI92" s="14">
        <v>4.0</v>
      </c>
      <c r="BJ92" s="14" t="s">
        <v>799</v>
      </c>
      <c r="BK92" s="14" t="s">
        <v>122</v>
      </c>
      <c r="BL92" s="14" t="s">
        <v>801</v>
      </c>
      <c r="BM92" s="14" t="s">
        <v>7551</v>
      </c>
      <c r="BN92" s="14">
        <v>1.8480821E7</v>
      </c>
      <c r="BO92" s="14" t="s">
        <v>238</v>
      </c>
      <c r="BP92" s="14" t="s">
        <v>99</v>
      </c>
      <c r="BQ92" s="14" t="s">
        <v>99</v>
      </c>
      <c r="BR92" s="14" t="s">
        <v>124</v>
      </c>
      <c r="BS92" s="14" t="s">
        <v>7552</v>
      </c>
      <c r="BT92" s="14" t="str">
        <f>HYPERLINK("https%3A%2F%2Fwww.webofscience.com%2Fwos%2Fwoscc%2Ffull-record%2FWOS:000255868400049","View Full Record in Web of Science")</f>
        <v>View Full Record in Web of Science</v>
      </c>
    </row>
    <row r="93" ht="12.75" customHeight="1">
      <c r="A93" s="14" t="s">
        <v>97</v>
      </c>
      <c r="B93" s="14" t="s">
        <v>7630</v>
      </c>
      <c r="C93" s="14" t="s">
        <v>99</v>
      </c>
      <c r="D93" s="14" t="s">
        <v>99</v>
      </c>
      <c r="E93" s="14" t="s">
        <v>99</v>
      </c>
      <c r="F93" s="14" t="s">
        <v>7631</v>
      </c>
      <c r="G93" s="14" t="s">
        <v>99</v>
      </c>
      <c r="H93" s="14" t="s">
        <v>99</v>
      </c>
      <c r="I93" s="14" t="s">
        <v>7632</v>
      </c>
      <c r="J93" s="14" t="s">
        <v>7633</v>
      </c>
      <c r="K93" s="14" t="s">
        <v>99</v>
      </c>
      <c r="L93" s="14" t="s">
        <v>99</v>
      </c>
      <c r="M93" s="14" t="s">
        <v>103</v>
      </c>
      <c r="N93" s="14" t="s">
        <v>104</v>
      </c>
      <c r="O93" s="14" t="s">
        <v>99</v>
      </c>
      <c r="P93" s="14" t="s">
        <v>99</v>
      </c>
      <c r="Q93" s="14" t="s">
        <v>99</v>
      </c>
      <c r="R93" s="14" t="s">
        <v>99</v>
      </c>
      <c r="S93" s="14" t="s">
        <v>99</v>
      </c>
      <c r="T93" s="14" t="s">
        <v>7634</v>
      </c>
      <c r="U93" s="14" t="s">
        <v>7635</v>
      </c>
      <c r="V93" s="14" t="s">
        <v>7636</v>
      </c>
      <c r="W93" s="14" t="s">
        <v>7637</v>
      </c>
      <c r="X93" s="14" t="s">
        <v>7638</v>
      </c>
      <c r="Y93" s="14" t="s">
        <v>7639</v>
      </c>
      <c r="Z93" s="14" t="s">
        <v>7640</v>
      </c>
      <c r="AA93" s="14" t="s">
        <v>7641</v>
      </c>
      <c r="AB93" s="14" t="s">
        <v>7642</v>
      </c>
      <c r="AC93" s="14" t="s">
        <v>7643</v>
      </c>
      <c r="AD93" s="14" t="s">
        <v>7644</v>
      </c>
      <c r="AE93" s="14" t="s">
        <v>7645</v>
      </c>
      <c r="AF93" s="14" t="s">
        <v>99</v>
      </c>
      <c r="AG93" s="14">
        <v>92.0</v>
      </c>
      <c r="AH93" s="14">
        <v>171.0</v>
      </c>
      <c r="AI93" s="14">
        <v>207.0</v>
      </c>
      <c r="AJ93" s="14">
        <v>2.0</v>
      </c>
      <c r="AK93" s="14">
        <v>130.0</v>
      </c>
      <c r="AL93" s="14" t="s">
        <v>7646</v>
      </c>
      <c r="AM93" s="14" t="s">
        <v>7403</v>
      </c>
      <c r="AN93" s="14" t="s">
        <v>7647</v>
      </c>
      <c r="AO93" s="14" t="s">
        <v>7648</v>
      </c>
      <c r="AP93" s="14" t="s">
        <v>7649</v>
      </c>
      <c r="AQ93" s="14" t="s">
        <v>99</v>
      </c>
      <c r="AR93" s="14" t="s">
        <v>7650</v>
      </c>
      <c r="AS93" s="14" t="s">
        <v>7651</v>
      </c>
      <c r="AT93" s="14" t="s">
        <v>718</v>
      </c>
      <c r="AU93" s="14">
        <v>2008.0</v>
      </c>
      <c r="AV93" s="14">
        <v>3.0</v>
      </c>
      <c r="AW93" s="14">
        <v>1.0</v>
      </c>
      <c r="AX93" s="14" t="s">
        <v>99</v>
      </c>
      <c r="AY93" s="14" t="s">
        <v>99</v>
      </c>
      <c r="AZ93" s="14" t="s">
        <v>99</v>
      </c>
      <c r="BA93" s="14" t="s">
        <v>99</v>
      </c>
      <c r="BB93" s="14">
        <v>9.0</v>
      </c>
      <c r="BC93" s="14">
        <v>22.0</v>
      </c>
      <c r="BD93" s="14" t="s">
        <v>99</v>
      </c>
      <c r="BE93" s="14" t="s">
        <v>7652</v>
      </c>
      <c r="BF93" s="15" t="str">
        <f>HYPERLINK("http://dx.doi.org/10.1007/s11625-008-0042-4","http://dx.doi.org/10.1007/s11625-008-0042-4")</f>
        <v>http://dx.doi.org/10.1007/s11625-008-0042-4</v>
      </c>
      <c r="BG93" s="14" t="s">
        <v>99</v>
      </c>
      <c r="BH93" s="14" t="s">
        <v>99</v>
      </c>
      <c r="BI93" s="14">
        <v>14.0</v>
      </c>
      <c r="BJ93" s="14" t="s">
        <v>7653</v>
      </c>
      <c r="BK93" s="14" t="s">
        <v>122</v>
      </c>
      <c r="BL93" s="14" t="s">
        <v>2837</v>
      </c>
      <c r="BM93" s="14" t="s">
        <v>7654</v>
      </c>
      <c r="BN93" s="14" t="s">
        <v>99</v>
      </c>
      <c r="BO93" s="14" t="s">
        <v>99</v>
      </c>
      <c r="BP93" s="14" t="s">
        <v>99</v>
      </c>
      <c r="BQ93" s="14" t="s">
        <v>99</v>
      </c>
      <c r="BR93" s="14" t="s">
        <v>124</v>
      </c>
      <c r="BS93" s="14" t="s">
        <v>7655</v>
      </c>
      <c r="BT93" s="14" t="str">
        <f>HYPERLINK("https%3A%2F%2Fwww.webofscience.com%2Fwos%2Fwoscc%2Ffull-record%2FWOS:000264104000003","View Full Record in Web of Science")</f>
        <v>View Full Record in Web of Science</v>
      </c>
    </row>
    <row r="94" ht="12.75" customHeight="1">
      <c r="A94" s="14" t="s">
        <v>97</v>
      </c>
      <c r="B94" s="14" t="s">
        <v>7711</v>
      </c>
      <c r="C94" s="14" t="s">
        <v>99</v>
      </c>
      <c r="D94" s="14" t="s">
        <v>99</v>
      </c>
      <c r="E94" s="14" t="s">
        <v>99</v>
      </c>
      <c r="F94" s="14" t="s">
        <v>7712</v>
      </c>
      <c r="G94" s="14" t="s">
        <v>99</v>
      </c>
      <c r="H94" s="14" t="s">
        <v>99</v>
      </c>
      <c r="I94" s="14" t="s">
        <v>7713</v>
      </c>
      <c r="J94" s="14" t="s">
        <v>2566</v>
      </c>
      <c r="K94" s="14" t="s">
        <v>99</v>
      </c>
      <c r="L94" s="14" t="s">
        <v>99</v>
      </c>
      <c r="M94" s="14" t="s">
        <v>103</v>
      </c>
      <c r="N94" s="14" t="s">
        <v>104</v>
      </c>
      <c r="O94" s="14" t="s">
        <v>99</v>
      </c>
      <c r="P94" s="14" t="s">
        <v>99</v>
      </c>
      <c r="Q94" s="14" t="s">
        <v>99</v>
      </c>
      <c r="R94" s="14" t="s">
        <v>99</v>
      </c>
      <c r="S94" s="14" t="s">
        <v>99</v>
      </c>
      <c r="T94" s="14" t="s">
        <v>99</v>
      </c>
      <c r="U94" s="14" t="s">
        <v>7714</v>
      </c>
      <c r="V94" s="14" t="s">
        <v>7715</v>
      </c>
      <c r="W94" s="14" t="s">
        <v>7716</v>
      </c>
      <c r="X94" s="14" t="s">
        <v>7717</v>
      </c>
      <c r="Y94" s="14" t="s">
        <v>7718</v>
      </c>
      <c r="Z94" s="14" t="s">
        <v>7719</v>
      </c>
      <c r="AA94" s="14" t="s">
        <v>7720</v>
      </c>
      <c r="AB94" s="14" t="s">
        <v>7721</v>
      </c>
      <c r="AC94" s="14" t="s">
        <v>99</v>
      </c>
      <c r="AD94" s="14" t="s">
        <v>99</v>
      </c>
      <c r="AE94" s="14" t="s">
        <v>99</v>
      </c>
      <c r="AF94" s="14" t="s">
        <v>99</v>
      </c>
      <c r="AG94" s="14">
        <v>34.0</v>
      </c>
      <c r="AH94" s="14">
        <v>4939.0</v>
      </c>
      <c r="AI94" s="14">
        <v>5702.0</v>
      </c>
      <c r="AJ94" s="14">
        <v>54.0</v>
      </c>
      <c r="AK94" s="14">
        <v>3002.0</v>
      </c>
      <c r="AL94" s="14" t="s">
        <v>1243</v>
      </c>
      <c r="AM94" s="14" t="s">
        <v>789</v>
      </c>
      <c r="AN94" s="14" t="s">
        <v>1244</v>
      </c>
      <c r="AO94" s="14" t="s">
        <v>2578</v>
      </c>
      <c r="AP94" s="14" t="s">
        <v>99</v>
      </c>
      <c r="AQ94" s="14" t="s">
        <v>99</v>
      </c>
      <c r="AR94" s="14" t="s">
        <v>2566</v>
      </c>
      <c r="AS94" s="14" t="s">
        <v>2580</v>
      </c>
      <c r="AT94" s="14" t="s">
        <v>1505</v>
      </c>
      <c r="AU94" s="14">
        <v>2008.0</v>
      </c>
      <c r="AV94" s="14">
        <v>319.0</v>
      </c>
      <c r="AW94" s="14">
        <v>5865.0</v>
      </c>
      <c r="AX94" s="14" t="s">
        <v>99</v>
      </c>
      <c r="AY94" s="14" t="s">
        <v>99</v>
      </c>
      <c r="AZ94" s="14" t="s">
        <v>99</v>
      </c>
      <c r="BA94" s="14" t="s">
        <v>99</v>
      </c>
      <c r="BB94" s="14">
        <v>948.0</v>
      </c>
      <c r="BC94" s="14">
        <v>952.0</v>
      </c>
      <c r="BD94" s="14" t="s">
        <v>99</v>
      </c>
      <c r="BE94" s="14" t="s">
        <v>7722</v>
      </c>
      <c r="BF94" s="15" t="str">
        <f>HYPERLINK("http://dx.doi.org/10.1126/science.1149345","http://dx.doi.org/10.1126/science.1149345")</f>
        <v>http://dx.doi.org/10.1126/science.1149345</v>
      </c>
      <c r="BG94" s="14" t="s">
        <v>99</v>
      </c>
      <c r="BH94" s="14" t="s">
        <v>99</v>
      </c>
      <c r="BI94" s="14">
        <v>5.0</v>
      </c>
      <c r="BJ94" s="14" t="s">
        <v>799</v>
      </c>
      <c r="BK94" s="14" t="s">
        <v>122</v>
      </c>
      <c r="BL94" s="14" t="s">
        <v>801</v>
      </c>
      <c r="BM94" s="14" t="s">
        <v>7723</v>
      </c>
      <c r="BN94" s="14">
        <v>1.8276889E7</v>
      </c>
      <c r="BO94" s="14" t="s">
        <v>99</v>
      </c>
      <c r="BP94" s="14" t="s">
        <v>99</v>
      </c>
      <c r="BQ94" s="14" t="s">
        <v>99</v>
      </c>
      <c r="BR94" s="14" t="s">
        <v>124</v>
      </c>
      <c r="BS94" s="14" t="s">
        <v>7724</v>
      </c>
      <c r="BT94" s="14" t="str">
        <f>HYPERLINK("https%3A%2F%2Fwww.webofscience.com%2Fwos%2Fwoscc%2Ffull-record%2FWOS:000253165700045","View Full Record in Web of Science")</f>
        <v>View Full Record in Web of Science</v>
      </c>
    </row>
    <row r="95" ht="12.75" customHeight="1">
      <c r="A95" s="14" t="s">
        <v>97</v>
      </c>
      <c r="B95" s="14" t="s">
        <v>8003</v>
      </c>
      <c r="C95" s="14" t="s">
        <v>99</v>
      </c>
      <c r="D95" s="14" t="s">
        <v>99</v>
      </c>
      <c r="E95" s="14" t="s">
        <v>99</v>
      </c>
      <c r="F95" s="14" t="s">
        <v>8004</v>
      </c>
      <c r="G95" s="14" t="s">
        <v>99</v>
      </c>
      <c r="H95" s="14" t="s">
        <v>99</v>
      </c>
      <c r="I95" s="14" t="s">
        <v>8005</v>
      </c>
      <c r="J95" s="14" t="s">
        <v>776</v>
      </c>
      <c r="K95" s="14" t="s">
        <v>99</v>
      </c>
      <c r="L95" s="14" t="s">
        <v>99</v>
      </c>
      <c r="M95" s="14" t="s">
        <v>103</v>
      </c>
      <c r="N95" s="14" t="s">
        <v>104</v>
      </c>
      <c r="O95" s="14" t="s">
        <v>99</v>
      </c>
      <c r="P95" s="14" t="s">
        <v>99</v>
      </c>
      <c r="Q95" s="14" t="s">
        <v>99</v>
      </c>
      <c r="R95" s="14" t="s">
        <v>99</v>
      </c>
      <c r="S95" s="14" t="s">
        <v>99</v>
      </c>
      <c r="T95" s="14" t="s">
        <v>8006</v>
      </c>
      <c r="U95" s="14" t="s">
        <v>8007</v>
      </c>
      <c r="V95" s="14" t="s">
        <v>8008</v>
      </c>
      <c r="W95" s="14" t="s">
        <v>8009</v>
      </c>
      <c r="X95" s="14" t="s">
        <v>8010</v>
      </c>
      <c r="Y95" s="14" t="s">
        <v>8011</v>
      </c>
      <c r="Z95" s="14" t="s">
        <v>8012</v>
      </c>
      <c r="AA95" s="14" t="s">
        <v>8013</v>
      </c>
      <c r="AB95" s="14" t="s">
        <v>8014</v>
      </c>
      <c r="AC95" s="14" t="s">
        <v>99</v>
      </c>
      <c r="AD95" s="14" t="s">
        <v>99</v>
      </c>
      <c r="AE95" s="14" t="s">
        <v>99</v>
      </c>
      <c r="AF95" s="14" t="s">
        <v>99</v>
      </c>
      <c r="AG95" s="14">
        <v>30.0</v>
      </c>
      <c r="AH95" s="14">
        <v>1604.0</v>
      </c>
      <c r="AI95" s="14">
        <v>1933.0</v>
      </c>
      <c r="AJ95" s="14">
        <v>12.0</v>
      </c>
      <c r="AK95" s="14">
        <v>1201.0</v>
      </c>
      <c r="AL95" s="14" t="s">
        <v>788</v>
      </c>
      <c r="AM95" s="14" t="s">
        <v>789</v>
      </c>
      <c r="AN95" s="14" t="s">
        <v>790</v>
      </c>
      <c r="AO95" s="14" t="s">
        <v>791</v>
      </c>
      <c r="AP95" s="14" t="s">
        <v>99</v>
      </c>
      <c r="AQ95" s="14" t="s">
        <v>99</v>
      </c>
      <c r="AR95" s="14" t="s">
        <v>793</v>
      </c>
      <c r="AS95" s="14" t="s">
        <v>794</v>
      </c>
      <c r="AT95" s="14" t="s">
        <v>4083</v>
      </c>
      <c r="AU95" s="14">
        <v>2007.0</v>
      </c>
      <c r="AV95" s="14">
        <v>104.0</v>
      </c>
      <c r="AW95" s="14">
        <v>21.0</v>
      </c>
      <c r="AX95" s="14" t="s">
        <v>99</v>
      </c>
      <c r="AY95" s="14" t="s">
        <v>99</v>
      </c>
      <c r="AZ95" s="14" t="s">
        <v>99</v>
      </c>
      <c r="BA95" s="14" t="s">
        <v>99</v>
      </c>
      <c r="BB95" s="14">
        <v>8897.0</v>
      </c>
      <c r="BC95" s="14">
        <v>8901.0</v>
      </c>
      <c r="BD95" s="14" t="s">
        <v>99</v>
      </c>
      <c r="BE95" s="14" t="s">
        <v>8015</v>
      </c>
      <c r="BF95" s="15" t="str">
        <f>HYPERLINK("http://dx.doi.org/10.1073/pnas.0609568104","http://dx.doi.org/10.1073/pnas.0609568104")</f>
        <v>http://dx.doi.org/10.1073/pnas.0609568104</v>
      </c>
      <c r="BG95" s="14" t="s">
        <v>99</v>
      </c>
      <c r="BH95" s="14" t="s">
        <v>99</v>
      </c>
      <c r="BI95" s="14">
        <v>5.0</v>
      </c>
      <c r="BJ95" s="14" t="s">
        <v>799</v>
      </c>
      <c r="BK95" s="14" t="s">
        <v>122</v>
      </c>
      <c r="BL95" s="14" t="s">
        <v>801</v>
      </c>
      <c r="BM95" s="14" t="s">
        <v>8016</v>
      </c>
      <c r="BN95" s="14">
        <v>1.7517636E7</v>
      </c>
      <c r="BO95" s="14" t="s">
        <v>425</v>
      </c>
      <c r="BP95" s="14" t="s">
        <v>99</v>
      </c>
      <c r="BQ95" s="14" t="s">
        <v>99</v>
      </c>
      <c r="BR95" s="14" t="s">
        <v>124</v>
      </c>
      <c r="BS95" s="14" t="s">
        <v>8017</v>
      </c>
      <c r="BT95" s="14" t="str">
        <f>HYPERLINK("https%3A%2F%2Fwww.webofscience.com%2Fwos%2Fwoscc%2Ffull-record%2FWOS:000246853700040","View Full Record in Web of Science")</f>
        <v>View Full Record in Web of Science</v>
      </c>
    </row>
    <row r="96" ht="12.75" customHeight="1">
      <c r="A96" s="14" t="s">
        <v>97</v>
      </c>
      <c r="B96" s="14" t="s">
        <v>8018</v>
      </c>
      <c r="C96" s="14" t="s">
        <v>99</v>
      </c>
      <c r="D96" s="14" t="s">
        <v>99</v>
      </c>
      <c r="E96" s="14" t="s">
        <v>99</v>
      </c>
      <c r="F96" s="14" t="s">
        <v>8019</v>
      </c>
      <c r="G96" s="14" t="s">
        <v>99</v>
      </c>
      <c r="H96" s="14" t="s">
        <v>99</v>
      </c>
      <c r="I96" s="14" t="s">
        <v>8020</v>
      </c>
      <c r="J96" s="14" t="s">
        <v>1422</v>
      </c>
      <c r="K96" s="14" t="s">
        <v>99</v>
      </c>
      <c r="L96" s="14" t="s">
        <v>99</v>
      </c>
      <c r="M96" s="14" t="s">
        <v>103</v>
      </c>
      <c r="N96" s="14" t="s">
        <v>104</v>
      </c>
      <c r="O96" s="14" t="s">
        <v>99</v>
      </c>
      <c r="P96" s="14" t="s">
        <v>99</v>
      </c>
      <c r="Q96" s="14" t="s">
        <v>99</v>
      </c>
      <c r="R96" s="14" t="s">
        <v>99</v>
      </c>
      <c r="S96" s="14" t="s">
        <v>99</v>
      </c>
      <c r="T96" s="14" t="s">
        <v>99</v>
      </c>
      <c r="U96" s="14" t="s">
        <v>8021</v>
      </c>
      <c r="V96" s="14" t="s">
        <v>8022</v>
      </c>
      <c r="W96" s="14" t="s">
        <v>8023</v>
      </c>
      <c r="X96" s="14" t="s">
        <v>8024</v>
      </c>
      <c r="Y96" s="14" t="s">
        <v>8025</v>
      </c>
      <c r="Z96" s="14" t="s">
        <v>6391</v>
      </c>
      <c r="AA96" s="14" t="s">
        <v>8026</v>
      </c>
      <c r="AB96" s="14" t="s">
        <v>8027</v>
      </c>
      <c r="AC96" s="14" t="s">
        <v>99</v>
      </c>
      <c r="AD96" s="14" t="s">
        <v>99</v>
      </c>
      <c r="AE96" s="14" t="s">
        <v>99</v>
      </c>
      <c r="AF96" s="14" t="s">
        <v>99</v>
      </c>
      <c r="AG96" s="14">
        <v>36.0</v>
      </c>
      <c r="AH96" s="14">
        <v>168.0</v>
      </c>
      <c r="AI96" s="14">
        <v>197.0</v>
      </c>
      <c r="AJ96" s="14">
        <v>10.0</v>
      </c>
      <c r="AK96" s="14">
        <v>177.0</v>
      </c>
      <c r="AL96" s="14" t="s">
        <v>1431</v>
      </c>
      <c r="AM96" s="14" t="s">
        <v>789</v>
      </c>
      <c r="AN96" s="14" t="s">
        <v>1432</v>
      </c>
      <c r="AO96" s="14" t="s">
        <v>1433</v>
      </c>
      <c r="AP96" s="14" t="s">
        <v>1434</v>
      </c>
      <c r="AQ96" s="14" t="s">
        <v>99</v>
      </c>
      <c r="AR96" s="14" t="s">
        <v>1435</v>
      </c>
      <c r="AS96" s="14" t="s">
        <v>1436</v>
      </c>
      <c r="AT96" s="14" t="s">
        <v>7549</v>
      </c>
      <c r="AU96" s="14">
        <v>2007.0</v>
      </c>
      <c r="AV96" s="14">
        <v>41.0</v>
      </c>
      <c r="AW96" s="14">
        <v>10.0</v>
      </c>
      <c r="AX96" s="14" t="s">
        <v>99</v>
      </c>
      <c r="AY96" s="14" t="s">
        <v>99</v>
      </c>
      <c r="AZ96" s="14" t="s">
        <v>99</v>
      </c>
      <c r="BA96" s="14" t="s">
        <v>99</v>
      </c>
      <c r="BB96" s="14">
        <v>3495.0</v>
      </c>
      <c r="BC96" s="14">
        <v>3500.0</v>
      </c>
      <c r="BD96" s="14" t="s">
        <v>99</v>
      </c>
      <c r="BE96" s="14" t="s">
        <v>8028</v>
      </c>
      <c r="BF96" s="15" t="str">
        <f>HYPERLINK("http://dx.doi.org/10.1021/es062147h","http://dx.doi.org/10.1021/es062147h")</f>
        <v>http://dx.doi.org/10.1021/es062147h</v>
      </c>
      <c r="BG96" s="14" t="s">
        <v>99</v>
      </c>
      <c r="BH96" s="14" t="s">
        <v>99</v>
      </c>
      <c r="BI96" s="14">
        <v>6.0</v>
      </c>
      <c r="BJ96" s="14" t="s">
        <v>1439</v>
      </c>
      <c r="BK96" s="14" t="s">
        <v>122</v>
      </c>
      <c r="BL96" s="14" t="s">
        <v>1440</v>
      </c>
      <c r="BM96" s="14" t="s">
        <v>8029</v>
      </c>
      <c r="BN96" s="14">
        <v>1.7547169E7</v>
      </c>
      <c r="BO96" s="14" t="s">
        <v>99</v>
      </c>
      <c r="BP96" s="14" t="s">
        <v>99</v>
      </c>
      <c r="BQ96" s="14" t="s">
        <v>99</v>
      </c>
      <c r="BR96" s="14" t="s">
        <v>124</v>
      </c>
      <c r="BS96" s="14" t="s">
        <v>8030</v>
      </c>
      <c r="BT96" s="14" t="str">
        <f>HYPERLINK("https%3A%2F%2Fwww.webofscience.com%2Fwos%2Fwoscc%2Ffull-record%2FWOS:000246371800023","View Full Record in Web of Science")</f>
        <v>View Full Record in Web of Science</v>
      </c>
    </row>
    <row r="97" ht="12.75" customHeight="1">
      <c r="A97" s="14" t="s">
        <v>97</v>
      </c>
      <c r="B97" s="14" t="s">
        <v>8228</v>
      </c>
      <c r="C97" s="14" t="s">
        <v>99</v>
      </c>
      <c r="D97" s="14" t="s">
        <v>99</v>
      </c>
      <c r="E97" s="14" t="s">
        <v>99</v>
      </c>
      <c r="F97" s="14" t="s">
        <v>8229</v>
      </c>
      <c r="G97" s="14" t="s">
        <v>99</v>
      </c>
      <c r="H97" s="14" t="s">
        <v>99</v>
      </c>
      <c r="I97" s="14" t="s">
        <v>8230</v>
      </c>
      <c r="J97" s="14" t="s">
        <v>8231</v>
      </c>
      <c r="K97" s="14" t="s">
        <v>99</v>
      </c>
      <c r="L97" s="14" t="s">
        <v>99</v>
      </c>
      <c r="M97" s="14" t="s">
        <v>103</v>
      </c>
      <c r="N97" s="14" t="s">
        <v>2284</v>
      </c>
      <c r="O97" s="14" t="s">
        <v>8232</v>
      </c>
      <c r="P97" s="14" t="s">
        <v>8233</v>
      </c>
      <c r="Q97" s="14" t="s">
        <v>8234</v>
      </c>
      <c r="R97" s="14" t="s">
        <v>99</v>
      </c>
      <c r="S97" s="14" t="s">
        <v>99</v>
      </c>
      <c r="T97" s="14" t="s">
        <v>8235</v>
      </c>
      <c r="U97" s="14" t="s">
        <v>99</v>
      </c>
      <c r="V97" s="14" t="s">
        <v>8236</v>
      </c>
      <c r="W97" s="14" t="s">
        <v>8237</v>
      </c>
      <c r="X97" s="14" t="s">
        <v>99</v>
      </c>
      <c r="Y97" s="14" t="s">
        <v>8238</v>
      </c>
      <c r="Z97" s="14" t="s">
        <v>8239</v>
      </c>
      <c r="AA97" s="14" t="s">
        <v>99</v>
      </c>
      <c r="AB97" s="14" t="s">
        <v>99</v>
      </c>
      <c r="AC97" s="14" t="s">
        <v>99</v>
      </c>
      <c r="AD97" s="14" t="s">
        <v>99</v>
      </c>
      <c r="AE97" s="14" t="s">
        <v>99</v>
      </c>
      <c r="AF97" s="14" t="s">
        <v>99</v>
      </c>
      <c r="AG97" s="14">
        <v>19.0</v>
      </c>
      <c r="AH97" s="14">
        <v>55.0</v>
      </c>
      <c r="AI97" s="14">
        <v>72.0</v>
      </c>
      <c r="AJ97" s="14">
        <v>2.0</v>
      </c>
      <c r="AK97" s="14">
        <v>36.0</v>
      </c>
      <c r="AL97" s="14" t="s">
        <v>467</v>
      </c>
      <c r="AM97" s="14" t="s">
        <v>468</v>
      </c>
      <c r="AN97" s="14" t="s">
        <v>469</v>
      </c>
      <c r="AO97" s="14" t="s">
        <v>8240</v>
      </c>
      <c r="AP97" s="14" t="s">
        <v>8241</v>
      </c>
      <c r="AQ97" s="14" t="s">
        <v>99</v>
      </c>
      <c r="AR97" s="14" t="s">
        <v>8242</v>
      </c>
      <c r="AS97" s="14" t="s">
        <v>8243</v>
      </c>
      <c r="AT97" s="14" t="s">
        <v>99</v>
      </c>
      <c r="AU97" s="14">
        <v>2007.0</v>
      </c>
      <c r="AV97" s="14">
        <v>32.0</v>
      </c>
      <c r="AW97" s="14" t="s">
        <v>8244</v>
      </c>
      <c r="AX97" s="14" t="s">
        <v>99</v>
      </c>
      <c r="AY97" s="14" t="s">
        <v>99</v>
      </c>
      <c r="AZ97" s="14" t="s">
        <v>99</v>
      </c>
      <c r="BA97" s="14" t="s">
        <v>99</v>
      </c>
      <c r="BB97" s="14">
        <v>1135.0</v>
      </c>
      <c r="BC97" s="14">
        <v>1140.0</v>
      </c>
      <c r="BD97" s="14" t="s">
        <v>99</v>
      </c>
      <c r="BE97" s="14" t="s">
        <v>8245</v>
      </c>
      <c r="BF97" s="15" t="str">
        <f>HYPERLINK("http://dx.doi.org/10.1016/j.pce.2007.07.033","http://dx.doi.org/10.1016/j.pce.2007.07.033")</f>
        <v>http://dx.doi.org/10.1016/j.pce.2007.07.033</v>
      </c>
      <c r="BG97" s="14" t="s">
        <v>99</v>
      </c>
      <c r="BH97" s="14" t="s">
        <v>99</v>
      </c>
      <c r="BI97" s="14">
        <v>6.0</v>
      </c>
      <c r="BJ97" s="14" t="s">
        <v>8246</v>
      </c>
      <c r="BK97" s="14" t="s">
        <v>2311</v>
      </c>
      <c r="BL97" s="14" t="s">
        <v>8247</v>
      </c>
      <c r="BM97" s="14" t="s">
        <v>8248</v>
      </c>
      <c r="BN97" s="14" t="s">
        <v>99</v>
      </c>
      <c r="BO97" s="14" t="s">
        <v>99</v>
      </c>
      <c r="BP97" s="14" t="s">
        <v>99</v>
      </c>
      <c r="BQ97" s="14" t="s">
        <v>99</v>
      </c>
      <c r="BR97" s="14" t="s">
        <v>124</v>
      </c>
      <c r="BS97" s="14" t="s">
        <v>8249</v>
      </c>
      <c r="BT97" s="14" t="str">
        <f>HYPERLINK("https%3A%2F%2Fwww.webofscience.com%2Fwos%2Fwoscc%2Ffull-record%2FWOS:000250159500021","View Full Record in Web of Science")</f>
        <v>View Full Record in Web of Science</v>
      </c>
    </row>
    <row r="98" ht="12.75" customHeight="1">
      <c r="A98" s="14" t="s">
        <v>97</v>
      </c>
      <c r="B98" s="14" t="s">
        <v>8270</v>
      </c>
      <c r="C98" s="14" t="s">
        <v>99</v>
      </c>
      <c r="D98" s="14" t="s">
        <v>99</v>
      </c>
      <c r="E98" s="14" t="s">
        <v>99</v>
      </c>
      <c r="F98" s="14" t="s">
        <v>8271</v>
      </c>
      <c r="G98" s="14" t="s">
        <v>99</v>
      </c>
      <c r="H98" s="14" t="s">
        <v>99</v>
      </c>
      <c r="I98" s="14" t="s">
        <v>8272</v>
      </c>
      <c r="J98" s="14" t="s">
        <v>3018</v>
      </c>
      <c r="K98" s="14" t="s">
        <v>99</v>
      </c>
      <c r="L98" s="14" t="s">
        <v>99</v>
      </c>
      <c r="M98" s="14" t="s">
        <v>103</v>
      </c>
      <c r="N98" s="14" t="s">
        <v>104</v>
      </c>
      <c r="O98" s="14" t="s">
        <v>99</v>
      </c>
      <c r="P98" s="14" t="s">
        <v>99</v>
      </c>
      <c r="Q98" s="14" t="s">
        <v>99</v>
      </c>
      <c r="R98" s="14" t="s">
        <v>99</v>
      </c>
      <c r="S98" s="14" t="s">
        <v>99</v>
      </c>
      <c r="T98" s="14" t="s">
        <v>8273</v>
      </c>
      <c r="U98" s="14" t="s">
        <v>8274</v>
      </c>
      <c r="V98" s="14" t="s">
        <v>8275</v>
      </c>
      <c r="W98" s="14" t="s">
        <v>8276</v>
      </c>
      <c r="X98" s="14" t="s">
        <v>8277</v>
      </c>
      <c r="Y98" s="14" t="s">
        <v>8278</v>
      </c>
      <c r="Z98" s="14" t="s">
        <v>7640</v>
      </c>
      <c r="AA98" s="14" t="s">
        <v>8279</v>
      </c>
      <c r="AB98" s="14" t="s">
        <v>8280</v>
      </c>
      <c r="AC98" s="14" t="s">
        <v>99</v>
      </c>
      <c r="AD98" s="14" t="s">
        <v>99</v>
      </c>
      <c r="AE98" s="14" t="s">
        <v>99</v>
      </c>
      <c r="AF98" s="14" t="s">
        <v>99</v>
      </c>
      <c r="AG98" s="14">
        <v>45.0</v>
      </c>
      <c r="AH98" s="14">
        <v>205.0</v>
      </c>
      <c r="AI98" s="14">
        <v>239.0</v>
      </c>
      <c r="AJ98" s="14">
        <v>2.0</v>
      </c>
      <c r="AK98" s="14">
        <v>143.0</v>
      </c>
      <c r="AL98" s="14" t="s">
        <v>1033</v>
      </c>
      <c r="AM98" s="14" t="s">
        <v>442</v>
      </c>
      <c r="AN98" s="14" t="s">
        <v>1034</v>
      </c>
      <c r="AO98" s="14" t="s">
        <v>3030</v>
      </c>
      <c r="AP98" s="14" t="s">
        <v>3031</v>
      </c>
      <c r="AQ98" s="14" t="s">
        <v>99</v>
      </c>
      <c r="AR98" s="14" t="s">
        <v>3032</v>
      </c>
      <c r="AS98" s="14" t="s">
        <v>3033</v>
      </c>
      <c r="AT98" s="14" t="s">
        <v>421</v>
      </c>
      <c r="AU98" s="14">
        <v>2006.0</v>
      </c>
      <c r="AV98" s="14">
        <v>53.0</v>
      </c>
      <c r="AW98" s="14">
        <v>3.0</v>
      </c>
      <c r="AX98" s="14" t="s">
        <v>99</v>
      </c>
      <c r="AY98" s="14" t="s">
        <v>99</v>
      </c>
      <c r="AZ98" s="14" t="s">
        <v>99</v>
      </c>
      <c r="BA98" s="14" t="s">
        <v>99</v>
      </c>
      <c r="BB98" s="14">
        <v>155.0</v>
      </c>
      <c r="BC98" s="14">
        <v>168.0</v>
      </c>
      <c r="BD98" s="14" t="s">
        <v>99</v>
      </c>
      <c r="BE98" s="14" t="s">
        <v>8281</v>
      </c>
      <c r="BF98" s="15" t="str">
        <f>HYPERLINK("http://dx.doi.org/10.1016/j.gloplacha.2006.04.001","http://dx.doi.org/10.1016/j.gloplacha.2006.04.001")</f>
        <v>http://dx.doi.org/10.1016/j.gloplacha.2006.04.001</v>
      </c>
      <c r="BG98" s="14" t="s">
        <v>99</v>
      </c>
      <c r="BH98" s="14" t="s">
        <v>99</v>
      </c>
      <c r="BI98" s="14">
        <v>14.0</v>
      </c>
      <c r="BJ98" s="14" t="s">
        <v>3035</v>
      </c>
      <c r="BK98" s="14" t="s">
        <v>122</v>
      </c>
      <c r="BL98" s="14" t="s">
        <v>3036</v>
      </c>
      <c r="BM98" s="14" t="s">
        <v>8282</v>
      </c>
      <c r="BN98" s="14" t="s">
        <v>99</v>
      </c>
      <c r="BO98" s="14" t="s">
        <v>99</v>
      </c>
      <c r="BP98" s="14" t="s">
        <v>99</v>
      </c>
      <c r="BQ98" s="14" t="s">
        <v>99</v>
      </c>
      <c r="BR98" s="14" t="s">
        <v>124</v>
      </c>
      <c r="BS98" s="14" t="s">
        <v>8283</v>
      </c>
      <c r="BT98" s="14" t="str">
        <f>HYPERLINK("https%3A%2F%2Fwww.webofscience.com%2Fwos%2Fwoscc%2Ffull-record%2FWOS:000240743000001","View Full Record in Web of Science")</f>
        <v>View Full Record in Web of Science</v>
      </c>
    </row>
    <row r="99" ht="12.75" customHeight="1">
      <c r="A99" s="14" t="s">
        <v>97</v>
      </c>
      <c r="B99" s="14" t="s">
        <v>8329</v>
      </c>
      <c r="C99" s="14" t="s">
        <v>99</v>
      </c>
      <c r="D99" s="14" t="s">
        <v>99</v>
      </c>
      <c r="E99" s="14" t="s">
        <v>99</v>
      </c>
      <c r="F99" s="14" t="s">
        <v>8330</v>
      </c>
      <c r="G99" s="14" t="s">
        <v>99</v>
      </c>
      <c r="H99" s="14" t="s">
        <v>99</v>
      </c>
      <c r="I99" s="14" t="s">
        <v>8331</v>
      </c>
      <c r="J99" s="14" t="s">
        <v>8332</v>
      </c>
      <c r="K99" s="14" t="s">
        <v>99</v>
      </c>
      <c r="L99" s="14" t="s">
        <v>99</v>
      </c>
      <c r="M99" s="14" t="s">
        <v>103</v>
      </c>
      <c r="N99" s="14" t="s">
        <v>104</v>
      </c>
      <c r="O99" s="14" t="s">
        <v>99</v>
      </c>
      <c r="P99" s="14" t="s">
        <v>99</v>
      </c>
      <c r="Q99" s="14" t="s">
        <v>99</v>
      </c>
      <c r="R99" s="14" t="s">
        <v>99</v>
      </c>
      <c r="S99" s="14" t="s">
        <v>99</v>
      </c>
      <c r="T99" s="14" t="s">
        <v>8333</v>
      </c>
      <c r="U99" s="14" t="s">
        <v>99</v>
      </c>
      <c r="V99" s="14" t="s">
        <v>8334</v>
      </c>
      <c r="W99" s="14" t="s">
        <v>8335</v>
      </c>
      <c r="X99" s="14" t="s">
        <v>8336</v>
      </c>
      <c r="Y99" s="14" t="s">
        <v>8337</v>
      </c>
      <c r="Z99" s="14" t="s">
        <v>1836</v>
      </c>
      <c r="AA99" s="14" t="s">
        <v>8338</v>
      </c>
      <c r="AB99" s="14" t="s">
        <v>8339</v>
      </c>
      <c r="AC99" s="14" t="s">
        <v>99</v>
      </c>
      <c r="AD99" s="14" t="s">
        <v>99</v>
      </c>
      <c r="AE99" s="14" t="s">
        <v>99</v>
      </c>
      <c r="AF99" s="14" t="s">
        <v>99</v>
      </c>
      <c r="AG99" s="14">
        <v>23.0</v>
      </c>
      <c r="AH99" s="14">
        <v>43.0</v>
      </c>
      <c r="AI99" s="14">
        <v>45.0</v>
      </c>
      <c r="AJ99" s="14">
        <v>0.0</v>
      </c>
      <c r="AK99" s="14">
        <v>15.0</v>
      </c>
      <c r="AL99" s="14" t="s">
        <v>341</v>
      </c>
      <c r="AM99" s="14" t="s">
        <v>342</v>
      </c>
      <c r="AN99" s="14" t="s">
        <v>343</v>
      </c>
      <c r="AO99" s="14" t="s">
        <v>8340</v>
      </c>
      <c r="AP99" s="14" t="s">
        <v>8341</v>
      </c>
      <c r="AQ99" s="14" t="s">
        <v>99</v>
      </c>
      <c r="AR99" s="14" t="s">
        <v>8342</v>
      </c>
      <c r="AS99" s="14" t="s">
        <v>8343</v>
      </c>
      <c r="AT99" s="14" t="s">
        <v>168</v>
      </c>
      <c r="AU99" s="14">
        <v>2006.0</v>
      </c>
      <c r="AV99" s="14">
        <v>10.0</v>
      </c>
      <c r="AW99" s="14">
        <v>4.0</v>
      </c>
      <c r="AX99" s="14" t="s">
        <v>99</v>
      </c>
      <c r="AY99" s="14" t="s">
        <v>99</v>
      </c>
      <c r="AZ99" s="14" t="s">
        <v>99</v>
      </c>
      <c r="BA99" s="14" t="s">
        <v>99</v>
      </c>
      <c r="BB99" s="14">
        <v>133.0</v>
      </c>
      <c r="BC99" s="14">
        <v>147.0</v>
      </c>
      <c r="BD99" s="14" t="s">
        <v>99</v>
      </c>
      <c r="BE99" s="14" t="s">
        <v>8344</v>
      </c>
      <c r="BF99" s="15" t="str">
        <f>HYPERLINK("http://dx.doi.org/10.1162/jiec.2006.10.4.133","http://dx.doi.org/10.1162/jiec.2006.10.4.133")</f>
        <v>http://dx.doi.org/10.1162/jiec.2006.10.4.133</v>
      </c>
      <c r="BG99" s="14" t="s">
        <v>99</v>
      </c>
      <c r="BH99" s="14" t="s">
        <v>99</v>
      </c>
      <c r="BI99" s="14">
        <v>15.0</v>
      </c>
      <c r="BJ99" s="14" t="s">
        <v>1848</v>
      </c>
      <c r="BK99" s="14" t="s">
        <v>122</v>
      </c>
      <c r="BL99" s="14" t="s">
        <v>1849</v>
      </c>
      <c r="BM99" s="14" t="s">
        <v>8345</v>
      </c>
      <c r="BN99" s="14" t="s">
        <v>99</v>
      </c>
      <c r="BO99" s="14" t="s">
        <v>99</v>
      </c>
      <c r="BP99" s="14" t="s">
        <v>99</v>
      </c>
      <c r="BQ99" s="14" t="s">
        <v>99</v>
      </c>
      <c r="BR99" s="14" t="s">
        <v>124</v>
      </c>
      <c r="BS99" s="14" t="s">
        <v>8346</v>
      </c>
      <c r="BT99" s="14" t="str">
        <f>HYPERLINK("https%3A%2F%2Fwww.webofscience.com%2Fwos%2Fwoscc%2Ffull-record%2FWOS:000242416200011","View Full Record in Web of Science")</f>
        <v>View Full Record in Web of Science</v>
      </c>
    </row>
    <row r="100" ht="12.75" customHeight="1">
      <c r="A100" s="14" t="s">
        <v>97</v>
      </c>
      <c r="B100" s="14" t="s">
        <v>8360</v>
      </c>
      <c r="C100" s="14" t="s">
        <v>99</v>
      </c>
      <c r="D100" s="14" t="s">
        <v>99</v>
      </c>
      <c r="E100" s="14" t="s">
        <v>99</v>
      </c>
      <c r="F100" s="14" t="s">
        <v>8361</v>
      </c>
      <c r="G100" s="14" t="s">
        <v>99</v>
      </c>
      <c r="H100" s="14" t="s">
        <v>99</v>
      </c>
      <c r="I100" s="14" t="s">
        <v>8362</v>
      </c>
      <c r="J100" s="14" t="s">
        <v>8363</v>
      </c>
      <c r="K100" s="14" t="s">
        <v>99</v>
      </c>
      <c r="L100" s="14" t="s">
        <v>99</v>
      </c>
      <c r="M100" s="14" t="s">
        <v>103</v>
      </c>
      <c r="N100" s="14" t="s">
        <v>2284</v>
      </c>
      <c r="O100" s="14" t="s">
        <v>8364</v>
      </c>
      <c r="P100" s="14" t="s">
        <v>8365</v>
      </c>
      <c r="Q100" s="14" t="s">
        <v>8366</v>
      </c>
      <c r="R100" s="14" t="s">
        <v>99</v>
      </c>
      <c r="S100" s="14" t="s">
        <v>8367</v>
      </c>
      <c r="T100" s="14" t="s">
        <v>8368</v>
      </c>
      <c r="U100" s="14" t="s">
        <v>8369</v>
      </c>
      <c r="V100" s="14" t="s">
        <v>8370</v>
      </c>
      <c r="W100" s="14" t="s">
        <v>8371</v>
      </c>
      <c r="X100" s="14" t="s">
        <v>8372</v>
      </c>
      <c r="Y100" s="14" t="s">
        <v>8373</v>
      </c>
      <c r="Z100" s="14" t="s">
        <v>8374</v>
      </c>
      <c r="AA100" s="14" t="s">
        <v>8375</v>
      </c>
      <c r="AB100" s="14" t="s">
        <v>8376</v>
      </c>
      <c r="AC100" s="14" t="s">
        <v>99</v>
      </c>
      <c r="AD100" s="14" t="s">
        <v>99</v>
      </c>
      <c r="AE100" s="14" t="s">
        <v>99</v>
      </c>
      <c r="AF100" s="14" t="s">
        <v>99</v>
      </c>
      <c r="AG100" s="14">
        <v>60.0</v>
      </c>
      <c r="AH100" s="14">
        <v>122.0</v>
      </c>
      <c r="AI100" s="14">
        <v>139.0</v>
      </c>
      <c r="AJ100" s="14">
        <v>2.0</v>
      </c>
      <c r="AK100" s="14">
        <v>71.0</v>
      </c>
      <c r="AL100" s="14" t="s">
        <v>1544</v>
      </c>
      <c r="AM100" s="14" t="s">
        <v>274</v>
      </c>
      <c r="AN100" s="14" t="s">
        <v>1545</v>
      </c>
      <c r="AO100" s="14" t="s">
        <v>8377</v>
      </c>
      <c r="AP100" s="14" t="s">
        <v>8378</v>
      </c>
      <c r="AQ100" s="14" t="s">
        <v>99</v>
      </c>
      <c r="AR100" s="14" t="s">
        <v>8379</v>
      </c>
      <c r="AS100" s="14" t="s">
        <v>8380</v>
      </c>
      <c r="AT100" s="14" t="s">
        <v>448</v>
      </c>
      <c r="AU100" s="14">
        <v>2006.0</v>
      </c>
      <c r="AV100" s="14">
        <v>364.0</v>
      </c>
      <c r="AW100" s="14">
        <v>1845.0</v>
      </c>
      <c r="AX100" s="14" t="s">
        <v>99</v>
      </c>
      <c r="AY100" s="14" t="s">
        <v>99</v>
      </c>
      <c r="AZ100" s="14" t="s">
        <v>99</v>
      </c>
      <c r="BA100" s="14" t="s">
        <v>99</v>
      </c>
      <c r="BB100" s="14">
        <v>2117.0</v>
      </c>
      <c r="BC100" s="14">
        <v>2133.0</v>
      </c>
      <c r="BD100" s="14" t="s">
        <v>99</v>
      </c>
      <c r="BE100" s="14" t="s">
        <v>8381</v>
      </c>
      <c r="BF100" s="15" t="str">
        <f>HYPERLINK("http://dx.doi.org/10.1098/rsta.2006.1816","http://dx.doi.org/10.1098/rsta.2006.1816")</f>
        <v>http://dx.doi.org/10.1098/rsta.2006.1816</v>
      </c>
      <c r="BG100" s="14" t="s">
        <v>99</v>
      </c>
      <c r="BH100" s="14" t="s">
        <v>99</v>
      </c>
      <c r="BI100" s="14">
        <v>17.0</v>
      </c>
      <c r="BJ100" s="14" t="s">
        <v>799</v>
      </c>
      <c r="BK100" s="14" t="s">
        <v>2311</v>
      </c>
      <c r="BL100" s="14" t="s">
        <v>801</v>
      </c>
      <c r="BM100" s="14" t="s">
        <v>8382</v>
      </c>
      <c r="BN100" s="14">
        <v>1.6844651E7</v>
      </c>
      <c r="BO100" s="14" t="s">
        <v>99</v>
      </c>
      <c r="BP100" s="14" t="s">
        <v>99</v>
      </c>
      <c r="BQ100" s="14" t="s">
        <v>99</v>
      </c>
      <c r="BR100" s="14" t="s">
        <v>124</v>
      </c>
      <c r="BS100" s="14" t="s">
        <v>8383</v>
      </c>
      <c r="BT100" s="14" t="str">
        <f>HYPERLINK("https%3A%2F%2Fwww.webofscience.com%2Fwos%2Fwoscc%2Ffull-record%2FWOS:000239923700016","View Full Record in Web of Science")</f>
        <v>View Full Record in Web of Science</v>
      </c>
    </row>
    <row r="101" ht="12.75" customHeight="1">
      <c r="A101" s="14" t="s">
        <v>97</v>
      </c>
      <c r="B101" s="14" t="s">
        <v>8384</v>
      </c>
      <c r="C101" s="14" t="s">
        <v>99</v>
      </c>
      <c r="D101" s="14" t="s">
        <v>99</v>
      </c>
      <c r="E101" s="14" t="s">
        <v>99</v>
      </c>
      <c r="F101" s="14" t="s">
        <v>8385</v>
      </c>
      <c r="G101" s="14" t="s">
        <v>99</v>
      </c>
      <c r="H101" s="14" t="s">
        <v>99</v>
      </c>
      <c r="I101" s="14" t="s">
        <v>8386</v>
      </c>
      <c r="J101" s="14" t="s">
        <v>8387</v>
      </c>
      <c r="K101" s="14" t="s">
        <v>99</v>
      </c>
      <c r="L101" s="14" t="s">
        <v>99</v>
      </c>
      <c r="M101" s="14" t="s">
        <v>103</v>
      </c>
      <c r="N101" s="14" t="s">
        <v>2284</v>
      </c>
      <c r="O101" s="14" t="s">
        <v>8388</v>
      </c>
      <c r="P101" s="14" t="s">
        <v>8389</v>
      </c>
      <c r="Q101" s="14" t="s">
        <v>8390</v>
      </c>
      <c r="R101" s="14" t="s">
        <v>99</v>
      </c>
      <c r="S101" s="14" t="s">
        <v>99</v>
      </c>
      <c r="T101" s="14" t="s">
        <v>8391</v>
      </c>
      <c r="U101" s="14" t="s">
        <v>8392</v>
      </c>
      <c r="V101" s="14" t="s">
        <v>8393</v>
      </c>
      <c r="W101" s="14" t="s">
        <v>8394</v>
      </c>
      <c r="X101" s="14" t="s">
        <v>8395</v>
      </c>
      <c r="Y101" s="14" t="s">
        <v>8396</v>
      </c>
      <c r="Z101" s="14" t="s">
        <v>8397</v>
      </c>
      <c r="AA101" s="14" t="s">
        <v>8398</v>
      </c>
      <c r="AB101" s="14" t="s">
        <v>8399</v>
      </c>
      <c r="AC101" s="14" t="s">
        <v>99</v>
      </c>
      <c r="AD101" s="14" t="s">
        <v>99</v>
      </c>
      <c r="AE101" s="14" t="s">
        <v>99</v>
      </c>
      <c r="AF101" s="14" t="s">
        <v>99</v>
      </c>
      <c r="AG101" s="14">
        <v>255.0</v>
      </c>
      <c r="AH101" s="14">
        <v>1607.0</v>
      </c>
      <c r="AI101" s="14">
        <v>1959.0</v>
      </c>
      <c r="AJ101" s="14">
        <v>44.0</v>
      </c>
      <c r="AK101" s="14">
        <v>2162.0</v>
      </c>
      <c r="AL101" s="14" t="s">
        <v>467</v>
      </c>
      <c r="AM101" s="14" t="s">
        <v>468</v>
      </c>
      <c r="AN101" s="14" t="s">
        <v>469</v>
      </c>
      <c r="AO101" s="14" t="s">
        <v>8400</v>
      </c>
      <c r="AP101" s="14" t="s">
        <v>8401</v>
      </c>
      <c r="AQ101" s="14" t="s">
        <v>99</v>
      </c>
      <c r="AR101" s="14" t="s">
        <v>8402</v>
      </c>
      <c r="AS101" s="14" t="s">
        <v>8403</v>
      </c>
      <c r="AT101" s="14" t="s">
        <v>474</v>
      </c>
      <c r="AU101" s="14">
        <v>2006.0</v>
      </c>
      <c r="AV101" s="14">
        <v>32.0</v>
      </c>
      <c r="AW101" s="14">
        <v>6.0</v>
      </c>
      <c r="AX101" s="14" t="s">
        <v>99</v>
      </c>
      <c r="AY101" s="14" t="s">
        <v>99</v>
      </c>
      <c r="AZ101" s="14" t="s">
        <v>99</v>
      </c>
      <c r="BA101" s="14" t="s">
        <v>99</v>
      </c>
      <c r="BB101" s="14">
        <v>831.0</v>
      </c>
      <c r="BC101" s="14">
        <v>849.0</v>
      </c>
      <c r="BD101" s="14" t="s">
        <v>99</v>
      </c>
      <c r="BE101" s="14" t="s">
        <v>8404</v>
      </c>
      <c r="BF101" s="15" t="str">
        <f>HYPERLINK("http://dx.doi.org/10.1016/j.envint.2006.05.002","http://dx.doi.org/10.1016/j.envint.2006.05.002")</f>
        <v>http://dx.doi.org/10.1016/j.envint.2006.05.002</v>
      </c>
      <c r="BG101" s="14" t="s">
        <v>99</v>
      </c>
      <c r="BH101" s="14" t="s">
        <v>99</v>
      </c>
      <c r="BI101" s="14">
        <v>19.0</v>
      </c>
      <c r="BJ101" s="14" t="s">
        <v>1041</v>
      </c>
      <c r="BK101" s="14" t="s">
        <v>2311</v>
      </c>
      <c r="BL101" s="14" t="s">
        <v>260</v>
      </c>
      <c r="BM101" s="14" t="s">
        <v>8405</v>
      </c>
      <c r="BN101" s="14">
        <v>1.6781774E7</v>
      </c>
      <c r="BO101" s="14" t="s">
        <v>99</v>
      </c>
      <c r="BP101" s="14" t="s">
        <v>99</v>
      </c>
      <c r="BQ101" s="14" t="s">
        <v>99</v>
      </c>
      <c r="BR101" s="14" t="s">
        <v>124</v>
      </c>
      <c r="BS101" s="14" t="s">
        <v>8406</v>
      </c>
      <c r="BT101" s="14" t="str">
        <f>HYPERLINK("https%3A%2F%2Fwww.webofscience.com%2Fwos%2Fwoscc%2Ffull-record%2FWOS:000239095700015","View Full Record in Web of Science")</f>
        <v>View Full Record in Web of Science</v>
      </c>
    </row>
    <row r="102" ht="12.75" customHeight="1">
      <c r="A102" s="14" t="s">
        <v>97</v>
      </c>
      <c r="B102" s="14" t="s">
        <v>8717</v>
      </c>
      <c r="C102" s="14" t="s">
        <v>99</v>
      </c>
      <c r="D102" s="14" t="s">
        <v>99</v>
      </c>
      <c r="E102" s="14" t="s">
        <v>99</v>
      </c>
      <c r="F102" s="14" t="s">
        <v>8717</v>
      </c>
      <c r="G102" s="14" t="s">
        <v>99</v>
      </c>
      <c r="H102" s="14" t="s">
        <v>99</v>
      </c>
      <c r="I102" s="14" t="s">
        <v>8718</v>
      </c>
      <c r="J102" s="14" t="s">
        <v>8719</v>
      </c>
      <c r="K102" s="14" t="s">
        <v>99</v>
      </c>
      <c r="L102" s="14" t="s">
        <v>99</v>
      </c>
      <c r="M102" s="14" t="s">
        <v>103</v>
      </c>
      <c r="N102" s="14" t="s">
        <v>104</v>
      </c>
      <c r="O102" s="14" t="s">
        <v>99</v>
      </c>
      <c r="P102" s="14" t="s">
        <v>99</v>
      </c>
      <c r="Q102" s="14" t="s">
        <v>99</v>
      </c>
      <c r="R102" s="14" t="s">
        <v>99</v>
      </c>
      <c r="S102" s="14" t="s">
        <v>99</v>
      </c>
      <c r="T102" s="14" t="s">
        <v>8720</v>
      </c>
      <c r="U102" s="14" t="s">
        <v>8721</v>
      </c>
      <c r="V102" s="14" t="s">
        <v>8722</v>
      </c>
      <c r="W102" s="14" t="s">
        <v>8723</v>
      </c>
      <c r="X102" s="14" t="s">
        <v>8724</v>
      </c>
      <c r="Y102" s="14" t="s">
        <v>8725</v>
      </c>
      <c r="Z102" s="14" t="s">
        <v>8726</v>
      </c>
      <c r="AA102" s="14" t="s">
        <v>8727</v>
      </c>
      <c r="AB102" s="14" t="s">
        <v>8728</v>
      </c>
      <c r="AC102" s="14" t="s">
        <v>99</v>
      </c>
      <c r="AD102" s="14" t="s">
        <v>99</v>
      </c>
      <c r="AE102" s="14" t="s">
        <v>99</v>
      </c>
      <c r="AF102" s="14" t="s">
        <v>99</v>
      </c>
      <c r="AG102" s="14">
        <v>25.0</v>
      </c>
      <c r="AH102" s="14">
        <v>16332.0</v>
      </c>
      <c r="AI102" s="14">
        <v>18842.0</v>
      </c>
      <c r="AJ102" s="14">
        <v>39.0</v>
      </c>
      <c r="AK102" s="14">
        <v>2484.0</v>
      </c>
      <c r="AL102" s="14" t="s">
        <v>341</v>
      </c>
      <c r="AM102" s="14" t="s">
        <v>342</v>
      </c>
      <c r="AN102" s="14" t="s">
        <v>343</v>
      </c>
      <c r="AO102" s="14" t="s">
        <v>8729</v>
      </c>
      <c r="AP102" s="14" t="s">
        <v>8730</v>
      </c>
      <c r="AQ102" s="14" t="s">
        <v>99</v>
      </c>
      <c r="AR102" s="14" t="s">
        <v>8731</v>
      </c>
      <c r="AS102" s="14" t="s">
        <v>8732</v>
      </c>
      <c r="AT102" s="14" t="s">
        <v>1058</v>
      </c>
      <c r="AU102" s="14">
        <v>2005.0</v>
      </c>
      <c r="AV102" s="14">
        <v>25.0</v>
      </c>
      <c r="AW102" s="14">
        <v>15.0</v>
      </c>
      <c r="AX102" s="14" t="s">
        <v>99</v>
      </c>
      <c r="AY102" s="14" t="s">
        <v>99</v>
      </c>
      <c r="AZ102" s="14" t="s">
        <v>99</v>
      </c>
      <c r="BA102" s="14" t="s">
        <v>99</v>
      </c>
      <c r="BB102" s="14">
        <v>1965.0</v>
      </c>
      <c r="BC102" s="14">
        <v>1978.0</v>
      </c>
      <c r="BD102" s="14" t="s">
        <v>99</v>
      </c>
      <c r="BE102" s="14" t="s">
        <v>8733</v>
      </c>
      <c r="BF102" s="15" t="str">
        <f>HYPERLINK("http://dx.doi.org/10.1002/joc.1276","http://dx.doi.org/10.1002/joc.1276")</f>
        <v>http://dx.doi.org/10.1002/joc.1276</v>
      </c>
      <c r="BG102" s="14" t="s">
        <v>99</v>
      </c>
      <c r="BH102" s="14" t="s">
        <v>99</v>
      </c>
      <c r="BI102" s="14">
        <v>14.0</v>
      </c>
      <c r="BJ102" s="14" t="s">
        <v>963</v>
      </c>
      <c r="BK102" s="14" t="s">
        <v>122</v>
      </c>
      <c r="BL102" s="14" t="s">
        <v>963</v>
      </c>
      <c r="BM102" s="14" t="s">
        <v>8734</v>
      </c>
      <c r="BN102" s="14" t="s">
        <v>99</v>
      </c>
      <c r="BO102" s="14" t="s">
        <v>99</v>
      </c>
      <c r="BP102" s="14" t="s">
        <v>99</v>
      </c>
      <c r="BQ102" s="14" t="s">
        <v>99</v>
      </c>
      <c r="BR102" s="14" t="s">
        <v>124</v>
      </c>
      <c r="BS102" s="14" t="s">
        <v>8735</v>
      </c>
      <c r="BT102" s="14" t="str">
        <f>HYPERLINK("https%3A%2F%2Fwww.webofscience.com%2Fwos%2Fwoscc%2Ffull-record%2FWOS:000234519700002","View Full Record in Web of Science")</f>
        <v>View Full Record in Web of Science</v>
      </c>
    </row>
    <row r="103" ht="12.75" customHeight="1">
      <c r="A103" s="14" t="s">
        <v>97</v>
      </c>
      <c r="B103" s="14" t="s">
        <v>9016</v>
      </c>
      <c r="C103" s="14" t="s">
        <v>99</v>
      </c>
      <c r="D103" s="14" t="s">
        <v>99</v>
      </c>
      <c r="E103" s="14" t="s">
        <v>99</v>
      </c>
      <c r="F103" s="14" t="s">
        <v>9016</v>
      </c>
      <c r="G103" s="14" t="s">
        <v>99</v>
      </c>
      <c r="H103" s="14" t="s">
        <v>99</v>
      </c>
      <c r="I103" s="14" t="s">
        <v>9017</v>
      </c>
      <c r="J103" s="14" t="s">
        <v>6872</v>
      </c>
      <c r="K103" s="14" t="s">
        <v>99</v>
      </c>
      <c r="L103" s="14" t="s">
        <v>99</v>
      </c>
      <c r="M103" s="14" t="s">
        <v>103</v>
      </c>
      <c r="N103" s="14" t="s">
        <v>104</v>
      </c>
      <c r="O103" s="14" t="s">
        <v>99</v>
      </c>
      <c r="P103" s="14" t="s">
        <v>99</v>
      </c>
      <c r="Q103" s="14" t="s">
        <v>99</v>
      </c>
      <c r="R103" s="14" t="s">
        <v>99</v>
      </c>
      <c r="S103" s="14" t="s">
        <v>99</v>
      </c>
      <c r="T103" s="14" t="s">
        <v>9018</v>
      </c>
      <c r="U103" s="14" t="s">
        <v>9019</v>
      </c>
      <c r="V103" s="14" t="s">
        <v>9020</v>
      </c>
      <c r="W103" s="14" t="s">
        <v>9021</v>
      </c>
      <c r="X103" s="14" t="s">
        <v>9022</v>
      </c>
      <c r="Y103" s="14" t="s">
        <v>9023</v>
      </c>
      <c r="Z103" s="14" t="s">
        <v>9024</v>
      </c>
      <c r="AA103" s="14" t="s">
        <v>99</v>
      </c>
      <c r="AB103" s="14" t="s">
        <v>99</v>
      </c>
      <c r="AC103" s="14" t="s">
        <v>99</v>
      </c>
      <c r="AD103" s="14" t="s">
        <v>99</v>
      </c>
      <c r="AE103" s="14" t="s">
        <v>99</v>
      </c>
      <c r="AF103" s="14" t="s">
        <v>99</v>
      </c>
      <c r="AG103" s="14">
        <v>38.0</v>
      </c>
      <c r="AH103" s="14">
        <v>49.0</v>
      </c>
      <c r="AI103" s="14">
        <v>65.0</v>
      </c>
      <c r="AJ103" s="14">
        <v>0.0</v>
      </c>
      <c r="AK103" s="14">
        <v>38.0</v>
      </c>
      <c r="AL103" s="14" t="s">
        <v>341</v>
      </c>
      <c r="AM103" s="14" t="s">
        <v>342</v>
      </c>
      <c r="AN103" s="14" t="s">
        <v>343</v>
      </c>
      <c r="AO103" s="14" t="s">
        <v>6884</v>
      </c>
      <c r="AP103" s="14" t="s">
        <v>6885</v>
      </c>
      <c r="AQ103" s="14" t="s">
        <v>99</v>
      </c>
      <c r="AR103" s="14" t="s">
        <v>6872</v>
      </c>
      <c r="AS103" s="14" t="s">
        <v>259</v>
      </c>
      <c r="AT103" s="14" t="s">
        <v>935</v>
      </c>
      <c r="AU103" s="14">
        <v>2005.0</v>
      </c>
      <c r="AV103" s="14">
        <v>86.0</v>
      </c>
      <c r="AW103" s="14">
        <v>1.0</v>
      </c>
      <c r="AX103" s="14" t="s">
        <v>99</v>
      </c>
      <c r="AY103" s="14" t="s">
        <v>99</v>
      </c>
      <c r="AZ103" s="14" t="s">
        <v>99</v>
      </c>
      <c r="BA103" s="14" t="s">
        <v>99</v>
      </c>
      <c r="BB103" s="14">
        <v>26.0</v>
      </c>
      <c r="BC103" s="14">
        <v>33.0</v>
      </c>
      <c r="BD103" s="14" t="s">
        <v>99</v>
      </c>
      <c r="BE103" s="14" t="s">
        <v>9025</v>
      </c>
      <c r="BF103" s="15" t="str">
        <f>HYPERLINK("http://dx.doi.org/10.1890/03-0564","http://dx.doi.org/10.1890/03-0564")</f>
        <v>http://dx.doi.org/10.1890/03-0564</v>
      </c>
      <c r="BG103" s="14" t="s">
        <v>99</v>
      </c>
      <c r="BH103" s="14" t="s">
        <v>99</v>
      </c>
      <c r="BI103" s="14">
        <v>8.0</v>
      </c>
      <c r="BJ103" s="14" t="s">
        <v>259</v>
      </c>
      <c r="BK103" s="14" t="s">
        <v>122</v>
      </c>
      <c r="BL103" s="14" t="s">
        <v>260</v>
      </c>
      <c r="BM103" s="14" t="s">
        <v>9026</v>
      </c>
      <c r="BN103" s="14" t="s">
        <v>99</v>
      </c>
      <c r="BO103" s="14" t="s">
        <v>99</v>
      </c>
      <c r="BP103" s="14" t="s">
        <v>99</v>
      </c>
      <c r="BQ103" s="14" t="s">
        <v>99</v>
      </c>
      <c r="BR103" s="14" t="s">
        <v>124</v>
      </c>
      <c r="BS103" s="14" t="s">
        <v>9027</v>
      </c>
      <c r="BT103" s="14" t="str">
        <f>HYPERLINK("https%3A%2F%2Fwww.webofscience.com%2Fwos%2Fwoscc%2Ffull-record%2FWOS:000226791700004","View Full Record in Web of Science")</f>
        <v>View Full Record in Web of Science</v>
      </c>
    </row>
    <row r="104" ht="12.75" customHeight="1">
      <c r="A104" s="14" t="s">
        <v>97</v>
      </c>
      <c r="B104" s="14" t="s">
        <v>9083</v>
      </c>
      <c r="C104" s="14" t="s">
        <v>99</v>
      </c>
      <c r="D104" s="14" t="s">
        <v>99</v>
      </c>
      <c r="E104" s="14" t="s">
        <v>99</v>
      </c>
      <c r="F104" s="14" t="s">
        <v>9083</v>
      </c>
      <c r="G104" s="14" t="s">
        <v>99</v>
      </c>
      <c r="H104" s="14" t="s">
        <v>99</v>
      </c>
      <c r="I104" s="14" t="s">
        <v>9084</v>
      </c>
      <c r="J104" s="14" t="s">
        <v>9085</v>
      </c>
      <c r="K104" s="14" t="s">
        <v>99</v>
      </c>
      <c r="L104" s="14" t="s">
        <v>99</v>
      </c>
      <c r="M104" s="14" t="s">
        <v>103</v>
      </c>
      <c r="N104" s="14" t="s">
        <v>104</v>
      </c>
      <c r="O104" s="14" t="s">
        <v>99</v>
      </c>
      <c r="P104" s="14" t="s">
        <v>99</v>
      </c>
      <c r="Q104" s="14" t="s">
        <v>99</v>
      </c>
      <c r="R104" s="14" t="s">
        <v>99</v>
      </c>
      <c r="S104" s="14" t="s">
        <v>99</v>
      </c>
      <c r="T104" s="14" t="s">
        <v>9086</v>
      </c>
      <c r="U104" s="14" t="s">
        <v>9087</v>
      </c>
      <c r="V104" s="14" t="s">
        <v>9088</v>
      </c>
      <c r="W104" s="14" t="s">
        <v>9089</v>
      </c>
      <c r="X104" s="14" t="s">
        <v>9090</v>
      </c>
      <c r="Y104" s="14" t="s">
        <v>9091</v>
      </c>
      <c r="Z104" s="14" t="s">
        <v>9092</v>
      </c>
      <c r="AA104" s="14" t="s">
        <v>99</v>
      </c>
      <c r="AB104" s="14" t="s">
        <v>99</v>
      </c>
      <c r="AC104" s="14" t="s">
        <v>99</v>
      </c>
      <c r="AD104" s="14" t="s">
        <v>99</v>
      </c>
      <c r="AE104" s="14" t="s">
        <v>99</v>
      </c>
      <c r="AF104" s="14" t="s">
        <v>99</v>
      </c>
      <c r="AG104" s="14">
        <v>46.0</v>
      </c>
      <c r="AH104" s="14">
        <v>626.0</v>
      </c>
      <c r="AI104" s="14">
        <v>763.0</v>
      </c>
      <c r="AJ104" s="14">
        <v>5.0</v>
      </c>
      <c r="AK104" s="14">
        <v>307.0</v>
      </c>
      <c r="AL104" s="14" t="s">
        <v>2234</v>
      </c>
      <c r="AM104" s="14" t="s">
        <v>2235</v>
      </c>
      <c r="AN104" s="14" t="s">
        <v>2236</v>
      </c>
      <c r="AO104" s="14" t="s">
        <v>9093</v>
      </c>
      <c r="AP104" s="14" t="s">
        <v>99</v>
      </c>
      <c r="AQ104" s="14" t="s">
        <v>99</v>
      </c>
      <c r="AR104" s="14" t="s">
        <v>9094</v>
      </c>
      <c r="AS104" s="14" t="s">
        <v>9095</v>
      </c>
      <c r="AT104" s="14" t="s">
        <v>348</v>
      </c>
      <c r="AU104" s="14">
        <v>2004.0</v>
      </c>
      <c r="AV104" s="14">
        <v>59.0</v>
      </c>
      <c r="AW104" s="14">
        <v>3.0</v>
      </c>
      <c r="AX104" s="14" t="s">
        <v>99</v>
      </c>
      <c r="AY104" s="14" t="s">
        <v>99</v>
      </c>
      <c r="AZ104" s="14" t="s">
        <v>99</v>
      </c>
      <c r="BA104" s="14" t="s">
        <v>99</v>
      </c>
      <c r="BB104" s="14">
        <v>309.0</v>
      </c>
      <c r="BC104" s="14">
        <v>315.0</v>
      </c>
      <c r="BD104" s="14" t="s">
        <v>99</v>
      </c>
      <c r="BE104" s="14" t="s">
        <v>9096</v>
      </c>
      <c r="BF104" s="15" t="str">
        <f>HYPERLINK("http://dx.doi.org/10.1016/S0147-6513(03)00141-6","http://dx.doi.org/10.1016/S0147-6513(03)00141-6")</f>
        <v>http://dx.doi.org/10.1016/S0147-6513(03)00141-6</v>
      </c>
      <c r="BG104" s="14" t="s">
        <v>99</v>
      </c>
      <c r="BH104" s="14" t="s">
        <v>99</v>
      </c>
      <c r="BI104" s="14">
        <v>7.0</v>
      </c>
      <c r="BJ104" s="14" t="s">
        <v>9097</v>
      </c>
      <c r="BK104" s="14" t="s">
        <v>122</v>
      </c>
      <c r="BL104" s="14" t="s">
        <v>9098</v>
      </c>
      <c r="BM104" s="14" t="s">
        <v>9099</v>
      </c>
      <c r="BN104" s="14">
        <v>1.538827E7</v>
      </c>
      <c r="BO104" s="14" t="s">
        <v>99</v>
      </c>
      <c r="BP104" s="14" t="s">
        <v>99</v>
      </c>
      <c r="BQ104" s="14" t="s">
        <v>99</v>
      </c>
      <c r="BR104" s="14" t="s">
        <v>124</v>
      </c>
      <c r="BS104" s="14" t="s">
        <v>9100</v>
      </c>
      <c r="BT104" s="14" t="str">
        <f>HYPERLINK("https%3A%2F%2Fwww.webofscience.com%2Fwos%2Fwoscc%2Ffull-record%2FWOS:000224318700004","View Full Record in Web of Science")</f>
        <v>View Full Record in Web of Science</v>
      </c>
    </row>
    <row r="105" ht="12.75" customHeight="1">
      <c r="A105" s="14" t="s">
        <v>97</v>
      </c>
      <c r="B105" s="14" t="s">
        <v>9115</v>
      </c>
      <c r="C105" s="14" t="s">
        <v>99</v>
      </c>
      <c r="D105" s="14" t="s">
        <v>99</v>
      </c>
      <c r="E105" s="14" t="s">
        <v>99</v>
      </c>
      <c r="F105" s="14" t="s">
        <v>9115</v>
      </c>
      <c r="G105" s="14" t="s">
        <v>99</v>
      </c>
      <c r="H105" s="14" t="s">
        <v>99</v>
      </c>
      <c r="I105" s="14" t="s">
        <v>9116</v>
      </c>
      <c r="J105" s="14" t="s">
        <v>4268</v>
      </c>
      <c r="K105" s="14" t="s">
        <v>99</v>
      </c>
      <c r="L105" s="14" t="s">
        <v>99</v>
      </c>
      <c r="M105" s="14" t="s">
        <v>103</v>
      </c>
      <c r="N105" s="14" t="s">
        <v>104</v>
      </c>
      <c r="O105" s="14" t="s">
        <v>99</v>
      </c>
      <c r="P105" s="14" t="s">
        <v>99</v>
      </c>
      <c r="Q105" s="14" t="s">
        <v>99</v>
      </c>
      <c r="R105" s="14" t="s">
        <v>99</v>
      </c>
      <c r="S105" s="14" t="s">
        <v>99</v>
      </c>
      <c r="T105" s="14" t="s">
        <v>99</v>
      </c>
      <c r="U105" s="14" t="s">
        <v>9117</v>
      </c>
      <c r="V105" s="14" t="s">
        <v>9118</v>
      </c>
      <c r="W105" s="14" t="s">
        <v>9119</v>
      </c>
      <c r="X105" s="14" t="s">
        <v>9120</v>
      </c>
      <c r="Y105" s="14" t="s">
        <v>9121</v>
      </c>
      <c r="Z105" s="14" t="s">
        <v>9122</v>
      </c>
      <c r="AA105" s="14" t="s">
        <v>99</v>
      </c>
      <c r="AB105" s="14" t="s">
        <v>99</v>
      </c>
      <c r="AC105" s="14" t="s">
        <v>99</v>
      </c>
      <c r="AD105" s="14" t="s">
        <v>99</v>
      </c>
      <c r="AE105" s="14" t="s">
        <v>99</v>
      </c>
      <c r="AF105" s="14" t="s">
        <v>99</v>
      </c>
      <c r="AG105" s="14">
        <v>46.0</v>
      </c>
      <c r="AH105" s="14">
        <v>60.0</v>
      </c>
      <c r="AI105" s="14">
        <v>75.0</v>
      </c>
      <c r="AJ105" s="14">
        <v>0.0</v>
      </c>
      <c r="AK105" s="14">
        <v>30.0</v>
      </c>
      <c r="AL105" s="14" t="s">
        <v>2073</v>
      </c>
      <c r="AM105" s="14" t="s">
        <v>274</v>
      </c>
      <c r="AN105" s="14" t="s">
        <v>2074</v>
      </c>
      <c r="AO105" s="14" t="s">
        <v>4281</v>
      </c>
      <c r="AP105" s="14" t="s">
        <v>4282</v>
      </c>
      <c r="AQ105" s="14" t="s">
        <v>99</v>
      </c>
      <c r="AR105" s="14" t="s">
        <v>4283</v>
      </c>
      <c r="AS105" s="14" t="s">
        <v>4284</v>
      </c>
      <c r="AT105" s="14" t="s">
        <v>348</v>
      </c>
      <c r="AU105" s="14">
        <v>2004.0</v>
      </c>
      <c r="AV105" s="14">
        <v>59.0</v>
      </c>
      <c r="AW105" s="14">
        <v>3.0</v>
      </c>
      <c r="AX105" s="14" t="s">
        <v>99</v>
      </c>
      <c r="AY105" s="14" t="s">
        <v>99</v>
      </c>
      <c r="AZ105" s="14" t="s">
        <v>99</v>
      </c>
      <c r="BA105" s="14" t="s">
        <v>99</v>
      </c>
      <c r="BB105" s="14">
        <v>565.0</v>
      </c>
      <c r="BC105" s="14">
        <v>582.0</v>
      </c>
      <c r="BD105" s="14" t="s">
        <v>99</v>
      </c>
      <c r="BE105" s="14" t="s">
        <v>9123</v>
      </c>
      <c r="BF105" s="15" t="str">
        <f>HYPERLINK("http://dx.doi.org/10.1016/j.jaridenv.2004.03.022","http://dx.doi.org/10.1016/j.jaridenv.2004.03.022")</f>
        <v>http://dx.doi.org/10.1016/j.jaridenv.2004.03.022</v>
      </c>
      <c r="BG105" s="14" t="s">
        <v>99</v>
      </c>
      <c r="BH105" s="14" t="s">
        <v>99</v>
      </c>
      <c r="BI105" s="14">
        <v>18.0</v>
      </c>
      <c r="BJ105" s="14" t="s">
        <v>423</v>
      </c>
      <c r="BK105" s="14" t="s">
        <v>122</v>
      </c>
      <c r="BL105" s="14" t="s">
        <v>260</v>
      </c>
      <c r="BM105" s="14" t="s">
        <v>9124</v>
      </c>
      <c r="BN105" s="14" t="s">
        <v>99</v>
      </c>
      <c r="BO105" s="14" t="s">
        <v>354</v>
      </c>
      <c r="BP105" s="14" t="s">
        <v>99</v>
      </c>
      <c r="BQ105" s="14" t="s">
        <v>99</v>
      </c>
      <c r="BR105" s="14" t="s">
        <v>124</v>
      </c>
      <c r="BS105" s="14" t="s">
        <v>9125</v>
      </c>
      <c r="BT105" s="14" t="str">
        <f>HYPERLINK("https%3A%2F%2Fwww.webofscience.com%2Fwos%2Fwoscc%2Ffull-record%2FWOS:000223909700008","View Full Record in Web of Science")</f>
        <v>View Full Record in Web of Science</v>
      </c>
    </row>
    <row r="106" ht="12.75" customHeight="1">
      <c r="A106" s="14" t="s">
        <v>97</v>
      </c>
      <c r="B106" s="14" t="s">
        <v>9145</v>
      </c>
      <c r="C106" s="14" t="s">
        <v>99</v>
      </c>
      <c r="D106" s="14" t="s">
        <v>99</v>
      </c>
      <c r="E106" s="14" t="s">
        <v>99</v>
      </c>
      <c r="F106" s="14" t="s">
        <v>9145</v>
      </c>
      <c r="G106" s="14" t="s">
        <v>99</v>
      </c>
      <c r="H106" s="14" t="s">
        <v>99</v>
      </c>
      <c r="I106" s="14" t="s">
        <v>9146</v>
      </c>
      <c r="J106" s="14" t="s">
        <v>2332</v>
      </c>
      <c r="K106" s="14" t="s">
        <v>99</v>
      </c>
      <c r="L106" s="14" t="s">
        <v>99</v>
      </c>
      <c r="M106" s="14" t="s">
        <v>103</v>
      </c>
      <c r="N106" s="14" t="s">
        <v>104</v>
      </c>
      <c r="O106" s="14" t="s">
        <v>99</v>
      </c>
      <c r="P106" s="14" t="s">
        <v>99</v>
      </c>
      <c r="Q106" s="14" t="s">
        <v>99</v>
      </c>
      <c r="R106" s="14" t="s">
        <v>99</v>
      </c>
      <c r="S106" s="14" t="s">
        <v>99</v>
      </c>
      <c r="T106" s="14" t="s">
        <v>9147</v>
      </c>
      <c r="U106" s="14" t="s">
        <v>9148</v>
      </c>
      <c r="V106" s="14" t="s">
        <v>9149</v>
      </c>
      <c r="W106" s="14" t="s">
        <v>9150</v>
      </c>
      <c r="X106" s="14" t="s">
        <v>9151</v>
      </c>
      <c r="Y106" s="14" t="s">
        <v>9152</v>
      </c>
      <c r="Z106" s="14" t="s">
        <v>9153</v>
      </c>
      <c r="AA106" s="14" t="s">
        <v>99</v>
      </c>
      <c r="AB106" s="14" t="s">
        <v>99</v>
      </c>
      <c r="AC106" s="14" t="s">
        <v>99</v>
      </c>
      <c r="AD106" s="14" t="s">
        <v>99</v>
      </c>
      <c r="AE106" s="14" t="s">
        <v>99</v>
      </c>
      <c r="AF106" s="14" t="s">
        <v>99</v>
      </c>
      <c r="AG106" s="14">
        <v>56.0</v>
      </c>
      <c r="AH106" s="14">
        <v>125.0</v>
      </c>
      <c r="AI106" s="14">
        <v>143.0</v>
      </c>
      <c r="AJ106" s="14">
        <v>1.0</v>
      </c>
      <c r="AK106" s="14">
        <v>28.0</v>
      </c>
      <c r="AL106" s="14" t="s">
        <v>493</v>
      </c>
      <c r="AM106" s="14" t="s">
        <v>494</v>
      </c>
      <c r="AN106" s="14" t="s">
        <v>495</v>
      </c>
      <c r="AO106" s="14" t="s">
        <v>2345</v>
      </c>
      <c r="AP106" s="14" t="s">
        <v>2346</v>
      </c>
      <c r="AQ106" s="14" t="s">
        <v>99</v>
      </c>
      <c r="AR106" s="14" t="s">
        <v>2347</v>
      </c>
      <c r="AS106" s="14" t="s">
        <v>2348</v>
      </c>
      <c r="AT106" s="14" t="s">
        <v>2372</v>
      </c>
      <c r="AU106" s="14">
        <v>2004.0</v>
      </c>
      <c r="AV106" s="14">
        <v>14.0</v>
      </c>
      <c r="AW106" s="14">
        <v>3.0</v>
      </c>
      <c r="AX106" s="14" t="s">
        <v>99</v>
      </c>
      <c r="AY106" s="14" t="s">
        <v>99</v>
      </c>
      <c r="AZ106" s="14" t="s">
        <v>99</v>
      </c>
      <c r="BA106" s="14" t="s">
        <v>99</v>
      </c>
      <c r="BB106" s="14">
        <v>245.0</v>
      </c>
      <c r="BC106" s="14">
        <v>258.0</v>
      </c>
      <c r="BD106" s="14" t="s">
        <v>99</v>
      </c>
      <c r="BE106" s="14" t="s">
        <v>9154</v>
      </c>
      <c r="BF106" s="15" t="str">
        <f>HYPERLINK("http://dx.doi.org/10.1016/j.gloenvcha.2004.04.008","http://dx.doi.org/10.1016/j.gloenvcha.2004.04.008")</f>
        <v>http://dx.doi.org/10.1016/j.gloenvcha.2004.04.008</v>
      </c>
      <c r="BG106" s="14" t="s">
        <v>99</v>
      </c>
      <c r="BH106" s="14" t="s">
        <v>99</v>
      </c>
      <c r="BI106" s="14">
        <v>14.0</v>
      </c>
      <c r="BJ106" s="14" t="s">
        <v>2350</v>
      </c>
      <c r="BK106" s="14" t="s">
        <v>122</v>
      </c>
      <c r="BL106" s="14" t="s">
        <v>2351</v>
      </c>
      <c r="BM106" s="14" t="s">
        <v>9155</v>
      </c>
      <c r="BN106" s="14" t="s">
        <v>99</v>
      </c>
      <c r="BO106" s="14" t="s">
        <v>99</v>
      </c>
      <c r="BP106" s="14" t="s">
        <v>99</v>
      </c>
      <c r="BQ106" s="14" t="s">
        <v>99</v>
      </c>
      <c r="BR106" s="14" t="s">
        <v>124</v>
      </c>
      <c r="BS106" s="14" t="s">
        <v>9156</v>
      </c>
      <c r="BT106" s="14" t="str">
        <f>HYPERLINK("https%3A%2F%2Fwww.webofscience.com%2Fwos%2Fwoscc%2Ffull-record%2FWOS:000223884300006","View Full Record in Web of Science")</f>
        <v>View Full Record in Web of Science</v>
      </c>
    </row>
    <row r="107" ht="12.75" customHeight="1">
      <c r="A107" s="14" t="s">
        <v>97</v>
      </c>
      <c r="B107" s="14" t="s">
        <v>9184</v>
      </c>
      <c r="C107" s="14" t="s">
        <v>99</v>
      </c>
      <c r="D107" s="14" t="s">
        <v>99</v>
      </c>
      <c r="E107" s="14" t="s">
        <v>99</v>
      </c>
      <c r="F107" s="14" t="s">
        <v>9184</v>
      </c>
      <c r="G107" s="14" t="s">
        <v>99</v>
      </c>
      <c r="H107" s="14" t="s">
        <v>99</v>
      </c>
      <c r="I107" s="14" t="s">
        <v>9185</v>
      </c>
      <c r="J107" s="14" t="s">
        <v>2566</v>
      </c>
      <c r="K107" s="14" t="s">
        <v>99</v>
      </c>
      <c r="L107" s="14" t="s">
        <v>99</v>
      </c>
      <c r="M107" s="14" t="s">
        <v>103</v>
      </c>
      <c r="N107" s="14" t="s">
        <v>104</v>
      </c>
      <c r="O107" s="14" t="s">
        <v>99</v>
      </c>
      <c r="P107" s="14" t="s">
        <v>99</v>
      </c>
      <c r="Q107" s="14" t="s">
        <v>99</v>
      </c>
      <c r="R107" s="14" t="s">
        <v>99</v>
      </c>
      <c r="S107" s="14" t="s">
        <v>99</v>
      </c>
      <c r="T107" s="14" t="s">
        <v>99</v>
      </c>
      <c r="U107" s="14" t="s">
        <v>9186</v>
      </c>
      <c r="V107" s="14" t="s">
        <v>9187</v>
      </c>
      <c r="W107" s="14" t="s">
        <v>9188</v>
      </c>
      <c r="X107" s="14" t="s">
        <v>9189</v>
      </c>
      <c r="Y107" s="14" t="s">
        <v>9190</v>
      </c>
      <c r="Z107" s="14" t="s">
        <v>9191</v>
      </c>
      <c r="AA107" s="14" t="s">
        <v>9192</v>
      </c>
      <c r="AB107" s="14" t="s">
        <v>9193</v>
      </c>
      <c r="AC107" s="14" t="s">
        <v>99</v>
      </c>
      <c r="AD107" s="14" t="s">
        <v>99</v>
      </c>
      <c r="AE107" s="14" t="s">
        <v>99</v>
      </c>
      <c r="AF107" s="14" t="s">
        <v>99</v>
      </c>
      <c r="AG107" s="14">
        <v>51.0</v>
      </c>
      <c r="AH107" s="14">
        <v>1770.0</v>
      </c>
      <c r="AI107" s="14">
        <v>2101.0</v>
      </c>
      <c r="AJ107" s="14">
        <v>8.0</v>
      </c>
      <c r="AK107" s="14">
        <v>1323.0</v>
      </c>
      <c r="AL107" s="14" t="s">
        <v>1243</v>
      </c>
      <c r="AM107" s="14" t="s">
        <v>789</v>
      </c>
      <c r="AN107" s="14" t="s">
        <v>1244</v>
      </c>
      <c r="AO107" s="14" t="s">
        <v>2578</v>
      </c>
      <c r="AP107" s="14" t="s">
        <v>2579</v>
      </c>
      <c r="AQ107" s="14" t="s">
        <v>99</v>
      </c>
      <c r="AR107" s="14" t="s">
        <v>2566</v>
      </c>
      <c r="AS107" s="14" t="s">
        <v>2580</v>
      </c>
      <c r="AT107" s="14" t="s">
        <v>9194</v>
      </c>
      <c r="AU107" s="14">
        <v>2004.0</v>
      </c>
      <c r="AV107" s="14">
        <v>305.0</v>
      </c>
      <c r="AW107" s="14">
        <v>5682.0</v>
      </c>
      <c r="AX107" s="14" t="s">
        <v>99</v>
      </c>
      <c r="AY107" s="14" t="s">
        <v>99</v>
      </c>
      <c r="AZ107" s="14" t="s">
        <v>99</v>
      </c>
      <c r="BA107" s="14" t="s">
        <v>99</v>
      </c>
      <c r="BB107" s="14">
        <v>362.0</v>
      </c>
      <c r="BC107" s="14">
        <v>366.0</v>
      </c>
      <c r="BD107" s="14" t="s">
        <v>99</v>
      </c>
      <c r="BE107" s="14" t="s">
        <v>9195</v>
      </c>
      <c r="BF107" s="15" t="str">
        <f>HYPERLINK("http://dx.doi.org/10.1126/science.1097329","http://dx.doi.org/10.1126/science.1097329")</f>
        <v>http://dx.doi.org/10.1126/science.1097329</v>
      </c>
      <c r="BG107" s="14" t="s">
        <v>99</v>
      </c>
      <c r="BH107" s="14" t="s">
        <v>99</v>
      </c>
      <c r="BI107" s="14">
        <v>5.0</v>
      </c>
      <c r="BJ107" s="14" t="s">
        <v>799</v>
      </c>
      <c r="BK107" s="14" t="s">
        <v>122</v>
      </c>
      <c r="BL107" s="14" t="s">
        <v>801</v>
      </c>
      <c r="BM107" s="14" t="s">
        <v>9196</v>
      </c>
      <c r="BN107" s="14">
        <v>1.5256664E7</v>
      </c>
      <c r="BO107" s="14" t="s">
        <v>99</v>
      </c>
      <c r="BP107" s="14" t="s">
        <v>99</v>
      </c>
      <c r="BQ107" s="14" t="s">
        <v>99</v>
      </c>
      <c r="BR107" s="14" t="s">
        <v>124</v>
      </c>
      <c r="BS107" s="14" t="s">
        <v>9197</v>
      </c>
      <c r="BT107" s="14" t="str">
        <f>HYPERLINK("https%3A%2F%2Fwww.webofscience.com%2Fwos%2Fwoscc%2Ffull-record%2FWOS:000222662400029","View Full Record in Web of Science")</f>
        <v>View Full Record in Web of Science</v>
      </c>
    </row>
    <row r="108" ht="12.75" customHeight="1">
      <c r="A108" s="14" t="s">
        <v>97</v>
      </c>
      <c r="B108" s="14" t="s">
        <v>9310</v>
      </c>
      <c r="C108" s="14" t="s">
        <v>99</v>
      </c>
      <c r="D108" s="14" t="s">
        <v>99</v>
      </c>
      <c r="E108" s="14" t="s">
        <v>99</v>
      </c>
      <c r="F108" s="14" t="s">
        <v>9310</v>
      </c>
      <c r="G108" s="14" t="s">
        <v>99</v>
      </c>
      <c r="H108" s="14" t="s">
        <v>99</v>
      </c>
      <c r="I108" s="14" t="s">
        <v>9311</v>
      </c>
      <c r="J108" s="14" t="s">
        <v>9312</v>
      </c>
      <c r="K108" s="14" t="s">
        <v>99</v>
      </c>
      <c r="L108" s="14" t="s">
        <v>99</v>
      </c>
      <c r="M108" s="14" t="s">
        <v>103</v>
      </c>
      <c r="N108" s="14" t="s">
        <v>104</v>
      </c>
      <c r="O108" s="14" t="s">
        <v>99</v>
      </c>
      <c r="P108" s="14" t="s">
        <v>99</v>
      </c>
      <c r="Q108" s="14" t="s">
        <v>99</v>
      </c>
      <c r="R108" s="14" t="s">
        <v>99</v>
      </c>
      <c r="S108" s="14" t="s">
        <v>99</v>
      </c>
      <c r="T108" s="14" t="s">
        <v>9313</v>
      </c>
      <c r="U108" s="14" t="s">
        <v>9314</v>
      </c>
      <c r="V108" s="14" t="s">
        <v>9315</v>
      </c>
      <c r="W108" s="14" t="s">
        <v>9316</v>
      </c>
      <c r="X108" s="14" t="s">
        <v>9317</v>
      </c>
      <c r="Y108" s="14" t="s">
        <v>9318</v>
      </c>
      <c r="Z108" s="14" t="s">
        <v>99</v>
      </c>
      <c r="AA108" s="14" t="s">
        <v>99</v>
      </c>
      <c r="AB108" s="14" t="s">
        <v>9319</v>
      </c>
      <c r="AC108" s="14" t="s">
        <v>99</v>
      </c>
      <c r="AD108" s="14" t="s">
        <v>99</v>
      </c>
      <c r="AE108" s="14" t="s">
        <v>99</v>
      </c>
      <c r="AF108" s="14" t="s">
        <v>99</v>
      </c>
      <c r="AG108" s="14">
        <v>38.0</v>
      </c>
      <c r="AH108" s="14">
        <v>58.0</v>
      </c>
      <c r="AI108" s="14">
        <v>76.0</v>
      </c>
      <c r="AJ108" s="14">
        <v>0.0</v>
      </c>
      <c r="AK108" s="14">
        <v>55.0</v>
      </c>
      <c r="AL108" s="14" t="s">
        <v>1731</v>
      </c>
      <c r="AM108" s="14" t="s">
        <v>1594</v>
      </c>
      <c r="AN108" s="14" t="s">
        <v>3585</v>
      </c>
      <c r="AO108" s="14" t="s">
        <v>9320</v>
      </c>
      <c r="AP108" s="14" t="s">
        <v>9321</v>
      </c>
      <c r="AQ108" s="14" t="s">
        <v>99</v>
      </c>
      <c r="AR108" s="14" t="s">
        <v>9322</v>
      </c>
      <c r="AS108" s="14" t="s">
        <v>9323</v>
      </c>
      <c r="AT108" s="14" t="s">
        <v>935</v>
      </c>
      <c r="AU108" s="14">
        <v>2004.0</v>
      </c>
      <c r="AV108" s="14">
        <v>31.0</v>
      </c>
      <c r="AW108" s="14">
        <v>1.0</v>
      </c>
      <c r="AX108" s="14" t="s">
        <v>99</v>
      </c>
      <c r="AY108" s="14" t="s">
        <v>99</v>
      </c>
      <c r="AZ108" s="14" t="s">
        <v>99</v>
      </c>
      <c r="BA108" s="14" t="s">
        <v>99</v>
      </c>
      <c r="BB108" s="14">
        <v>177.0</v>
      </c>
      <c r="BC108" s="14">
        <v>190.0</v>
      </c>
      <c r="BD108" s="14" t="s">
        <v>99</v>
      </c>
      <c r="BE108" s="14" t="s">
        <v>9324</v>
      </c>
      <c r="BF108" s="15" t="str">
        <f>HYPERLINK("http://dx.doi.org/10.1023/B:NHAZ.0000020259.58716.0d","http://dx.doi.org/10.1023/B:NHAZ.0000020259.58716.0d")</f>
        <v>http://dx.doi.org/10.1023/B:NHAZ.0000020259.58716.0d</v>
      </c>
      <c r="BG108" s="14" t="s">
        <v>99</v>
      </c>
      <c r="BH108" s="14" t="s">
        <v>99</v>
      </c>
      <c r="BI108" s="14">
        <v>14.0</v>
      </c>
      <c r="BJ108" s="14" t="s">
        <v>8246</v>
      </c>
      <c r="BK108" s="14" t="s">
        <v>122</v>
      </c>
      <c r="BL108" s="14" t="s">
        <v>8247</v>
      </c>
      <c r="BM108" s="14" t="s">
        <v>9325</v>
      </c>
      <c r="BN108" s="14" t="s">
        <v>99</v>
      </c>
      <c r="BO108" s="14" t="s">
        <v>99</v>
      </c>
      <c r="BP108" s="14" t="s">
        <v>99</v>
      </c>
      <c r="BQ108" s="14" t="s">
        <v>99</v>
      </c>
      <c r="BR108" s="14" t="s">
        <v>124</v>
      </c>
      <c r="BS108" s="14" t="s">
        <v>9326</v>
      </c>
      <c r="BT108" s="14" t="str">
        <f>HYPERLINK("https%3A%2F%2Fwww.webofscience.com%2Fwos%2Fwoscc%2Ffull-record%2FWOS:000220303700010","View Full Record in Web of Science")</f>
        <v>View Full Record in Web of Science</v>
      </c>
    </row>
    <row r="109" ht="12.75" customHeight="1">
      <c r="A109" s="14" t="s">
        <v>97</v>
      </c>
      <c r="B109" s="14" t="s">
        <v>9341</v>
      </c>
      <c r="C109" s="14" t="s">
        <v>99</v>
      </c>
      <c r="D109" s="14" t="s">
        <v>99</v>
      </c>
      <c r="E109" s="14" t="s">
        <v>99</v>
      </c>
      <c r="F109" s="14" t="s">
        <v>9341</v>
      </c>
      <c r="G109" s="14" t="s">
        <v>99</v>
      </c>
      <c r="H109" s="14" t="s">
        <v>99</v>
      </c>
      <c r="I109" s="14" t="s">
        <v>9342</v>
      </c>
      <c r="J109" s="14" t="s">
        <v>9343</v>
      </c>
      <c r="K109" s="14" t="s">
        <v>99</v>
      </c>
      <c r="L109" s="14" t="s">
        <v>99</v>
      </c>
      <c r="M109" s="14" t="s">
        <v>103</v>
      </c>
      <c r="N109" s="14" t="s">
        <v>104</v>
      </c>
      <c r="O109" s="14" t="s">
        <v>99</v>
      </c>
      <c r="P109" s="14" t="s">
        <v>99</v>
      </c>
      <c r="Q109" s="14" t="s">
        <v>99</v>
      </c>
      <c r="R109" s="14" t="s">
        <v>99</v>
      </c>
      <c r="S109" s="14" t="s">
        <v>99</v>
      </c>
      <c r="T109" s="14" t="s">
        <v>9344</v>
      </c>
      <c r="U109" s="14" t="s">
        <v>9345</v>
      </c>
      <c r="V109" s="14" t="s">
        <v>9346</v>
      </c>
      <c r="W109" s="14" t="s">
        <v>9347</v>
      </c>
      <c r="X109" s="14" t="s">
        <v>9348</v>
      </c>
      <c r="Y109" s="14" t="s">
        <v>9349</v>
      </c>
      <c r="Z109" s="14" t="s">
        <v>99</v>
      </c>
      <c r="AA109" s="14" t="s">
        <v>9350</v>
      </c>
      <c r="AB109" s="14" t="s">
        <v>9351</v>
      </c>
      <c r="AC109" s="14" t="s">
        <v>99</v>
      </c>
      <c r="AD109" s="14" t="s">
        <v>99</v>
      </c>
      <c r="AE109" s="14" t="s">
        <v>99</v>
      </c>
      <c r="AF109" s="14" t="s">
        <v>99</v>
      </c>
      <c r="AG109" s="14">
        <v>80.0</v>
      </c>
      <c r="AH109" s="14">
        <v>33.0</v>
      </c>
      <c r="AI109" s="14">
        <v>45.0</v>
      </c>
      <c r="AJ109" s="14">
        <v>2.0</v>
      </c>
      <c r="AK109" s="14">
        <v>36.0</v>
      </c>
      <c r="AL109" s="14" t="s">
        <v>9352</v>
      </c>
      <c r="AM109" s="14" t="s">
        <v>1732</v>
      </c>
      <c r="AN109" s="14" t="s">
        <v>1733</v>
      </c>
      <c r="AO109" s="14" t="s">
        <v>9353</v>
      </c>
      <c r="AP109" s="14" t="s">
        <v>99</v>
      </c>
      <c r="AQ109" s="14" t="s">
        <v>99</v>
      </c>
      <c r="AR109" s="14" t="s">
        <v>9354</v>
      </c>
      <c r="AS109" s="14" t="s">
        <v>9355</v>
      </c>
      <c r="AT109" s="14" t="s">
        <v>9356</v>
      </c>
      <c r="AU109" s="14">
        <v>2003.0</v>
      </c>
      <c r="AV109" s="14">
        <v>88.0</v>
      </c>
      <c r="AW109" s="14" t="s">
        <v>8123</v>
      </c>
      <c r="AX109" s="14" t="s">
        <v>99</v>
      </c>
      <c r="AY109" s="14" t="s">
        <v>99</v>
      </c>
      <c r="AZ109" s="14" t="s">
        <v>99</v>
      </c>
      <c r="BA109" s="14" t="s">
        <v>99</v>
      </c>
      <c r="BB109" s="14">
        <v>53.0</v>
      </c>
      <c r="BC109" s="14">
        <v>101.0</v>
      </c>
      <c r="BD109" s="14" t="s">
        <v>99</v>
      </c>
      <c r="BE109" s="14" t="s">
        <v>9357</v>
      </c>
      <c r="BF109" s="15" t="str">
        <f>HYPERLINK("http://dx.doi.org/10.1023/A:1025548518991","http://dx.doi.org/10.1023/A:1025548518991")</f>
        <v>http://dx.doi.org/10.1023/A:1025548518991</v>
      </c>
      <c r="BG109" s="14" t="s">
        <v>99</v>
      </c>
      <c r="BH109" s="14" t="s">
        <v>99</v>
      </c>
      <c r="BI109" s="14">
        <v>49.0</v>
      </c>
      <c r="BJ109" s="14" t="s">
        <v>1041</v>
      </c>
      <c r="BK109" s="14" t="s">
        <v>122</v>
      </c>
      <c r="BL109" s="14" t="s">
        <v>260</v>
      </c>
      <c r="BM109" s="14" t="s">
        <v>9358</v>
      </c>
      <c r="BN109" s="14">
        <v>1.4570411E7</v>
      </c>
      <c r="BO109" s="14" t="s">
        <v>99</v>
      </c>
      <c r="BP109" s="14" t="s">
        <v>99</v>
      </c>
      <c r="BQ109" s="14" t="s">
        <v>99</v>
      </c>
      <c r="BR109" s="14" t="s">
        <v>124</v>
      </c>
      <c r="BS109" s="14" t="s">
        <v>9359</v>
      </c>
      <c r="BT109" s="14" t="str">
        <f>HYPERLINK("https%3A%2F%2Fwww.webofscience.com%2Fwos%2Fwoscc%2Ffull-record%2FWOS:000185100800004","View Full Record in Web of Science")</f>
        <v>View Full Record in Web of Science</v>
      </c>
    </row>
    <row r="110" ht="12.75" customHeight="1">
      <c r="A110" s="14" t="s">
        <v>97</v>
      </c>
      <c r="B110" s="14" t="s">
        <v>9521</v>
      </c>
      <c r="C110" s="14" t="s">
        <v>99</v>
      </c>
      <c r="D110" s="14" t="s">
        <v>99</v>
      </c>
      <c r="E110" s="14" t="s">
        <v>99</v>
      </c>
      <c r="F110" s="14" t="s">
        <v>9521</v>
      </c>
      <c r="G110" s="14" t="s">
        <v>99</v>
      </c>
      <c r="H110" s="14" t="s">
        <v>99</v>
      </c>
      <c r="I110" s="14" t="s">
        <v>9522</v>
      </c>
      <c r="J110" s="14" t="s">
        <v>900</v>
      </c>
      <c r="K110" s="14" t="s">
        <v>99</v>
      </c>
      <c r="L110" s="14" t="s">
        <v>99</v>
      </c>
      <c r="M110" s="14" t="s">
        <v>103</v>
      </c>
      <c r="N110" s="14" t="s">
        <v>104</v>
      </c>
      <c r="O110" s="14" t="s">
        <v>99</v>
      </c>
      <c r="P110" s="14" t="s">
        <v>99</v>
      </c>
      <c r="Q110" s="14" t="s">
        <v>99</v>
      </c>
      <c r="R110" s="14" t="s">
        <v>99</v>
      </c>
      <c r="S110" s="14" t="s">
        <v>99</v>
      </c>
      <c r="T110" s="14" t="s">
        <v>99</v>
      </c>
      <c r="U110" s="14" t="s">
        <v>9523</v>
      </c>
      <c r="V110" s="14" t="s">
        <v>9524</v>
      </c>
      <c r="W110" s="14" t="s">
        <v>9525</v>
      </c>
      <c r="X110" s="14" t="s">
        <v>9526</v>
      </c>
      <c r="Y110" s="14" t="s">
        <v>9527</v>
      </c>
      <c r="Z110" s="14" t="s">
        <v>9528</v>
      </c>
      <c r="AA110" s="14" t="s">
        <v>9529</v>
      </c>
      <c r="AB110" s="14" t="s">
        <v>9530</v>
      </c>
      <c r="AC110" s="14" t="s">
        <v>99</v>
      </c>
      <c r="AD110" s="14" t="s">
        <v>99</v>
      </c>
      <c r="AE110" s="14" t="s">
        <v>99</v>
      </c>
      <c r="AF110" s="14" t="s">
        <v>99</v>
      </c>
      <c r="AG110" s="14">
        <v>28.0</v>
      </c>
      <c r="AH110" s="14">
        <v>456.0</v>
      </c>
      <c r="AI110" s="14">
        <v>548.0</v>
      </c>
      <c r="AJ110" s="14">
        <v>3.0</v>
      </c>
      <c r="AK110" s="14">
        <v>220.0</v>
      </c>
      <c r="AL110" s="14" t="s">
        <v>909</v>
      </c>
      <c r="AM110" s="14" t="s">
        <v>910</v>
      </c>
      <c r="AN110" s="14" t="s">
        <v>911</v>
      </c>
      <c r="AO110" s="14" t="s">
        <v>912</v>
      </c>
      <c r="AP110" s="14" t="s">
        <v>913</v>
      </c>
      <c r="AQ110" s="14" t="s">
        <v>99</v>
      </c>
      <c r="AR110" s="14" t="s">
        <v>900</v>
      </c>
      <c r="AS110" s="14" t="s">
        <v>914</v>
      </c>
      <c r="AT110" s="14" t="s">
        <v>9531</v>
      </c>
      <c r="AU110" s="14">
        <v>2003.0</v>
      </c>
      <c r="AV110" s="14">
        <v>421.0</v>
      </c>
      <c r="AW110" s="14">
        <v>6922.0</v>
      </c>
      <c r="AX110" s="14" t="s">
        <v>99</v>
      </c>
      <c r="AY110" s="14" t="s">
        <v>99</v>
      </c>
      <c r="AZ110" s="14" t="s">
        <v>99</v>
      </c>
      <c r="BA110" s="14" t="s">
        <v>99</v>
      </c>
      <c r="BB110" s="14">
        <v>530.0</v>
      </c>
      <c r="BC110" s="14">
        <v>533.0</v>
      </c>
      <c r="BD110" s="14" t="s">
        <v>99</v>
      </c>
      <c r="BE110" s="14" t="s">
        <v>9532</v>
      </c>
      <c r="BF110" s="15" t="str">
        <f>HYPERLINK("http://dx.doi.org/10.1038/nature01359","http://dx.doi.org/10.1038/nature01359")</f>
        <v>http://dx.doi.org/10.1038/nature01359</v>
      </c>
      <c r="BG110" s="14" t="s">
        <v>99</v>
      </c>
      <c r="BH110" s="14" t="s">
        <v>99</v>
      </c>
      <c r="BI110" s="14">
        <v>4.0</v>
      </c>
      <c r="BJ110" s="14" t="s">
        <v>799</v>
      </c>
      <c r="BK110" s="14" t="s">
        <v>800</v>
      </c>
      <c r="BL110" s="14" t="s">
        <v>801</v>
      </c>
      <c r="BM110" s="14" t="s">
        <v>9533</v>
      </c>
      <c r="BN110" s="14">
        <v>1.2540852E7</v>
      </c>
      <c r="BO110" s="14" t="s">
        <v>99</v>
      </c>
      <c r="BP110" s="14" t="s">
        <v>99</v>
      </c>
      <c r="BQ110" s="14" t="s">
        <v>99</v>
      </c>
      <c r="BR110" s="14" t="s">
        <v>124</v>
      </c>
      <c r="BS110" s="14" t="s">
        <v>9534</v>
      </c>
      <c r="BT110" s="14" t="str">
        <f>HYPERLINK("https%3A%2F%2Fwww.webofscience.com%2Fwos%2Fwoscc%2Ffull-record%2FWOS:000180670600044","View Full Record in Web of Science")</f>
        <v>View Full Record in Web of Science</v>
      </c>
    </row>
    <row r="111" ht="12.75" customHeight="1">
      <c r="A111" s="14" t="s">
        <v>97</v>
      </c>
      <c r="B111" s="14" t="s">
        <v>9650</v>
      </c>
      <c r="C111" s="14" t="s">
        <v>99</v>
      </c>
      <c r="D111" s="14" t="s">
        <v>99</v>
      </c>
      <c r="E111" s="14" t="s">
        <v>99</v>
      </c>
      <c r="F111" s="14" t="s">
        <v>9650</v>
      </c>
      <c r="G111" s="14" t="s">
        <v>99</v>
      </c>
      <c r="H111" s="14" t="s">
        <v>99</v>
      </c>
      <c r="I111" s="14" t="s">
        <v>9651</v>
      </c>
      <c r="J111" s="14" t="s">
        <v>9652</v>
      </c>
      <c r="K111" s="14" t="s">
        <v>99</v>
      </c>
      <c r="L111" s="14" t="s">
        <v>99</v>
      </c>
      <c r="M111" s="14" t="s">
        <v>103</v>
      </c>
      <c r="N111" s="14" t="s">
        <v>104</v>
      </c>
      <c r="O111" s="14" t="s">
        <v>99</v>
      </c>
      <c r="P111" s="14" t="s">
        <v>99</v>
      </c>
      <c r="Q111" s="14" t="s">
        <v>99</v>
      </c>
      <c r="R111" s="14" t="s">
        <v>99</v>
      </c>
      <c r="S111" s="14" t="s">
        <v>99</v>
      </c>
      <c r="T111" s="14" t="s">
        <v>9653</v>
      </c>
      <c r="U111" s="14" t="s">
        <v>9654</v>
      </c>
      <c r="V111" s="14" t="s">
        <v>9655</v>
      </c>
      <c r="W111" s="14" t="s">
        <v>9656</v>
      </c>
      <c r="X111" s="14" t="s">
        <v>9657</v>
      </c>
      <c r="Y111" s="14" t="s">
        <v>9658</v>
      </c>
      <c r="Z111" s="14" t="s">
        <v>99</v>
      </c>
      <c r="AA111" s="14" t="s">
        <v>99</v>
      </c>
      <c r="AB111" s="14" t="s">
        <v>9659</v>
      </c>
      <c r="AC111" s="14" t="s">
        <v>99</v>
      </c>
      <c r="AD111" s="14" t="s">
        <v>99</v>
      </c>
      <c r="AE111" s="14" t="s">
        <v>99</v>
      </c>
      <c r="AF111" s="14" t="s">
        <v>99</v>
      </c>
      <c r="AG111" s="14">
        <v>32.0</v>
      </c>
      <c r="AH111" s="14">
        <v>276.0</v>
      </c>
      <c r="AI111" s="14">
        <v>362.0</v>
      </c>
      <c r="AJ111" s="14">
        <v>2.0</v>
      </c>
      <c r="AK111" s="14">
        <v>203.0</v>
      </c>
      <c r="AL111" s="14" t="s">
        <v>9660</v>
      </c>
      <c r="AM111" s="14" t="s">
        <v>789</v>
      </c>
      <c r="AN111" s="14" t="s">
        <v>9661</v>
      </c>
      <c r="AO111" s="14" t="s">
        <v>9662</v>
      </c>
      <c r="AP111" s="14" t="s">
        <v>99</v>
      </c>
      <c r="AQ111" s="14" t="s">
        <v>99</v>
      </c>
      <c r="AR111" s="14" t="s">
        <v>9652</v>
      </c>
      <c r="AS111" s="14" t="s">
        <v>9663</v>
      </c>
      <c r="AT111" s="14" t="s">
        <v>616</v>
      </c>
      <c r="AU111" s="14">
        <v>2002.0</v>
      </c>
      <c r="AV111" s="14">
        <v>25.0</v>
      </c>
      <c r="AW111" s="14">
        <v>2.0</v>
      </c>
      <c r="AX111" s="14" t="s">
        <v>99</v>
      </c>
      <c r="AY111" s="14" t="s">
        <v>99</v>
      </c>
      <c r="AZ111" s="14" t="s">
        <v>99</v>
      </c>
      <c r="BA111" s="14" t="s">
        <v>99</v>
      </c>
      <c r="BB111" s="14">
        <v>173.0</v>
      </c>
      <c r="BC111" s="14">
        <v>183.0</v>
      </c>
      <c r="BD111" s="14" t="s">
        <v>99</v>
      </c>
      <c r="BE111" s="14" t="s">
        <v>9664</v>
      </c>
      <c r="BF111" s="15" t="str">
        <f>HYPERLINK("http://dx.doi.org/10.1675/1524-4695(2002)025[0173:GCCASL]2.0.CO;2","http://dx.doi.org/10.1675/1524-4695(2002)025[0173:GCCASL]2.0.CO;2")</f>
        <v>http://dx.doi.org/10.1675/1524-4695(2002)025[0173:GCCASL]2.0.CO;2</v>
      </c>
      <c r="BG111" s="14" t="s">
        <v>99</v>
      </c>
      <c r="BH111" s="14" t="s">
        <v>99</v>
      </c>
      <c r="BI111" s="14">
        <v>11.0</v>
      </c>
      <c r="BJ111" s="14" t="s">
        <v>1183</v>
      </c>
      <c r="BK111" s="14" t="s">
        <v>122</v>
      </c>
      <c r="BL111" s="14" t="s">
        <v>121</v>
      </c>
      <c r="BM111" s="14" t="s">
        <v>9665</v>
      </c>
      <c r="BN111" s="14" t="s">
        <v>99</v>
      </c>
      <c r="BO111" s="14" t="s">
        <v>99</v>
      </c>
      <c r="BP111" s="14" t="s">
        <v>99</v>
      </c>
      <c r="BQ111" s="14" t="s">
        <v>99</v>
      </c>
      <c r="BR111" s="14" t="s">
        <v>124</v>
      </c>
      <c r="BS111" s="14" t="s">
        <v>9666</v>
      </c>
      <c r="BT111" s="14" t="str">
        <f>HYPERLINK("https%3A%2F%2Fwww.webofscience.com%2Fwos%2Fwoscc%2Ffull-record%2FWOS:000176179900006","View Full Record in Web of Science")</f>
        <v>View Full Record in Web of Science</v>
      </c>
    </row>
    <row r="112" ht="12.75" customHeight="1">
      <c r="A112" s="14" t="s">
        <v>97</v>
      </c>
      <c r="B112" s="14" t="s">
        <v>9692</v>
      </c>
      <c r="C112" s="14" t="s">
        <v>99</v>
      </c>
      <c r="D112" s="14" t="s">
        <v>99</v>
      </c>
      <c r="E112" s="14" t="s">
        <v>99</v>
      </c>
      <c r="F112" s="14" t="s">
        <v>9692</v>
      </c>
      <c r="G112" s="14" t="s">
        <v>99</v>
      </c>
      <c r="H112" s="14" t="s">
        <v>99</v>
      </c>
      <c r="I112" s="14" t="s">
        <v>9693</v>
      </c>
      <c r="J112" s="14" t="s">
        <v>2566</v>
      </c>
      <c r="K112" s="14" t="s">
        <v>99</v>
      </c>
      <c r="L112" s="14" t="s">
        <v>99</v>
      </c>
      <c r="M112" s="14" t="s">
        <v>103</v>
      </c>
      <c r="N112" s="14" t="s">
        <v>104</v>
      </c>
      <c r="O112" s="14" t="s">
        <v>99</v>
      </c>
      <c r="P112" s="14" t="s">
        <v>99</v>
      </c>
      <c r="Q112" s="14" t="s">
        <v>99</v>
      </c>
      <c r="R112" s="14" t="s">
        <v>99</v>
      </c>
      <c r="S112" s="14" t="s">
        <v>99</v>
      </c>
      <c r="T112" s="14" t="s">
        <v>99</v>
      </c>
      <c r="U112" s="14" t="s">
        <v>9694</v>
      </c>
      <c r="V112" s="14" t="s">
        <v>9695</v>
      </c>
      <c r="W112" s="14" t="s">
        <v>9696</v>
      </c>
      <c r="X112" s="14" t="s">
        <v>9697</v>
      </c>
      <c r="Y112" s="14" t="s">
        <v>9698</v>
      </c>
      <c r="Z112" s="14" t="s">
        <v>9699</v>
      </c>
      <c r="AA112" s="14" t="s">
        <v>9700</v>
      </c>
      <c r="AB112" s="14" t="s">
        <v>9701</v>
      </c>
      <c r="AC112" s="14" t="s">
        <v>99</v>
      </c>
      <c r="AD112" s="14" t="s">
        <v>99</v>
      </c>
      <c r="AE112" s="14" t="s">
        <v>99</v>
      </c>
      <c r="AF112" s="14" t="s">
        <v>99</v>
      </c>
      <c r="AG112" s="14">
        <v>19.0</v>
      </c>
      <c r="AH112" s="14">
        <v>609.0</v>
      </c>
      <c r="AI112" s="14">
        <v>712.0</v>
      </c>
      <c r="AJ112" s="14">
        <v>5.0</v>
      </c>
      <c r="AK112" s="14">
        <v>233.0</v>
      </c>
      <c r="AL112" s="14" t="s">
        <v>1243</v>
      </c>
      <c r="AM112" s="14" t="s">
        <v>789</v>
      </c>
      <c r="AN112" s="14" t="s">
        <v>1244</v>
      </c>
      <c r="AO112" s="14" t="s">
        <v>2578</v>
      </c>
      <c r="AP112" s="14" t="s">
        <v>2579</v>
      </c>
      <c r="AQ112" s="14" t="s">
        <v>99</v>
      </c>
      <c r="AR112" s="14" t="s">
        <v>2566</v>
      </c>
      <c r="AS112" s="14" t="s">
        <v>2580</v>
      </c>
      <c r="AT112" s="14" t="s">
        <v>9702</v>
      </c>
      <c r="AU112" s="14">
        <v>2002.0</v>
      </c>
      <c r="AV112" s="14">
        <v>296.0</v>
      </c>
      <c r="AW112" s="14">
        <v>5573.0</v>
      </c>
      <c r="AX112" s="14" t="s">
        <v>99</v>
      </c>
      <c r="AY112" s="14" t="s">
        <v>99</v>
      </c>
      <c r="AZ112" s="14" t="s">
        <v>99</v>
      </c>
      <c r="BA112" s="14" t="s">
        <v>99</v>
      </c>
      <c r="BB112" s="14">
        <v>1687.0</v>
      </c>
      <c r="BC112" s="14">
        <v>1689.0</v>
      </c>
      <c r="BD112" s="14" t="s">
        <v>99</v>
      </c>
      <c r="BE112" s="14" t="s">
        <v>9703</v>
      </c>
      <c r="BF112" s="15" t="str">
        <f>HYPERLINK("http://dx.doi.org/10.1126/science.1071828","http://dx.doi.org/10.1126/science.1071828")</f>
        <v>http://dx.doi.org/10.1126/science.1071828</v>
      </c>
      <c r="BG112" s="14" t="s">
        <v>99</v>
      </c>
      <c r="BH112" s="14" t="s">
        <v>99</v>
      </c>
      <c r="BI112" s="14">
        <v>3.0</v>
      </c>
      <c r="BJ112" s="14" t="s">
        <v>799</v>
      </c>
      <c r="BK112" s="14" t="s">
        <v>122</v>
      </c>
      <c r="BL112" s="14" t="s">
        <v>801</v>
      </c>
      <c r="BM112" s="14" t="s">
        <v>9704</v>
      </c>
      <c r="BN112" s="14">
        <v>1.2040194E7</v>
      </c>
      <c r="BO112" s="14" t="s">
        <v>425</v>
      </c>
      <c r="BP112" s="14" t="s">
        <v>99</v>
      </c>
      <c r="BQ112" s="14" t="s">
        <v>99</v>
      </c>
      <c r="BR112" s="14" t="s">
        <v>124</v>
      </c>
      <c r="BS112" s="14" t="s">
        <v>9705</v>
      </c>
      <c r="BT112" s="14" t="str">
        <f>HYPERLINK("https%3A%2F%2Fwww.webofscience.com%2Fwos%2Fwoscc%2Ffull-record%2FWOS:000175976200058","View Full Record in Web of Science")</f>
        <v>View Full Record in Web of Science</v>
      </c>
    </row>
    <row r="113" ht="12.75" customHeight="1">
      <c r="A113" s="14" t="s">
        <v>97</v>
      </c>
      <c r="B113" s="14" t="s">
        <v>9706</v>
      </c>
      <c r="C113" s="14" t="s">
        <v>99</v>
      </c>
      <c r="D113" s="14" t="s">
        <v>99</v>
      </c>
      <c r="E113" s="14" t="s">
        <v>99</v>
      </c>
      <c r="F113" s="14" t="s">
        <v>9706</v>
      </c>
      <c r="G113" s="14" t="s">
        <v>99</v>
      </c>
      <c r="H113" s="14" t="s">
        <v>99</v>
      </c>
      <c r="I113" s="14" t="s">
        <v>9707</v>
      </c>
      <c r="J113" s="14" t="s">
        <v>900</v>
      </c>
      <c r="K113" s="14" t="s">
        <v>99</v>
      </c>
      <c r="L113" s="14" t="s">
        <v>99</v>
      </c>
      <c r="M113" s="14" t="s">
        <v>103</v>
      </c>
      <c r="N113" s="14" t="s">
        <v>104</v>
      </c>
      <c r="O113" s="14" t="s">
        <v>99</v>
      </c>
      <c r="P113" s="14" t="s">
        <v>99</v>
      </c>
      <c r="Q113" s="14" t="s">
        <v>99</v>
      </c>
      <c r="R113" s="14" t="s">
        <v>99</v>
      </c>
      <c r="S113" s="14" t="s">
        <v>99</v>
      </c>
      <c r="T113" s="14" t="s">
        <v>99</v>
      </c>
      <c r="U113" s="14" t="s">
        <v>9708</v>
      </c>
      <c r="V113" s="14" t="s">
        <v>99</v>
      </c>
      <c r="W113" s="14" t="s">
        <v>9709</v>
      </c>
      <c r="X113" s="14" t="s">
        <v>9710</v>
      </c>
      <c r="Y113" s="14" t="s">
        <v>9711</v>
      </c>
      <c r="Z113" s="14" t="s">
        <v>6759</v>
      </c>
      <c r="AA113" s="14" t="s">
        <v>99</v>
      </c>
      <c r="AB113" s="14" t="s">
        <v>99</v>
      </c>
      <c r="AC113" s="14" t="s">
        <v>99</v>
      </c>
      <c r="AD113" s="14" t="s">
        <v>99</v>
      </c>
      <c r="AE113" s="14" t="s">
        <v>99</v>
      </c>
      <c r="AF113" s="14" t="s">
        <v>99</v>
      </c>
      <c r="AG113" s="14">
        <v>13.0</v>
      </c>
      <c r="AH113" s="14">
        <v>535.0</v>
      </c>
      <c r="AI113" s="14">
        <v>602.0</v>
      </c>
      <c r="AJ113" s="14">
        <v>5.0</v>
      </c>
      <c r="AK113" s="14">
        <v>379.0</v>
      </c>
      <c r="AL113" s="14" t="s">
        <v>909</v>
      </c>
      <c r="AM113" s="14" t="s">
        <v>910</v>
      </c>
      <c r="AN113" s="14" t="s">
        <v>911</v>
      </c>
      <c r="AO113" s="14" t="s">
        <v>912</v>
      </c>
      <c r="AP113" s="14" t="s">
        <v>913</v>
      </c>
      <c r="AQ113" s="14" t="s">
        <v>99</v>
      </c>
      <c r="AR113" s="14" t="s">
        <v>900</v>
      </c>
      <c r="AS113" s="14" t="s">
        <v>914</v>
      </c>
      <c r="AT113" s="14" t="s">
        <v>9712</v>
      </c>
      <c r="AU113" s="14">
        <v>2002.0</v>
      </c>
      <c r="AV113" s="14">
        <v>416.0</v>
      </c>
      <c r="AW113" s="14">
        <v>6883.0</v>
      </c>
      <c r="AX113" s="14" t="s">
        <v>99</v>
      </c>
      <c r="AY113" s="14" t="s">
        <v>99</v>
      </c>
      <c r="AZ113" s="14" t="s">
        <v>99</v>
      </c>
      <c r="BA113" s="14" t="s">
        <v>99</v>
      </c>
      <c r="BB113" s="14">
        <v>808.0</v>
      </c>
      <c r="BC113" s="14">
        <v>809.0</v>
      </c>
      <c r="BD113" s="14" t="s">
        <v>99</v>
      </c>
      <c r="BE113" s="14" t="s">
        <v>9713</v>
      </c>
      <c r="BF113" s="15" t="str">
        <f>HYPERLINK("http://dx.doi.org/10.1038/416808a","http://dx.doi.org/10.1038/416808a")</f>
        <v>http://dx.doi.org/10.1038/416808a</v>
      </c>
      <c r="BG113" s="14" t="s">
        <v>99</v>
      </c>
      <c r="BH113" s="14" t="s">
        <v>99</v>
      </c>
      <c r="BI113" s="14">
        <v>2.0</v>
      </c>
      <c r="BJ113" s="14" t="s">
        <v>799</v>
      </c>
      <c r="BK113" s="14" t="s">
        <v>122</v>
      </c>
      <c r="BL113" s="14" t="s">
        <v>801</v>
      </c>
      <c r="BM113" s="14" t="s">
        <v>9714</v>
      </c>
      <c r="BN113" s="14">
        <v>1.1976671E7</v>
      </c>
      <c r="BO113" s="14" t="s">
        <v>99</v>
      </c>
      <c r="BP113" s="14" t="s">
        <v>99</v>
      </c>
      <c r="BQ113" s="14" t="s">
        <v>99</v>
      </c>
      <c r="BR113" s="14" t="s">
        <v>124</v>
      </c>
      <c r="BS113" s="14" t="s">
        <v>9715</v>
      </c>
      <c r="BT113" s="14" t="str">
        <f>HYPERLINK("https%3A%2F%2Fwww.webofscience.com%2Fwos%2Fwoscc%2Ffull-record%2FWOS:000175163800039","View Full Record in Web of Science")</f>
        <v>View Full Record in Web of Science</v>
      </c>
    </row>
    <row r="114" ht="12.75" customHeight="1">
      <c r="A114" s="14" t="s">
        <v>97</v>
      </c>
      <c r="B114" s="14" t="s">
        <v>9759</v>
      </c>
      <c r="C114" s="14" t="s">
        <v>99</v>
      </c>
      <c r="D114" s="14" t="s">
        <v>99</v>
      </c>
      <c r="E114" s="14" t="s">
        <v>99</v>
      </c>
      <c r="F114" s="14" t="s">
        <v>9759</v>
      </c>
      <c r="G114" s="14" t="s">
        <v>99</v>
      </c>
      <c r="H114" s="14" t="s">
        <v>99</v>
      </c>
      <c r="I114" s="14" t="s">
        <v>9760</v>
      </c>
      <c r="J114" s="14" t="s">
        <v>6046</v>
      </c>
      <c r="K114" s="14" t="s">
        <v>99</v>
      </c>
      <c r="L114" s="14" t="s">
        <v>99</v>
      </c>
      <c r="M114" s="14" t="s">
        <v>103</v>
      </c>
      <c r="N114" s="14" t="s">
        <v>104</v>
      </c>
      <c r="O114" s="14" t="s">
        <v>99</v>
      </c>
      <c r="P114" s="14" t="s">
        <v>99</v>
      </c>
      <c r="Q114" s="14" t="s">
        <v>99</v>
      </c>
      <c r="R114" s="14" t="s">
        <v>99</v>
      </c>
      <c r="S114" s="14" t="s">
        <v>99</v>
      </c>
      <c r="T114" s="14" t="s">
        <v>99</v>
      </c>
      <c r="U114" s="14" t="s">
        <v>9761</v>
      </c>
      <c r="V114" s="14" t="s">
        <v>99</v>
      </c>
      <c r="W114" s="14" t="s">
        <v>9762</v>
      </c>
      <c r="X114" s="14" t="s">
        <v>9763</v>
      </c>
      <c r="Y114" s="14" t="s">
        <v>9764</v>
      </c>
      <c r="Z114" s="14" t="s">
        <v>9765</v>
      </c>
      <c r="AA114" s="14" t="s">
        <v>99</v>
      </c>
      <c r="AB114" s="14" t="s">
        <v>9766</v>
      </c>
      <c r="AC114" s="14" t="s">
        <v>99</v>
      </c>
      <c r="AD114" s="14" t="s">
        <v>99</v>
      </c>
      <c r="AE114" s="14" t="s">
        <v>99</v>
      </c>
      <c r="AF114" s="14" t="s">
        <v>99</v>
      </c>
      <c r="AG114" s="14">
        <v>31.0</v>
      </c>
      <c r="AH114" s="14">
        <v>2069.0</v>
      </c>
      <c r="AI114" s="14">
        <v>2583.0</v>
      </c>
      <c r="AJ114" s="14">
        <v>15.0</v>
      </c>
      <c r="AK114" s="14">
        <v>501.0</v>
      </c>
      <c r="AL114" s="14" t="s">
        <v>3078</v>
      </c>
      <c r="AM114" s="14" t="s">
        <v>468</v>
      </c>
      <c r="AN114" s="14" t="s">
        <v>3079</v>
      </c>
      <c r="AO114" s="14" t="s">
        <v>6060</v>
      </c>
      <c r="AP114" s="14" t="s">
        <v>9767</v>
      </c>
      <c r="AQ114" s="14" t="s">
        <v>99</v>
      </c>
      <c r="AR114" s="14" t="s">
        <v>6046</v>
      </c>
      <c r="AS114" s="14" t="s">
        <v>6061</v>
      </c>
      <c r="AT114" s="14" t="s">
        <v>280</v>
      </c>
      <c r="AU114" s="14">
        <v>2002.0</v>
      </c>
      <c r="AV114" s="14">
        <v>52.0</v>
      </c>
      <c r="AW114" s="14">
        <v>2.0</v>
      </c>
      <c r="AX114" s="14" t="s">
        <v>99</v>
      </c>
      <c r="AY114" s="14" t="s">
        <v>99</v>
      </c>
      <c r="AZ114" s="14" t="s">
        <v>99</v>
      </c>
      <c r="BA114" s="14" t="s">
        <v>99</v>
      </c>
      <c r="BB114" s="14">
        <v>143.0</v>
      </c>
      <c r="BC114" s="14">
        <v>150.0</v>
      </c>
      <c r="BD114" s="14" t="s">
        <v>99</v>
      </c>
      <c r="BE114" s="14" t="s">
        <v>9768</v>
      </c>
      <c r="BF114" s="15" t="str">
        <f>HYPERLINK("http://dx.doi.org/10.1641/0006-3568(2002)052[0143:PCAUDF]2.0.CO;2","http://dx.doi.org/10.1641/0006-3568(2002)052[0143:PCAUDF]2.0.CO;2")</f>
        <v>http://dx.doi.org/10.1641/0006-3568(2002)052[0143:PCAUDF]2.0.CO;2</v>
      </c>
      <c r="BG114" s="14" t="s">
        <v>99</v>
      </c>
      <c r="BH114" s="14" t="s">
        <v>99</v>
      </c>
      <c r="BI114" s="14">
        <v>8.0</v>
      </c>
      <c r="BJ114" s="14" t="s">
        <v>1803</v>
      </c>
      <c r="BK114" s="14" t="s">
        <v>800</v>
      </c>
      <c r="BL114" s="14" t="s">
        <v>1804</v>
      </c>
      <c r="BM114" s="14" t="s">
        <v>9769</v>
      </c>
      <c r="BN114" s="14" t="s">
        <v>99</v>
      </c>
      <c r="BO114" s="14" t="s">
        <v>238</v>
      </c>
      <c r="BP114" s="14" t="s">
        <v>99</v>
      </c>
      <c r="BQ114" s="14" t="s">
        <v>99</v>
      </c>
      <c r="BR114" s="14" t="s">
        <v>124</v>
      </c>
      <c r="BS114" s="14" t="s">
        <v>9770</v>
      </c>
      <c r="BT114" s="14" t="str">
        <f>HYPERLINK("https%3A%2F%2Fwww.webofscience.com%2Fwos%2Fwoscc%2Ffull-record%2FWOS:000173839600005","View Full Record in Web of Science")</f>
        <v>View Full Record in Web of Science</v>
      </c>
    </row>
    <row r="115" ht="12.75" customHeight="1">
      <c r="A115" s="14" t="s">
        <v>97</v>
      </c>
      <c r="B115" s="14" t="s">
        <v>9809</v>
      </c>
      <c r="C115" s="14" t="s">
        <v>99</v>
      </c>
      <c r="D115" s="14" t="s">
        <v>99</v>
      </c>
      <c r="E115" s="14" t="s">
        <v>99</v>
      </c>
      <c r="F115" s="14" t="s">
        <v>9809</v>
      </c>
      <c r="G115" s="14" t="s">
        <v>99</v>
      </c>
      <c r="H115" s="14" t="s">
        <v>99</v>
      </c>
      <c r="I115" s="14" t="s">
        <v>9810</v>
      </c>
      <c r="J115" s="14" t="s">
        <v>2994</v>
      </c>
      <c r="K115" s="14" t="s">
        <v>99</v>
      </c>
      <c r="L115" s="14" t="s">
        <v>99</v>
      </c>
      <c r="M115" s="14" t="s">
        <v>103</v>
      </c>
      <c r="N115" s="14" t="s">
        <v>2284</v>
      </c>
      <c r="O115" s="14" t="s">
        <v>9811</v>
      </c>
      <c r="P115" s="14" t="s">
        <v>9812</v>
      </c>
      <c r="Q115" s="14" t="s">
        <v>9813</v>
      </c>
      <c r="R115" s="14" t="s">
        <v>99</v>
      </c>
      <c r="S115" s="14" t="s">
        <v>99</v>
      </c>
      <c r="T115" s="14" t="s">
        <v>9814</v>
      </c>
      <c r="U115" s="14" t="s">
        <v>9815</v>
      </c>
      <c r="V115" s="14" t="s">
        <v>9816</v>
      </c>
      <c r="W115" s="14" t="s">
        <v>9817</v>
      </c>
      <c r="X115" s="14" t="s">
        <v>9818</v>
      </c>
      <c r="Y115" s="14" t="s">
        <v>9819</v>
      </c>
      <c r="Z115" s="14" t="s">
        <v>99</v>
      </c>
      <c r="AA115" s="14" t="s">
        <v>9820</v>
      </c>
      <c r="AB115" s="14" t="s">
        <v>9821</v>
      </c>
      <c r="AC115" s="14" t="s">
        <v>99</v>
      </c>
      <c r="AD115" s="14" t="s">
        <v>99</v>
      </c>
      <c r="AE115" s="14" t="s">
        <v>99</v>
      </c>
      <c r="AF115" s="14" t="s">
        <v>99</v>
      </c>
      <c r="AG115" s="14">
        <v>8.0</v>
      </c>
      <c r="AH115" s="14">
        <v>77.0</v>
      </c>
      <c r="AI115" s="14">
        <v>82.0</v>
      </c>
      <c r="AJ115" s="14">
        <v>0.0</v>
      </c>
      <c r="AK115" s="14">
        <v>23.0</v>
      </c>
      <c r="AL115" s="14" t="s">
        <v>9352</v>
      </c>
      <c r="AM115" s="14" t="s">
        <v>1732</v>
      </c>
      <c r="AN115" s="14" t="s">
        <v>9822</v>
      </c>
      <c r="AO115" s="14" t="s">
        <v>3006</v>
      </c>
      <c r="AP115" s="14" t="s">
        <v>99</v>
      </c>
      <c r="AQ115" s="14" t="s">
        <v>99</v>
      </c>
      <c r="AR115" s="14" t="s">
        <v>3008</v>
      </c>
      <c r="AS115" s="14" t="s">
        <v>3009</v>
      </c>
      <c r="AT115" s="14" t="s">
        <v>9823</v>
      </c>
      <c r="AU115" s="14">
        <v>2001.0</v>
      </c>
      <c r="AV115" s="14">
        <v>130.0</v>
      </c>
      <c r="AW115" s="14" t="s">
        <v>7581</v>
      </c>
      <c r="AX115" s="14">
        <v>2.0</v>
      </c>
      <c r="AY115" s="14" t="s">
        <v>99</v>
      </c>
      <c r="AZ115" s="14" t="s">
        <v>99</v>
      </c>
      <c r="BA115" s="14" t="s">
        <v>99</v>
      </c>
      <c r="BB115" s="14">
        <v>787.0</v>
      </c>
      <c r="BC115" s="14">
        <v>792.0</v>
      </c>
      <c r="BD115" s="14" t="s">
        <v>99</v>
      </c>
      <c r="BE115" s="14" t="s">
        <v>9824</v>
      </c>
      <c r="BF115" s="15" t="str">
        <f>HYPERLINK("http://dx.doi.org/10.1023/A:1013806223310","http://dx.doi.org/10.1023/A:1013806223310")</f>
        <v>http://dx.doi.org/10.1023/A:1013806223310</v>
      </c>
      <c r="BG115" s="14" t="s">
        <v>99</v>
      </c>
      <c r="BH115" s="14" t="s">
        <v>99</v>
      </c>
      <c r="BI115" s="14">
        <v>6.0</v>
      </c>
      <c r="BJ115" s="14" t="s">
        <v>3011</v>
      </c>
      <c r="BK115" s="14" t="s">
        <v>9825</v>
      </c>
      <c r="BL115" s="14" t="s">
        <v>3012</v>
      </c>
      <c r="BM115" s="14" t="s">
        <v>9826</v>
      </c>
      <c r="BN115" s="14" t="s">
        <v>99</v>
      </c>
      <c r="BO115" s="14" t="s">
        <v>99</v>
      </c>
      <c r="BP115" s="14" t="s">
        <v>99</v>
      </c>
      <c r="BQ115" s="14" t="s">
        <v>99</v>
      </c>
      <c r="BR115" s="14" t="s">
        <v>124</v>
      </c>
      <c r="BS115" s="14" t="s">
        <v>9827</v>
      </c>
      <c r="BT115" s="14" t="str">
        <f>HYPERLINK("https%3A%2F%2Fwww.webofscience.com%2Fwos%2Fwoscc%2Ffull-record%2FWOS:000172011900102","View Full Record in Web of Science")</f>
        <v>View Full Record in Web of Science</v>
      </c>
    </row>
    <row r="116" ht="12.75" customHeight="1">
      <c r="A116" s="14" t="s">
        <v>97</v>
      </c>
      <c r="B116" s="14" t="s">
        <v>9871</v>
      </c>
      <c r="C116" s="14" t="s">
        <v>99</v>
      </c>
      <c r="D116" s="14" t="s">
        <v>99</v>
      </c>
      <c r="E116" s="14" t="s">
        <v>99</v>
      </c>
      <c r="F116" s="14" t="s">
        <v>9871</v>
      </c>
      <c r="G116" s="14" t="s">
        <v>99</v>
      </c>
      <c r="H116" s="14" t="s">
        <v>99</v>
      </c>
      <c r="I116" s="14" t="s">
        <v>9872</v>
      </c>
      <c r="J116" s="14" t="s">
        <v>6046</v>
      </c>
      <c r="K116" s="14" t="s">
        <v>99</v>
      </c>
      <c r="L116" s="14" t="s">
        <v>99</v>
      </c>
      <c r="M116" s="14" t="s">
        <v>103</v>
      </c>
      <c r="N116" s="14" t="s">
        <v>104</v>
      </c>
      <c r="O116" s="14" t="s">
        <v>99</v>
      </c>
      <c r="P116" s="14" t="s">
        <v>99</v>
      </c>
      <c r="Q116" s="14" t="s">
        <v>99</v>
      </c>
      <c r="R116" s="14" t="s">
        <v>99</v>
      </c>
      <c r="S116" s="14" t="s">
        <v>99</v>
      </c>
      <c r="T116" s="14" t="s">
        <v>99</v>
      </c>
      <c r="U116" s="14" t="s">
        <v>9873</v>
      </c>
      <c r="V116" s="14" t="s">
        <v>99</v>
      </c>
      <c r="W116" s="14" t="s">
        <v>9874</v>
      </c>
      <c r="X116" s="14" t="s">
        <v>9875</v>
      </c>
      <c r="Y116" s="14" t="s">
        <v>9876</v>
      </c>
      <c r="Z116" s="14" t="s">
        <v>9877</v>
      </c>
      <c r="AA116" s="14" t="s">
        <v>9878</v>
      </c>
      <c r="AB116" s="14" t="s">
        <v>9879</v>
      </c>
      <c r="AC116" s="14" t="s">
        <v>99</v>
      </c>
      <c r="AD116" s="14" t="s">
        <v>99</v>
      </c>
      <c r="AE116" s="14" t="s">
        <v>99</v>
      </c>
      <c r="AF116" s="14" t="s">
        <v>99</v>
      </c>
      <c r="AG116" s="14">
        <v>84.0</v>
      </c>
      <c r="AH116" s="14">
        <v>860.0</v>
      </c>
      <c r="AI116" s="14">
        <v>1055.0</v>
      </c>
      <c r="AJ116" s="14">
        <v>3.0</v>
      </c>
      <c r="AK116" s="14">
        <v>239.0</v>
      </c>
      <c r="AL116" s="14" t="s">
        <v>3078</v>
      </c>
      <c r="AM116" s="14" t="s">
        <v>468</v>
      </c>
      <c r="AN116" s="14" t="s">
        <v>3079</v>
      </c>
      <c r="AO116" s="14" t="s">
        <v>6060</v>
      </c>
      <c r="AP116" s="14" t="s">
        <v>9767</v>
      </c>
      <c r="AQ116" s="14" t="s">
        <v>99</v>
      </c>
      <c r="AR116" s="14" t="s">
        <v>6046</v>
      </c>
      <c r="AS116" s="14" t="s">
        <v>6061</v>
      </c>
      <c r="AT116" s="14" t="s">
        <v>1485</v>
      </c>
      <c r="AU116" s="14">
        <v>2001.0</v>
      </c>
      <c r="AV116" s="14">
        <v>51.0</v>
      </c>
      <c r="AW116" s="14">
        <v>3.0</v>
      </c>
      <c r="AX116" s="14" t="s">
        <v>99</v>
      </c>
      <c r="AY116" s="14" t="s">
        <v>99</v>
      </c>
      <c r="AZ116" s="14" t="s">
        <v>99</v>
      </c>
      <c r="BA116" s="14" t="s">
        <v>99</v>
      </c>
      <c r="BB116" s="14">
        <v>180.0</v>
      </c>
      <c r="BC116" s="14">
        <v>198.0</v>
      </c>
      <c r="BD116" s="14" t="s">
        <v>99</v>
      </c>
      <c r="BE116" s="14" t="s">
        <v>9880</v>
      </c>
      <c r="BF116" s="15" t="str">
        <f>HYPERLINK("http://dx.doi.org/10.1641/0006-3568(2001)051[0180:ADITNU]2.0.CO;2","http://dx.doi.org/10.1641/0006-3568(2001)051[0180:ADITNU]2.0.CO;2")</f>
        <v>http://dx.doi.org/10.1641/0006-3568(2001)051[0180:ADITNU]2.0.CO;2</v>
      </c>
      <c r="BG116" s="14" t="s">
        <v>99</v>
      </c>
      <c r="BH116" s="14" t="s">
        <v>99</v>
      </c>
      <c r="BI116" s="14">
        <v>19.0</v>
      </c>
      <c r="BJ116" s="14" t="s">
        <v>1803</v>
      </c>
      <c r="BK116" s="14" t="s">
        <v>122</v>
      </c>
      <c r="BL116" s="14" t="s">
        <v>1804</v>
      </c>
      <c r="BM116" s="14" t="s">
        <v>9881</v>
      </c>
      <c r="BN116" s="14" t="s">
        <v>99</v>
      </c>
      <c r="BO116" s="14" t="s">
        <v>238</v>
      </c>
      <c r="BP116" s="14" t="s">
        <v>99</v>
      </c>
      <c r="BQ116" s="14" t="s">
        <v>99</v>
      </c>
      <c r="BR116" s="14" t="s">
        <v>124</v>
      </c>
      <c r="BS116" s="14" t="s">
        <v>9882</v>
      </c>
      <c r="BT116" s="14" t="str">
        <f>HYPERLINK("https%3A%2F%2Fwww.webofscience.com%2Fwos%2Fwoscc%2Ffull-record%2FWOS:000168710400004","View Full Record in Web of Science")</f>
        <v>View Full Record in Web of Science</v>
      </c>
    </row>
    <row r="117" ht="12.75" customHeight="1">
      <c r="A117" s="14" t="s">
        <v>97</v>
      </c>
      <c r="B117" s="14" t="s">
        <v>9947</v>
      </c>
      <c r="C117" s="14" t="s">
        <v>99</v>
      </c>
      <c r="D117" s="14" t="s">
        <v>99</v>
      </c>
      <c r="E117" s="14" t="s">
        <v>99</v>
      </c>
      <c r="F117" s="14" t="s">
        <v>9947</v>
      </c>
      <c r="G117" s="14" t="s">
        <v>99</v>
      </c>
      <c r="H117" s="14" t="s">
        <v>99</v>
      </c>
      <c r="I117" s="14" t="s">
        <v>9948</v>
      </c>
      <c r="J117" s="14" t="s">
        <v>9949</v>
      </c>
      <c r="K117" s="14" t="s">
        <v>99</v>
      </c>
      <c r="L117" s="14" t="s">
        <v>99</v>
      </c>
      <c r="M117" s="14" t="s">
        <v>103</v>
      </c>
      <c r="N117" s="14" t="s">
        <v>104</v>
      </c>
      <c r="O117" s="14" t="s">
        <v>99</v>
      </c>
      <c r="P117" s="14" t="s">
        <v>99</v>
      </c>
      <c r="Q117" s="14" t="s">
        <v>99</v>
      </c>
      <c r="R117" s="14" t="s">
        <v>99</v>
      </c>
      <c r="S117" s="14" t="s">
        <v>99</v>
      </c>
      <c r="T117" s="14" t="s">
        <v>9950</v>
      </c>
      <c r="U117" s="14" t="s">
        <v>9951</v>
      </c>
      <c r="V117" s="14" t="s">
        <v>9952</v>
      </c>
      <c r="W117" s="14" t="s">
        <v>9953</v>
      </c>
      <c r="X117" s="14" t="s">
        <v>9954</v>
      </c>
      <c r="Y117" s="14" t="s">
        <v>9955</v>
      </c>
      <c r="Z117" s="14" t="s">
        <v>99</v>
      </c>
      <c r="AA117" s="14" t="s">
        <v>9956</v>
      </c>
      <c r="AB117" s="14" t="s">
        <v>9957</v>
      </c>
      <c r="AC117" s="14" t="s">
        <v>99</v>
      </c>
      <c r="AD117" s="14" t="s">
        <v>99</v>
      </c>
      <c r="AE117" s="14" t="s">
        <v>99</v>
      </c>
      <c r="AF117" s="14" t="s">
        <v>99</v>
      </c>
      <c r="AG117" s="14">
        <v>100.0</v>
      </c>
      <c r="AH117" s="14">
        <v>338.0</v>
      </c>
      <c r="AI117" s="14">
        <v>414.0</v>
      </c>
      <c r="AJ117" s="14">
        <v>3.0</v>
      </c>
      <c r="AK117" s="14">
        <v>195.0</v>
      </c>
      <c r="AL117" s="14" t="s">
        <v>493</v>
      </c>
      <c r="AM117" s="14" t="s">
        <v>468</v>
      </c>
      <c r="AN117" s="14" t="s">
        <v>635</v>
      </c>
      <c r="AO117" s="14" t="s">
        <v>9958</v>
      </c>
      <c r="AP117" s="14" t="s">
        <v>99</v>
      </c>
      <c r="AQ117" s="14" t="s">
        <v>99</v>
      </c>
      <c r="AR117" s="14" t="s">
        <v>9959</v>
      </c>
      <c r="AS117" s="14" t="s">
        <v>9960</v>
      </c>
      <c r="AT117" s="14" t="s">
        <v>474</v>
      </c>
      <c r="AU117" s="14">
        <v>2000.0</v>
      </c>
      <c r="AV117" s="14">
        <v>65.0</v>
      </c>
      <c r="AW117" s="14">
        <v>2.0</v>
      </c>
      <c r="AX117" s="14" t="s">
        <v>99</v>
      </c>
      <c r="AY117" s="14" t="s">
        <v>99</v>
      </c>
      <c r="AZ117" s="14" t="s">
        <v>99</v>
      </c>
      <c r="BA117" s="14" t="s">
        <v>99</v>
      </c>
      <c r="BB117" s="14">
        <v>113.0</v>
      </c>
      <c r="BC117" s="14">
        <v>136.0</v>
      </c>
      <c r="BD117" s="14" t="s">
        <v>99</v>
      </c>
      <c r="BE117" s="14" t="s">
        <v>9961</v>
      </c>
      <c r="BF117" s="15" t="str">
        <f>HYPERLINK("http://dx.doi.org/10.1016/S0308-521X(00)00031-7","http://dx.doi.org/10.1016/S0308-521X(00)00031-7")</f>
        <v>http://dx.doi.org/10.1016/S0308-521X(00)00031-7</v>
      </c>
      <c r="BG117" s="14" t="s">
        <v>99</v>
      </c>
      <c r="BH117" s="14" t="s">
        <v>99</v>
      </c>
      <c r="BI117" s="14">
        <v>24.0</v>
      </c>
      <c r="BJ117" s="14" t="s">
        <v>5344</v>
      </c>
      <c r="BK117" s="14" t="s">
        <v>122</v>
      </c>
      <c r="BL117" s="14" t="s">
        <v>2969</v>
      </c>
      <c r="BM117" s="14" t="s">
        <v>9962</v>
      </c>
      <c r="BN117" s="14" t="s">
        <v>99</v>
      </c>
      <c r="BO117" s="14" t="s">
        <v>99</v>
      </c>
      <c r="BP117" s="14" t="s">
        <v>99</v>
      </c>
      <c r="BQ117" s="14" t="s">
        <v>99</v>
      </c>
      <c r="BR117" s="14" t="s">
        <v>124</v>
      </c>
      <c r="BS117" s="14" t="s">
        <v>9963</v>
      </c>
      <c r="BT117" s="14" t="str">
        <f>HYPERLINK("https%3A%2F%2Fwww.webofscience.com%2Fwos%2Fwoscc%2Ffull-record%2FWOS:000089669800003","View Full Record in Web of Science")</f>
        <v>View Full Record in Web of Science</v>
      </c>
    </row>
    <row r="118" ht="12.75" customHeight="1">
      <c r="A118" s="14" t="s">
        <v>97</v>
      </c>
      <c r="B118" s="14" t="s">
        <v>9978</v>
      </c>
      <c r="C118" s="14" t="s">
        <v>99</v>
      </c>
      <c r="D118" s="14" t="s">
        <v>99</v>
      </c>
      <c r="E118" s="14" t="s">
        <v>99</v>
      </c>
      <c r="F118" s="14" t="s">
        <v>9978</v>
      </c>
      <c r="G118" s="14" t="s">
        <v>99</v>
      </c>
      <c r="H118" s="14" t="s">
        <v>99</v>
      </c>
      <c r="I118" s="14" t="s">
        <v>9979</v>
      </c>
      <c r="J118" s="14" t="s">
        <v>900</v>
      </c>
      <c r="K118" s="14" t="s">
        <v>99</v>
      </c>
      <c r="L118" s="14" t="s">
        <v>99</v>
      </c>
      <c r="M118" s="14" t="s">
        <v>103</v>
      </c>
      <c r="N118" s="14" t="s">
        <v>104</v>
      </c>
      <c r="O118" s="14" t="s">
        <v>99</v>
      </c>
      <c r="P118" s="14" t="s">
        <v>99</v>
      </c>
      <c r="Q118" s="14" t="s">
        <v>99</v>
      </c>
      <c r="R118" s="14" t="s">
        <v>99</v>
      </c>
      <c r="S118" s="14" t="s">
        <v>99</v>
      </c>
      <c r="T118" s="14" t="s">
        <v>99</v>
      </c>
      <c r="U118" s="14" t="s">
        <v>9980</v>
      </c>
      <c r="V118" s="14" t="s">
        <v>9981</v>
      </c>
      <c r="W118" s="14" t="s">
        <v>9982</v>
      </c>
      <c r="X118" s="14" t="s">
        <v>9983</v>
      </c>
      <c r="Y118" s="14" t="s">
        <v>9984</v>
      </c>
      <c r="Z118" s="14" t="s">
        <v>9985</v>
      </c>
      <c r="AA118" s="14" t="s">
        <v>9986</v>
      </c>
      <c r="AB118" s="14" t="s">
        <v>9987</v>
      </c>
      <c r="AC118" s="14" t="s">
        <v>99</v>
      </c>
      <c r="AD118" s="14" t="s">
        <v>99</v>
      </c>
      <c r="AE118" s="14" t="s">
        <v>99</v>
      </c>
      <c r="AF118" s="14" t="s">
        <v>99</v>
      </c>
      <c r="AG118" s="14">
        <v>30.0</v>
      </c>
      <c r="AH118" s="14">
        <v>702.0</v>
      </c>
      <c r="AI118" s="14">
        <v>780.0</v>
      </c>
      <c r="AJ118" s="14">
        <v>2.0</v>
      </c>
      <c r="AK118" s="14">
        <v>259.0</v>
      </c>
      <c r="AL118" s="14" t="s">
        <v>1326</v>
      </c>
      <c r="AM118" s="14" t="s">
        <v>274</v>
      </c>
      <c r="AN118" s="14" t="s">
        <v>1327</v>
      </c>
      <c r="AO118" s="14" t="s">
        <v>912</v>
      </c>
      <c r="AP118" s="14" t="s">
        <v>99</v>
      </c>
      <c r="AQ118" s="14" t="s">
        <v>99</v>
      </c>
      <c r="AR118" s="14" t="s">
        <v>900</v>
      </c>
      <c r="AS118" s="14" t="s">
        <v>914</v>
      </c>
      <c r="AT118" s="14" t="s">
        <v>9988</v>
      </c>
      <c r="AU118" s="14">
        <v>1999.0</v>
      </c>
      <c r="AV118" s="14">
        <v>401.0</v>
      </c>
      <c r="AW118" s="14">
        <v>6753.0</v>
      </c>
      <c r="AX118" s="14" t="s">
        <v>99</v>
      </c>
      <c r="AY118" s="14" t="s">
        <v>99</v>
      </c>
      <c r="AZ118" s="14" t="s">
        <v>99</v>
      </c>
      <c r="BA118" s="14" t="s">
        <v>99</v>
      </c>
      <c r="BB118" s="14">
        <v>575.0</v>
      </c>
      <c r="BC118" s="14">
        <v>578.0</v>
      </c>
      <c r="BD118" s="14" t="s">
        <v>99</v>
      </c>
      <c r="BE118" s="14" t="s">
        <v>9989</v>
      </c>
      <c r="BF118" s="15" t="str">
        <f>HYPERLINK("http://dx.doi.org/10.1038/44114","http://dx.doi.org/10.1038/44114")</f>
        <v>http://dx.doi.org/10.1038/44114</v>
      </c>
      <c r="BG118" s="14" t="s">
        <v>99</v>
      </c>
      <c r="BH118" s="14" t="s">
        <v>99</v>
      </c>
      <c r="BI118" s="14">
        <v>4.0</v>
      </c>
      <c r="BJ118" s="14" t="s">
        <v>799</v>
      </c>
      <c r="BK118" s="14" t="s">
        <v>122</v>
      </c>
      <c r="BL118" s="14" t="s">
        <v>801</v>
      </c>
      <c r="BM118" s="14" t="s">
        <v>9990</v>
      </c>
      <c r="BN118" s="14" t="s">
        <v>99</v>
      </c>
      <c r="BO118" s="14" t="s">
        <v>99</v>
      </c>
      <c r="BP118" s="14" t="s">
        <v>99</v>
      </c>
      <c r="BQ118" s="14" t="s">
        <v>99</v>
      </c>
      <c r="BR118" s="14" t="s">
        <v>124</v>
      </c>
      <c r="BS118" s="14" t="s">
        <v>9991</v>
      </c>
      <c r="BT118" s="14" t="str">
        <f>HYPERLINK("https%3A%2F%2Fwww.webofscience.com%2Fwos%2Fwoscc%2Ffull-record%2FWOS:000083054900046","View Full Record in Web of Science")</f>
        <v>View Full Record in Web of Science</v>
      </c>
    </row>
    <row r="119" ht="12.75" customHeight="1">
      <c r="A119" s="14" t="s">
        <v>97</v>
      </c>
      <c r="B119" s="14" t="s">
        <v>10030</v>
      </c>
      <c r="C119" s="14" t="s">
        <v>99</v>
      </c>
      <c r="D119" s="14" t="s">
        <v>99</v>
      </c>
      <c r="E119" s="14" t="s">
        <v>99</v>
      </c>
      <c r="F119" s="14" t="s">
        <v>10030</v>
      </c>
      <c r="G119" s="14" t="s">
        <v>99</v>
      </c>
      <c r="H119" s="14" t="s">
        <v>99</v>
      </c>
      <c r="I119" s="14" t="s">
        <v>10031</v>
      </c>
      <c r="J119" s="14" t="s">
        <v>851</v>
      </c>
      <c r="K119" s="14" t="s">
        <v>99</v>
      </c>
      <c r="L119" s="14" t="s">
        <v>99</v>
      </c>
      <c r="M119" s="14" t="s">
        <v>103</v>
      </c>
      <c r="N119" s="14" t="s">
        <v>2284</v>
      </c>
      <c r="O119" s="14" t="s">
        <v>10032</v>
      </c>
      <c r="P119" s="14" t="s">
        <v>10033</v>
      </c>
      <c r="Q119" s="14" t="s">
        <v>10034</v>
      </c>
      <c r="R119" s="14" t="s">
        <v>10035</v>
      </c>
      <c r="S119" s="14" t="s">
        <v>10036</v>
      </c>
      <c r="T119" s="14" t="s">
        <v>10037</v>
      </c>
      <c r="U119" s="14" t="s">
        <v>10038</v>
      </c>
      <c r="V119" s="14" t="s">
        <v>10039</v>
      </c>
      <c r="W119" s="14" t="s">
        <v>10040</v>
      </c>
      <c r="X119" s="14" t="s">
        <v>10041</v>
      </c>
      <c r="Y119" s="14" t="s">
        <v>10042</v>
      </c>
      <c r="Z119" s="14" t="s">
        <v>10043</v>
      </c>
      <c r="AA119" s="14" t="s">
        <v>99</v>
      </c>
      <c r="AB119" s="14" t="s">
        <v>9766</v>
      </c>
      <c r="AC119" s="14" t="s">
        <v>99</v>
      </c>
      <c r="AD119" s="14" t="s">
        <v>99</v>
      </c>
      <c r="AE119" s="14" t="s">
        <v>99</v>
      </c>
      <c r="AF119" s="14" t="s">
        <v>99</v>
      </c>
      <c r="AG119" s="14">
        <v>45.0</v>
      </c>
      <c r="AH119" s="14">
        <v>153.0</v>
      </c>
      <c r="AI119" s="14">
        <v>191.0</v>
      </c>
      <c r="AJ119" s="14">
        <v>1.0</v>
      </c>
      <c r="AK119" s="14">
        <v>68.0</v>
      </c>
      <c r="AL119" s="14" t="s">
        <v>341</v>
      </c>
      <c r="AM119" s="14" t="s">
        <v>342</v>
      </c>
      <c r="AN119" s="14" t="s">
        <v>343</v>
      </c>
      <c r="AO119" s="14" t="s">
        <v>864</v>
      </c>
      <c r="AP119" s="14" t="s">
        <v>865</v>
      </c>
      <c r="AQ119" s="14" t="s">
        <v>99</v>
      </c>
      <c r="AR119" s="14" t="s">
        <v>866</v>
      </c>
      <c r="AS119" s="14" t="s">
        <v>867</v>
      </c>
      <c r="AT119" s="14" t="s">
        <v>10044</v>
      </c>
      <c r="AU119" s="14">
        <v>1999.0</v>
      </c>
      <c r="AV119" s="14">
        <v>8.0</v>
      </c>
      <c r="AW119" s="14" t="s">
        <v>5620</v>
      </c>
      <c r="AX119" s="14" t="s">
        <v>99</v>
      </c>
      <c r="AY119" s="14" t="s">
        <v>99</v>
      </c>
      <c r="AZ119" s="14" t="s">
        <v>99</v>
      </c>
      <c r="BA119" s="14" t="s">
        <v>99</v>
      </c>
      <c r="BB119" s="14">
        <v>191.0</v>
      </c>
      <c r="BC119" s="14">
        <v>198.0</v>
      </c>
      <c r="BD119" s="14" t="s">
        <v>99</v>
      </c>
      <c r="BE119" s="14" t="s">
        <v>10045</v>
      </c>
      <c r="BF119" s="15" t="str">
        <f>HYPERLINK("http://dx.doi.org/10.1046/j.1365-2699.1999.00123.x","http://dx.doi.org/10.1046/j.1365-2699.1999.00123.x")</f>
        <v>http://dx.doi.org/10.1046/j.1365-2699.1999.00123.x</v>
      </c>
      <c r="BG119" s="14" t="s">
        <v>99</v>
      </c>
      <c r="BH119" s="14" t="s">
        <v>99</v>
      </c>
      <c r="BI119" s="14">
        <v>8.0</v>
      </c>
      <c r="BJ119" s="14" t="s">
        <v>869</v>
      </c>
      <c r="BK119" s="14" t="s">
        <v>2311</v>
      </c>
      <c r="BL119" s="14" t="s">
        <v>870</v>
      </c>
      <c r="BM119" s="14" t="s">
        <v>10046</v>
      </c>
      <c r="BN119" s="14" t="s">
        <v>99</v>
      </c>
      <c r="BO119" s="14" t="s">
        <v>99</v>
      </c>
      <c r="BP119" s="14" t="s">
        <v>99</v>
      </c>
      <c r="BQ119" s="14" t="s">
        <v>99</v>
      </c>
      <c r="BR119" s="14" t="s">
        <v>124</v>
      </c>
      <c r="BS119" s="14" t="s">
        <v>10047</v>
      </c>
      <c r="BT119" s="14" t="str">
        <f>HYPERLINK("https%3A%2F%2Fwww.webofscience.com%2Fwos%2Fwoscc%2Ffull-record%2FWOS:000084868000003","View Full Record in Web of Science")</f>
        <v>View Full Record in Web of Science</v>
      </c>
    </row>
    <row r="120" ht="12.75" customHeight="1">
      <c r="A120" s="14" t="s">
        <v>97</v>
      </c>
      <c r="B120" s="14" t="s">
        <v>10501</v>
      </c>
      <c r="C120" s="14" t="s">
        <v>99</v>
      </c>
      <c r="D120" s="14" t="s">
        <v>99</v>
      </c>
      <c r="E120" s="14" t="s">
        <v>99</v>
      </c>
      <c r="F120" s="14" t="s">
        <v>10501</v>
      </c>
      <c r="G120" s="14" t="s">
        <v>99</v>
      </c>
      <c r="H120" s="14" t="s">
        <v>99</v>
      </c>
      <c r="I120" s="14" t="s">
        <v>10502</v>
      </c>
      <c r="J120" s="14" t="s">
        <v>10503</v>
      </c>
      <c r="K120" s="14" t="s">
        <v>99</v>
      </c>
      <c r="L120" s="14" t="s">
        <v>99</v>
      </c>
      <c r="M120" s="14" t="s">
        <v>103</v>
      </c>
      <c r="N120" s="14" t="s">
        <v>104</v>
      </c>
      <c r="O120" s="14" t="s">
        <v>99</v>
      </c>
      <c r="P120" s="14" t="s">
        <v>99</v>
      </c>
      <c r="Q120" s="14" t="s">
        <v>99</v>
      </c>
      <c r="R120" s="14" t="s">
        <v>99</v>
      </c>
      <c r="S120" s="14" t="s">
        <v>99</v>
      </c>
      <c r="T120" s="14" t="s">
        <v>99</v>
      </c>
      <c r="U120" s="14" t="s">
        <v>99</v>
      </c>
      <c r="V120" s="14" t="s">
        <v>10504</v>
      </c>
      <c r="W120" s="14" t="s">
        <v>10505</v>
      </c>
      <c r="X120" s="14" t="s">
        <v>10506</v>
      </c>
      <c r="Y120" s="14" t="s">
        <v>10507</v>
      </c>
      <c r="Z120" s="14" t="s">
        <v>99</v>
      </c>
      <c r="AA120" s="14" t="s">
        <v>10508</v>
      </c>
      <c r="AB120" s="14" t="s">
        <v>10509</v>
      </c>
      <c r="AC120" s="14" t="s">
        <v>99</v>
      </c>
      <c r="AD120" s="14" t="s">
        <v>99</v>
      </c>
      <c r="AE120" s="14" t="s">
        <v>99</v>
      </c>
      <c r="AF120" s="14" t="s">
        <v>99</v>
      </c>
      <c r="AG120" s="14">
        <v>31.0</v>
      </c>
      <c r="AH120" s="14">
        <v>53.0</v>
      </c>
      <c r="AI120" s="14">
        <v>56.0</v>
      </c>
      <c r="AJ120" s="14">
        <v>0.0</v>
      </c>
      <c r="AK120" s="14">
        <v>8.0</v>
      </c>
      <c r="AL120" s="14" t="s">
        <v>341</v>
      </c>
      <c r="AM120" s="14" t="s">
        <v>342</v>
      </c>
      <c r="AN120" s="14" t="s">
        <v>343</v>
      </c>
      <c r="AO120" s="14" t="s">
        <v>10510</v>
      </c>
      <c r="AP120" s="14" t="s">
        <v>10511</v>
      </c>
      <c r="AQ120" s="14" t="s">
        <v>99</v>
      </c>
      <c r="AR120" s="14" t="s">
        <v>10512</v>
      </c>
      <c r="AS120" s="14" t="s">
        <v>10513</v>
      </c>
      <c r="AT120" s="14" t="s">
        <v>145</v>
      </c>
      <c r="AU120" s="14">
        <v>1987.0</v>
      </c>
      <c r="AV120" s="14">
        <v>16.0</v>
      </c>
      <c r="AW120" s="14">
        <v>4.0</v>
      </c>
      <c r="AX120" s="14" t="s">
        <v>99</v>
      </c>
      <c r="AY120" s="14" t="s">
        <v>99</v>
      </c>
      <c r="AZ120" s="14" t="s">
        <v>99</v>
      </c>
      <c r="BA120" s="14" t="s">
        <v>99</v>
      </c>
      <c r="BB120" s="14">
        <v>383.0</v>
      </c>
      <c r="BC120" s="14">
        <v>390.0</v>
      </c>
      <c r="BD120" s="14" t="s">
        <v>99</v>
      </c>
      <c r="BE120" s="14" t="s">
        <v>10514</v>
      </c>
      <c r="BF120" s="15" t="str">
        <f>HYPERLINK("http://dx.doi.org/10.2134/jeq1987.00472425001600040016x","http://dx.doi.org/10.2134/jeq1987.00472425001600040016x")</f>
        <v>http://dx.doi.org/10.2134/jeq1987.00472425001600040016x</v>
      </c>
      <c r="BG120" s="14" t="s">
        <v>99</v>
      </c>
      <c r="BH120" s="14" t="s">
        <v>99</v>
      </c>
      <c r="BI120" s="14">
        <v>8.0</v>
      </c>
      <c r="BJ120" s="14" t="s">
        <v>1041</v>
      </c>
      <c r="BK120" s="14" t="s">
        <v>122</v>
      </c>
      <c r="BL120" s="14" t="s">
        <v>260</v>
      </c>
      <c r="BM120" s="14" t="s">
        <v>10515</v>
      </c>
      <c r="BN120" s="14" t="s">
        <v>99</v>
      </c>
      <c r="BO120" s="14" t="s">
        <v>99</v>
      </c>
      <c r="BP120" s="14" t="s">
        <v>99</v>
      </c>
      <c r="BQ120" s="14" t="s">
        <v>99</v>
      </c>
      <c r="BR120" s="14" t="s">
        <v>124</v>
      </c>
      <c r="BS120" s="14" t="s">
        <v>10516</v>
      </c>
      <c r="BT120" s="14" t="str">
        <f>HYPERLINK("https%3A%2F%2Fwww.webofscience.com%2Fwos%2Fwoscc%2Ffull-record%2FWOS:A1987K900200016","View Full Record in Web of Science")</f>
        <v>View Full Record in Web of Science</v>
      </c>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126</v>
      </c>
      <c r="C2" s="14" t="s">
        <v>99</v>
      </c>
      <c r="D2" s="14" t="s">
        <v>99</v>
      </c>
      <c r="E2" s="14" t="s">
        <v>99</v>
      </c>
      <c r="F2" s="14" t="s">
        <v>127</v>
      </c>
      <c r="G2" s="14" t="s">
        <v>99</v>
      </c>
      <c r="H2" s="14" t="s">
        <v>99</v>
      </c>
      <c r="I2" s="14" t="s">
        <v>128</v>
      </c>
      <c r="J2" s="14" t="s">
        <v>129</v>
      </c>
      <c r="K2" s="14" t="s">
        <v>99</v>
      </c>
      <c r="L2" s="14" t="s">
        <v>99</v>
      </c>
      <c r="M2" s="14" t="s">
        <v>103</v>
      </c>
      <c r="N2" s="14" t="s">
        <v>104</v>
      </c>
      <c r="O2" s="14" t="s">
        <v>99</v>
      </c>
      <c r="P2" s="14" t="s">
        <v>99</v>
      </c>
      <c r="Q2" s="14" t="s">
        <v>99</v>
      </c>
      <c r="R2" s="14" t="s">
        <v>99</v>
      </c>
      <c r="S2" s="14" t="s">
        <v>99</v>
      </c>
      <c r="T2" s="14" t="s">
        <v>130</v>
      </c>
      <c r="U2" s="14" t="s">
        <v>99</v>
      </c>
      <c r="V2" s="14" t="s">
        <v>131</v>
      </c>
      <c r="W2" s="14" t="s">
        <v>132</v>
      </c>
      <c r="X2" s="14" t="s">
        <v>133</v>
      </c>
      <c r="Y2" s="14" t="s">
        <v>134</v>
      </c>
      <c r="Z2" s="14" t="s">
        <v>135</v>
      </c>
      <c r="AA2" s="14" t="s">
        <v>136</v>
      </c>
      <c r="AB2" s="14" t="s">
        <v>137</v>
      </c>
      <c r="AC2" s="14" t="s">
        <v>99</v>
      </c>
      <c r="AD2" s="14" t="s">
        <v>99</v>
      </c>
      <c r="AE2" s="14" t="s">
        <v>99</v>
      </c>
      <c r="AF2" s="14" t="s">
        <v>99</v>
      </c>
      <c r="AG2" s="14">
        <v>15.0</v>
      </c>
      <c r="AH2" s="14">
        <v>3.0</v>
      </c>
      <c r="AI2" s="14">
        <v>3.0</v>
      </c>
      <c r="AJ2" s="14">
        <v>0.0</v>
      </c>
      <c r="AK2" s="14">
        <v>10.0</v>
      </c>
      <c r="AL2" s="14" t="s">
        <v>138</v>
      </c>
      <c r="AM2" s="14" t="s">
        <v>139</v>
      </c>
      <c r="AN2" s="14" t="s">
        <v>140</v>
      </c>
      <c r="AO2" s="14" t="s">
        <v>141</v>
      </c>
      <c r="AP2" s="14" t="s">
        <v>142</v>
      </c>
      <c r="AQ2" s="14" t="s">
        <v>99</v>
      </c>
      <c r="AR2" s="14" t="s">
        <v>143</v>
      </c>
      <c r="AS2" s="14" t="s">
        <v>144</v>
      </c>
      <c r="AT2" s="14" t="s">
        <v>145</v>
      </c>
      <c r="AU2" s="14">
        <v>2015.0</v>
      </c>
      <c r="AV2" s="14">
        <v>6.0</v>
      </c>
      <c r="AW2" s="14">
        <v>4.0</v>
      </c>
      <c r="AX2" s="14" t="s">
        <v>99</v>
      </c>
      <c r="AY2" s="14" t="s">
        <v>99</v>
      </c>
      <c r="AZ2" s="14" t="s">
        <v>99</v>
      </c>
      <c r="BA2" s="14" t="s">
        <v>99</v>
      </c>
      <c r="BB2" s="14">
        <v>697.0</v>
      </c>
      <c r="BC2" s="14">
        <v>706.0</v>
      </c>
      <c r="BD2" s="14" t="s">
        <v>99</v>
      </c>
      <c r="BE2" s="14" t="s">
        <v>99</v>
      </c>
      <c r="BF2" s="14" t="s">
        <v>99</v>
      </c>
      <c r="BG2" s="14" t="s">
        <v>99</v>
      </c>
      <c r="BH2" s="14" t="s">
        <v>99</v>
      </c>
      <c r="BI2" s="14">
        <v>10.0</v>
      </c>
      <c r="BJ2" s="14" t="s">
        <v>146</v>
      </c>
      <c r="BK2" s="14" t="s">
        <v>147</v>
      </c>
      <c r="BL2" s="14" t="s">
        <v>146</v>
      </c>
      <c r="BM2" s="14" t="s">
        <v>148</v>
      </c>
      <c r="BN2" s="14" t="s">
        <v>99</v>
      </c>
      <c r="BO2" s="14" t="s">
        <v>99</v>
      </c>
      <c r="BP2" s="14" t="s">
        <v>99</v>
      </c>
      <c r="BQ2" s="14" t="s">
        <v>99</v>
      </c>
      <c r="BR2" s="14" t="s">
        <v>124</v>
      </c>
      <c r="BS2" s="14" t="s">
        <v>149</v>
      </c>
      <c r="BT2" s="14" t="str">
        <f>HYPERLINK("https%3A%2F%2Fwww.webofscience.com%2Fwos%2Fwoscc%2Ffull-record%2FWOS:000366349700011","View Full Record in Web of Science")</f>
        <v>View Full Record in Web of Science</v>
      </c>
    </row>
    <row r="3" ht="12.75" customHeight="1">
      <c r="A3" s="14" t="s">
        <v>284</v>
      </c>
      <c r="B3" s="14" t="s">
        <v>285</v>
      </c>
      <c r="C3" s="14" t="s">
        <v>99</v>
      </c>
      <c r="D3" s="14" t="s">
        <v>286</v>
      </c>
      <c r="E3" s="14" t="s">
        <v>99</v>
      </c>
      <c r="F3" s="14" t="s">
        <v>287</v>
      </c>
      <c r="G3" s="14" t="s">
        <v>99</v>
      </c>
      <c r="H3" s="14" t="s">
        <v>99</v>
      </c>
      <c r="I3" s="14" t="s">
        <v>288</v>
      </c>
      <c r="J3" s="14" t="s">
        <v>289</v>
      </c>
      <c r="K3" s="14" t="s">
        <v>290</v>
      </c>
      <c r="L3" s="14" t="s">
        <v>99</v>
      </c>
      <c r="M3" s="14" t="s">
        <v>103</v>
      </c>
      <c r="N3" s="14" t="s">
        <v>291</v>
      </c>
      <c r="O3" s="14" t="s">
        <v>99</v>
      </c>
      <c r="P3" s="14" t="s">
        <v>99</v>
      </c>
      <c r="Q3" s="14" t="s">
        <v>99</v>
      </c>
      <c r="R3" s="14" t="s">
        <v>99</v>
      </c>
      <c r="S3" s="14" t="s">
        <v>99</v>
      </c>
      <c r="T3" s="14" t="s">
        <v>99</v>
      </c>
      <c r="U3" s="14" t="s">
        <v>292</v>
      </c>
      <c r="V3" s="14" t="s">
        <v>99</v>
      </c>
      <c r="W3" s="14" t="s">
        <v>293</v>
      </c>
      <c r="X3" s="14" t="s">
        <v>294</v>
      </c>
      <c r="Y3" s="14" t="s">
        <v>295</v>
      </c>
      <c r="Z3" s="14" t="s">
        <v>99</v>
      </c>
      <c r="AA3" s="14" t="s">
        <v>99</v>
      </c>
      <c r="AB3" s="14" t="s">
        <v>99</v>
      </c>
      <c r="AC3" s="14" t="s">
        <v>99</v>
      </c>
      <c r="AD3" s="14" t="s">
        <v>99</v>
      </c>
      <c r="AE3" s="14" t="s">
        <v>99</v>
      </c>
      <c r="AF3" s="14" t="s">
        <v>99</v>
      </c>
      <c r="AG3" s="14">
        <v>192.0</v>
      </c>
      <c r="AH3" s="14">
        <v>2.0</v>
      </c>
      <c r="AI3" s="14">
        <v>2.0</v>
      </c>
      <c r="AJ3" s="14">
        <v>1.0</v>
      </c>
      <c r="AK3" s="14">
        <v>5.0</v>
      </c>
      <c r="AL3" s="14" t="s">
        <v>296</v>
      </c>
      <c r="AM3" s="14" t="s">
        <v>274</v>
      </c>
      <c r="AN3" s="14" t="s">
        <v>297</v>
      </c>
      <c r="AO3" s="14" t="s">
        <v>99</v>
      </c>
      <c r="AP3" s="14" t="s">
        <v>99</v>
      </c>
      <c r="AQ3" s="14" t="s">
        <v>298</v>
      </c>
      <c r="AR3" s="14" t="s">
        <v>299</v>
      </c>
      <c r="AS3" s="14" t="s">
        <v>99</v>
      </c>
      <c r="AT3" s="14" t="s">
        <v>99</v>
      </c>
      <c r="AU3" s="14">
        <v>2014.0</v>
      </c>
      <c r="AV3" s="14" t="s">
        <v>99</v>
      </c>
      <c r="AW3" s="14" t="s">
        <v>99</v>
      </c>
      <c r="AX3" s="14" t="s">
        <v>99</v>
      </c>
      <c r="AY3" s="14" t="s">
        <v>99</v>
      </c>
      <c r="AZ3" s="14" t="s">
        <v>99</v>
      </c>
      <c r="BA3" s="14" t="s">
        <v>99</v>
      </c>
      <c r="BB3" s="14">
        <v>113.0</v>
      </c>
      <c r="BC3" s="14">
        <v>212.0</v>
      </c>
      <c r="BD3" s="14" t="s">
        <v>99</v>
      </c>
      <c r="BE3" s="14" t="s">
        <v>99</v>
      </c>
      <c r="BF3" s="14" t="s">
        <v>99</v>
      </c>
      <c r="BG3" s="14" t="s">
        <v>300</v>
      </c>
      <c r="BH3" s="14" t="s">
        <v>99</v>
      </c>
      <c r="BI3" s="14">
        <v>100.0</v>
      </c>
      <c r="BJ3" s="14" t="s">
        <v>301</v>
      </c>
      <c r="BK3" s="14" t="s">
        <v>302</v>
      </c>
      <c r="BL3" s="14" t="s">
        <v>303</v>
      </c>
      <c r="BM3" s="14" t="s">
        <v>304</v>
      </c>
      <c r="BN3" s="14" t="s">
        <v>99</v>
      </c>
      <c r="BO3" s="14" t="s">
        <v>99</v>
      </c>
      <c r="BP3" s="14" t="s">
        <v>99</v>
      </c>
      <c r="BQ3" s="14" t="s">
        <v>99</v>
      </c>
      <c r="BR3" s="14" t="s">
        <v>124</v>
      </c>
      <c r="BS3" s="14" t="s">
        <v>305</v>
      </c>
      <c r="BT3" s="14" t="str">
        <f>HYPERLINK("https%3A%2F%2Fwww.webofscience.com%2Fwos%2Fwoscc%2Ffull-record%2FWOS:000364520200005","View Full Record in Web of Science")</f>
        <v>View Full Record in Web of Science</v>
      </c>
    </row>
    <row r="4" ht="12.75" customHeight="1">
      <c r="A4" s="14" t="s">
        <v>97</v>
      </c>
      <c r="B4" s="14" t="s">
        <v>401</v>
      </c>
      <c r="C4" s="14" t="s">
        <v>99</v>
      </c>
      <c r="D4" s="14" t="s">
        <v>99</v>
      </c>
      <c r="E4" s="14" t="s">
        <v>99</v>
      </c>
      <c r="F4" s="14" t="s">
        <v>402</v>
      </c>
      <c r="G4" s="14" t="s">
        <v>99</v>
      </c>
      <c r="H4" s="14" t="s">
        <v>99</v>
      </c>
      <c r="I4" s="14" t="s">
        <v>403</v>
      </c>
      <c r="J4" s="14" t="s">
        <v>404</v>
      </c>
      <c r="K4" s="14" t="s">
        <v>99</v>
      </c>
      <c r="L4" s="14" t="s">
        <v>99</v>
      </c>
      <c r="M4" s="14" t="s">
        <v>103</v>
      </c>
      <c r="N4" s="14" t="s">
        <v>104</v>
      </c>
      <c r="O4" s="14" t="s">
        <v>99</v>
      </c>
      <c r="P4" s="14" t="s">
        <v>99</v>
      </c>
      <c r="Q4" s="14" t="s">
        <v>99</v>
      </c>
      <c r="R4" s="14" t="s">
        <v>99</v>
      </c>
      <c r="S4" s="14" t="s">
        <v>99</v>
      </c>
      <c r="T4" s="14" t="s">
        <v>405</v>
      </c>
      <c r="U4" s="14" t="s">
        <v>406</v>
      </c>
      <c r="V4" s="14" t="s">
        <v>407</v>
      </c>
      <c r="W4" s="14" t="s">
        <v>408</v>
      </c>
      <c r="X4" s="14" t="s">
        <v>409</v>
      </c>
      <c r="Y4" s="14" t="s">
        <v>410</v>
      </c>
      <c r="Z4" s="14" t="s">
        <v>411</v>
      </c>
      <c r="AA4" s="14" t="s">
        <v>412</v>
      </c>
      <c r="AB4" s="14" t="s">
        <v>413</v>
      </c>
      <c r="AC4" s="14" t="s">
        <v>414</v>
      </c>
      <c r="AD4" s="14" t="s">
        <v>415</v>
      </c>
      <c r="AE4" s="14" t="s">
        <v>416</v>
      </c>
      <c r="AF4" s="14" t="s">
        <v>99</v>
      </c>
      <c r="AG4" s="14">
        <v>127.0</v>
      </c>
      <c r="AH4" s="14">
        <v>12.0</v>
      </c>
      <c r="AI4" s="14">
        <v>14.0</v>
      </c>
      <c r="AJ4" s="14">
        <v>4.0</v>
      </c>
      <c r="AK4" s="14">
        <v>109.0</v>
      </c>
      <c r="AL4" s="14" t="s">
        <v>341</v>
      </c>
      <c r="AM4" s="14" t="s">
        <v>342</v>
      </c>
      <c r="AN4" s="14" t="s">
        <v>343</v>
      </c>
      <c r="AO4" s="14" t="s">
        <v>417</v>
      </c>
      <c r="AP4" s="14" t="s">
        <v>418</v>
      </c>
      <c r="AQ4" s="14" t="s">
        <v>99</v>
      </c>
      <c r="AR4" s="14" t="s">
        <v>419</v>
      </c>
      <c r="AS4" s="14" t="s">
        <v>420</v>
      </c>
      <c r="AT4" s="14" t="s">
        <v>421</v>
      </c>
      <c r="AU4" s="14">
        <v>2018.0</v>
      </c>
      <c r="AV4" s="14">
        <v>28.0</v>
      </c>
      <c r="AW4" s="14">
        <v>6.0</v>
      </c>
      <c r="AX4" s="14" t="s">
        <v>99</v>
      </c>
      <c r="AY4" s="14" t="s">
        <v>99</v>
      </c>
      <c r="AZ4" s="14" t="s">
        <v>99</v>
      </c>
      <c r="BA4" s="14" t="s">
        <v>99</v>
      </c>
      <c r="BB4" s="14">
        <v>1377.0</v>
      </c>
      <c r="BC4" s="14">
        <v>1395.0</v>
      </c>
      <c r="BD4" s="14" t="s">
        <v>99</v>
      </c>
      <c r="BE4" s="14" t="s">
        <v>422</v>
      </c>
      <c r="BF4" s="15" t="str">
        <f>HYPERLINK("http://dx.doi.org/10.1002/eap.1755","http://dx.doi.org/10.1002/eap.1755")</f>
        <v>http://dx.doi.org/10.1002/eap.1755</v>
      </c>
      <c r="BG4" s="14" t="s">
        <v>99</v>
      </c>
      <c r="BH4" s="14" t="s">
        <v>99</v>
      </c>
      <c r="BI4" s="14">
        <v>19.0</v>
      </c>
      <c r="BJ4" s="14" t="s">
        <v>423</v>
      </c>
      <c r="BK4" s="14" t="s">
        <v>122</v>
      </c>
      <c r="BL4" s="14" t="s">
        <v>260</v>
      </c>
      <c r="BM4" s="14" t="s">
        <v>424</v>
      </c>
      <c r="BN4" s="14">
        <v>2.9808543E7</v>
      </c>
      <c r="BO4" s="14" t="s">
        <v>425</v>
      </c>
      <c r="BP4" s="14" t="s">
        <v>99</v>
      </c>
      <c r="BQ4" s="14" t="s">
        <v>99</v>
      </c>
      <c r="BR4" s="14" t="s">
        <v>124</v>
      </c>
      <c r="BS4" s="14" t="s">
        <v>426</v>
      </c>
      <c r="BT4" s="14" t="str">
        <f>HYPERLINK("https%3A%2F%2Fwww.webofscience.com%2Fwos%2Fwoscc%2Ffull-record%2FWOS:000443555100001","View Full Record in Web of Science")</f>
        <v>View Full Record in Web of Science</v>
      </c>
    </row>
    <row r="5" ht="12.75" customHeight="1">
      <c r="A5" s="14" t="s">
        <v>97</v>
      </c>
      <c r="B5" s="14" t="s">
        <v>427</v>
      </c>
      <c r="C5" s="14" t="s">
        <v>99</v>
      </c>
      <c r="D5" s="14" t="s">
        <v>99</v>
      </c>
      <c r="E5" s="14" t="s">
        <v>99</v>
      </c>
      <c r="F5" s="14" t="s">
        <v>428</v>
      </c>
      <c r="G5" s="14" t="s">
        <v>99</v>
      </c>
      <c r="H5" s="14" t="s">
        <v>99</v>
      </c>
      <c r="I5" s="14" t="s">
        <v>429</v>
      </c>
      <c r="J5" s="14" t="s">
        <v>430</v>
      </c>
      <c r="K5" s="14" t="s">
        <v>99</v>
      </c>
      <c r="L5" s="14" t="s">
        <v>99</v>
      </c>
      <c r="M5" s="14" t="s">
        <v>103</v>
      </c>
      <c r="N5" s="14" t="s">
        <v>104</v>
      </c>
      <c r="O5" s="14" t="s">
        <v>99</v>
      </c>
      <c r="P5" s="14" t="s">
        <v>99</v>
      </c>
      <c r="Q5" s="14" t="s">
        <v>99</v>
      </c>
      <c r="R5" s="14" t="s">
        <v>99</v>
      </c>
      <c r="S5" s="14" t="s">
        <v>99</v>
      </c>
      <c r="T5" s="14" t="s">
        <v>431</v>
      </c>
      <c r="U5" s="14" t="s">
        <v>432</v>
      </c>
      <c r="V5" s="14" t="s">
        <v>433</v>
      </c>
      <c r="W5" s="14" t="s">
        <v>434</v>
      </c>
      <c r="X5" s="14" t="s">
        <v>435</v>
      </c>
      <c r="Y5" s="14" t="s">
        <v>436</v>
      </c>
      <c r="Z5" s="14" t="s">
        <v>437</v>
      </c>
      <c r="AA5" s="14" t="s">
        <v>99</v>
      </c>
      <c r="AB5" s="14" t="s">
        <v>438</v>
      </c>
      <c r="AC5" s="14" t="s">
        <v>439</v>
      </c>
      <c r="AD5" s="14" t="s">
        <v>439</v>
      </c>
      <c r="AE5" s="14" t="s">
        <v>440</v>
      </c>
      <c r="AF5" s="14" t="s">
        <v>99</v>
      </c>
      <c r="AG5" s="14">
        <v>63.0</v>
      </c>
      <c r="AH5" s="14">
        <v>14.0</v>
      </c>
      <c r="AI5" s="14">
        <v>18.0</v>
      </c>
      <c r="AJ5" s="14">
        <v>0.0</v>
      </c>
      <c r="AK5" s="14">
        <v>35.0</v>
      </c>
      <c r="AL5" s="14" t="s">
        <v>441</v>
      </c>
      <c r="AM5" s="14" t="s">
        <v>442</v>
      </c>
      <c r="AN5" s="14" t="s">
        <v>443</v>
      </c>
      <c r="AO5" s="14" t="s">
        <v>444</v>
      </c>
      <c r="AP5" s="14" t="s">
        <v>445</v>
      </c>
      <c r="AQ5" s="14" t="s">
        <v>99</v>
      </c>
      <c r="AR5" s="14" t="s">
        <v>446</v>
      </c>
      <c r="AS5" s="14" t="s">
        <v>447</v>
      </c>
      <c r="AT5" s="14" t="s">
        <v>448</v>
      </c>
      <c r="AU5" s="14">
        <v>2018.0</v>
      </c>
      <c r="AV5" s="14">
        <v>422.0</v>
      </c>
      <c r="AW5" s="14" t="s">
        <v>99</v>
      </c>
      <c r="AX5" s="14" t="s">
        <v>99</v>
      </c>
      <c r="AY5" s="14" t="s">
        <v>99</v>
      </c>
      <c r="AZ5" s="14" t="s">
        <v>99</v>
      </c>
      <c r="BA5" s="14" t="s">
        <v>99</v>
      </c>
      <c r="BB5" s="14">
        <v>137.0</v>
      </c>
      <c r="BC5" s="14">
        <v>146.0</v>
      </c>
      <c r="BD5" s="14" t="s">
        <v>99</v>
      </c>
      <c r="BE5" s="14" t="s">
        <v>449</v>
      </c>
      <c r="BF5" s="15" t="str">
        <f>HYPERLINK("http://dx.doi.org/10.1016/j.foreco.2018.04.012","http://dx.doi.org/10.1016/j.foreco.2018.04.012")</f>
        <v>http://dx.doi.org/10.1016/j.foreco.2018.04.012</v>
      </c>
      <c r="BG5" s="14" t="s">
        <v>99</v>
      </c>
      <c r="BH5" s="14" t="s">
        <v>99</v>
      </c>
      <c r="BI5" s="14">
        <v>10.0</v>
      </c>
      <c r="BJ5" s="14" t="s">
        <v>281</v>
      </c>
      <c r="BK5" s="14" t="s">
        <v>122</v>
      </c>
      <c r="BL5" s="14" t="s">
        <v>281</v>
      </c>
      <c r="BM5" s="14" t="s">
        <v>450</v>
      </c>
      <c r="BN5" s="14" t="s">
        <v>99</v>
      </c>
      <c r="BO5" s="14" t="s">
        <v>451</v>
      </c>
      <c r="BP5" s="14" t="s">
        <v>99</v>
      </c>
      <c r="BQ5" s="14" t="s">
        <v>99</v>
      </c>
      <c r="BR5" s="14" t="s">
        <v>124</v>
      </c>
      <c r="BS5" s="14" t="s">
        <v>452</v>
      </c>
      <c r="BT5" s="14" t="str">
        <f>HYPERLINK("https%3A%2F%2Fwww.webofscience.com%2Fwos%2Fwoscc%2Ffull-record%2FWOS:000433653900015","View Full Record in Web of Science")</f>
        <v>View Full Record in Web of Science</v>
      </c>
    </row>
    <row r="6" ht="12.75" customHeight="1">
      <c r="A6" s="14" t="s">
        <v>97</v>
      </c>
      <c r="B6" s="14" t="s">
        <v>453</v>
      </c>
      <c r="C6" s="14" t="s">
        <v>99</v>
      </c>
      <c r="D6" s="14" t="s">
        <v>99</v>
      </c>
      <c r="E6" s="14" t="s">
        <v>99</v>
      </c>
      <c r="F6" s="14" t="s">
        <v>454</v>
      </c>
      <c r="G6" s="14" t="s">
        <v>99</v>
      </c>
      <c r="H6" s="14" t="s">
        <v>99</v>
      </c>
      <c r="I6" s="14" t="s">
        <v>455</v>
      </c>
      <c r="J6" s="14" t="s">
        <v>456</v>
      </c>
      <c r="K6" s="14" t="s">
        <v>99</v>
      </c>
      <c r="L6" s="14" t="s">
        <v>99</v>
      </c>
      <c r="M6" s="14" t="s">
        <v>103</v>
      </c>
      <c r="N6" s="14" t="s">
        <v>104</v>
      </c>
      <c r="O6" s="14" t="s">
        <v>99</v>
      </c>
      <c r="P6" s="14" t="s">
        <v>99</v>
      </c>
      <c r="Q6" s="14" t="s">
        <v>99</v>
      </c>
      <c r="R6" s="14" t="s">
        <v>99</v>
      </c>
      <c r="S6" s="14" t="s">
        <v>99</v>
      </c>
      <c r="T6" s="14" t="s">
        <v>457</v>
      </c>
      <c r="U6" s="14" t="s">
        <v>458</v>
      </c>
      <c r="V6" s="14" t="s">
        <v>459</v>
      </c>
      <c r="W6" s="14" t="s">
        <v>460</v>
      </c>
      <c r="X6" s="14" t="s">
        <v>461</v>
      </c>
      <c r="Y6" s="14" t="s">
        <v>462</v>
      </c>
      <c r="Z6" s="14" t="s">
        <v>463</v>
      </c>
      <c r="AA6" s="14" t="s">
        <v>99</v>
      </c>
      <c r="AB6" s="14" t="s">
        <v>99</v>
      </c>
      <c r="AC6" s="14" t="s">
        <v>464</v>
      </c>
      <c r="AD6" s="14" t="s">
        <v>465</v>
      </c>
      <c r="AE6" s="14" t="s">
        <v>466</v>
      </c>
      <c r="AF6" s="14" t="s">
        <v>99</v>
      </c>
      <c r="AG6" s="14">
        <v>60.0</v>
      </c>
      <c r="AH6" s="14">
        <v>17.0</v>
      </c>
      <c r="AI6" s="14">
        <v>22.0</v>
      </c>
      <c r="AJ6" s="14">
        <v>1.0</v>
      </c>
      <c r="AK6" s="14">
        <v>71.0</v>
      </c>
      <c r="AL6" s="14" t="s">
        <v>467</v>
      </c>
      <c r="AM6" s="14" t="s">
        <v>468</v>
      </c>
      <c r="AN6" s="14" t="s">
        <v>469</v>
      </c>
      <c r="AO6" s="14" t="s">
        <v>470</v>
      </c>
      <c r="AP6" s="14" t="s">
        <v>471</v>
      </c>
      <c r="AQ6" s="14" t="s">
        <v>99</v>
      </c>
      <c r="AR6" s="14" t="s">
        <v>472</v>
      </c>
      <c r="AS6" s="14" t="s">
        <v>473</v>
      </c>
      <c r="AT6" s="14" t="s">
        <v>474</v>
      </c>
      <c r="AU6" s="14">
        <v>2018.0</v>
      </c>
      <c r="AV6" s="14">
        <v>133.0</v>
      </c>
      <c r="AW6" s="14" t="s">
        <v>99</v>
      </c>
      <c r="AX6" s="14" t="s">
        <v>99</v>
      </c>
      <c r="AY6" s="14" t="s">
        <v>99</v>
      </c>
      <c r="AZ6" s="14" t="s">
        <v>99</v>
      </c>
      <c r="BA6" s="14" t="s">
        <v>99</v>
      </c>
      <c r="BB6" s="14">
        <v>956.0</v>
      </c>
      <c r="BC6" s="14">
        <v>969.0</v>
      </c>
      <c r="BD6" s="14" t="s">
        <v>99</v>
      </c>
      <c r="BE6" s="14" t="s">
        <v>475</v>
      </c>
      <c r="BF6" s="15" t="str">
        <f>HYPERLINK("http://dx.doi.org/10.1016/j.marpolbul.2018.04.065","http://dx.doi.org/10.1016/j.marpolbul.2018.04.065")</f>
        <v>http://dx.doi.org/10.1016/j.marpolbul.2018.04.065</v>
      </c>
      <c r="BG6" s="14" t="s">
        <v>99</v>
      </c>
      <c r="BH6" s="14" t="s">
        <v>99</v>
      </c>
      <c r="BI6" s="14">
        <v>14.0</v>
      </c>
      <c r="BJ6" s="14" t="s">
        <v>396</v>
      </c>
      <c r="BK6" s="14" t="s">
        <v>122</v>
      </c>
      <c r="BL6" s="14" t="s">
        <v>397</v>
      </c>
      <c r="BM6" s="14" t="s">
        <v>476</v>
      </c>
      <c r="BN6" s="14">
        <v>2.9778407E7</v>
      </c>
      <c r="BO6" s="14" t="s">
        <v>99</v>
      </c>
      <c r="BP6" s="14" t="s">
        <v>99</v>
      </c>
      <c r="BQ6" s="14" t="s">
        <v>99</v>
      </c>
      <c r="BR6" s="14" t="s">
        <v>124</v>
      </c>
      <c r="BS6" s="14" t="s">
        <v>477</v>
      </c>
      <c r="BT6" s="14" t="str">
        <f>HYPERLINK("https%3A%2F%2Fwww.webofscience.com%2Fwos%2Fwoscc%2Ffull-record%2FWOS:000441853600107","View Full Record in Web of Science")</f>
        <v>View Full Record in Web of Science</v>
      </c>
    </row>
    <row r="7" ht="12.75" customHeight="1">
      <c r="A7" s="14" t="s">
        <v>97</v>
      </c>
      <c r="B7" s="14" t="s">
        <v>478</v>
      </c>
      <c r="C7" s="14" t="s">
        <v>99</v>
      </c>
      <c r="D7" s="14" t="s">
        <v>99</v>
      </c>
      <c r="E7" s="14" t="s">
        <v>99</v>
      </c>
      <c r="F7" s="14" t="s">
        <v>479</v>
      </c>
      <c r="G7" s="14" t="s">
        <v>99</v>
      </c>
      <c r="H7" s="14" t="s">
        <v>99</v>
      </c>
      <c r="I7" s="14" t="s">
        <v>480</v>
      </c>
      <c r="J7" s="14" t="s">
        <v>481</v>
      </c>
      <c r="K7" s="14" t="s">
        <v>99</v>
      </c>
      <c r="L7" s="14" t="s">
        <v>99</v>
      </c>
      <c r="M7" s="14" t="s">
        <v>103</v>
      </c>
      <c r="N7" s="14" t="s">
        <v>104</v>
      </c>
      <c r="O7" s="14" t="s">
        <v>99</v>
      </c>
      <c r="P7" s="14" t="s">
        <v>99</v>
      </c>
      <c r="Q7" s="14" t="s">
        <v>99</v>
      </c>
      <c r="R7" s="14" t="s">
        <v>99</v>
      </c>
      <c r="S7" s="14" t="s">
        <v>99</v>
      </c>
      <c r="T7" s="14" t="s">
        <v>482</v>
      </c>
      <c r="U7" s="14" t="s">
        <v>483</v>
      </c>
      <c r="V7" s="14" t="s">
        <v>484</v>
      </c>
      <c r="W7" s="14" t="s">
        <v>485</v>
      </c>
      <c r="X7" s="14" t="s">
        <v>486</v>
      </c>
      <c r="Y7" s="14" t="s">
        <v>487</v>
      </c>
      <c r="Z7" s="14" t="s">
        <v>488</v>
      </c>
      <c r="AA7" s="14" t="s">
        <v>99</v>
      </c>
      <c r="AB7" s="14" t="s">
        <v>489</v>
      </c>
      <c r="AC7" s="14" t="s">
        <v>490</v>
      </c>
      <c r="AD7" s="14" t="s">
        <v>491</v>
      </c>
      <c r="AE7" s="14" t="s">
        <v>492</v>
      </c>
      <c r="AF7" s="14" t="s">
        <v>99</v>
      </c>
      <c r="AG7" s="14">
        <v>93.0</v>
      </c>
      <c r="AH7" s="14">
        <v>2.0</v>
      </c>
      <c r="AI7" s="14">
        <v>3.0</v>
      </c>
      <c r="AJ7" s="14">
        <v>0.0</v>
      </c>
      <c r="AK7" s="14">
        <v>29.0</v>
      </c>
      <c r="AL7" s="14" t="s">
        <v>493</v>
      </c>
      <c r="AM7" s="14" t="s">
        <v>494</v>
      </c>
      <c r="AN7" s="14" t="s">
        <v>495</v>
      </c>
      <c r="AO7" s="14" t="s">
        <v>496</v>
      </c>
      <c r="AP7" s="14" t="s">
        <v>497</v>
      </c>
      <c r="AQ7" s="14" t="s">
        <v>99</v>
      </c>
      <c r="AR7" s="14" t="s">
        <v>498</v>
      </c>
      <c r="AS7" s="14" t="s">
        <v>499</v>
      </c>
      <c r="AT7" s="14" t="s">
        <v>474</v>
      </c>
      <c r="AU7" s="14">
        <v>2018.0</v>
      </c>
      <c r="AV7" s="14">
        <v>139.0</v>
      </c>
      <c r="AW7" s="14" t="s">
        <v>99</v>
      </c>
      <c r="AX7" s="14" t="s">
        <v>99</v>
      </c>
      <c r="AY7" s="14" t="s">
        <v>99</v>
      </c>
      <c r="AZ7" s="14" t="s">
        <v>99</v>
      </c>
      <c r="BA7" s="14" t="s">
        <v>99</v>
      </c>
      <c r="BB7" s="14">
        <v>79.0</v>
      </c>
      <c r="BC7" s="14">
        <v>86.0</v>
      </c>
      <c r="BD7" s="14" t="s">
        <v>99</v>
      </c>
      <c r="BE7" s="14" t="s">
        <v>500</v>
      </c>
      <c r="BF7" s="15" t="str">
        <f>HYPERLINK("http://dx.doi.org/10.1016/j.marenvres.2018.05.008","http://dx.doi.org/10.1016/j.marenvres.2018.05.008")</f>
        <v>http://dx.doi.org/10.1016/j.marenvres.2018.05.008</v>
      </c>
      <c r="BG7" s="14" t="s">
        <v>99</v>
      </c>
      <c r="BH7" s="14" t="s">
        <v>99</v>
      </c>
      <c r="BI7" s="14">
        <v>8.0</v>
      </c>
      <c r="BJ7" s="14" t="s">
        <v>501</v>
      </c>
      <c r="BK7" s="14" t="s">
        <v>122</v>
      </c>
      <c r="BL7" s="14" t="s">
        <v>502</v>
      </c>
      <c r="BM7" s="14" t="s">
        <v>503</v>
      </c>
      <c r="BN7" s="14">
        <v>2.9773316E7</v>
      </c>
      <c r="BO7" s="14" t="s">
        <v>99</v>
      </c>
      <c r="BP7" s="14" t="s">
        <v>99</v>
      </c>
      <c r="BQ7" s="14" t="s">
        <v>99</v>
      </c>
      <c r="BR7" s="14" t="s">
        <v>124</v>
      </c>
      <c r="BS7" s="14" t="s">
        <v>504</v>
      </c>
      <c r="BT7" s="14" t="str">
        <f>HYPERLINK("https%3A%2F%2Fwww.webofscience.com%2Fwos%2Fwoscc%2Ffull-record%2FWOS:000436911600009","View Full Record in Web of Science")</f>
        <v>View Full Record in Web of Science</v>
      </c>
    </row>
    <row r="8" ht="12.75" customHeight="1">
      <c r="A8" s="14" t="s">
        <v>97</v>
      </c>
      <c r="B8" s="14" t="s">
        <v>505</v>
      </c>
      <c r="C8" s="14" t="s">
        <v>99</v>
      </c>
      <c r="D8" s="14" t="s">
        <v>99</v>
      </c>
      <c r="E8" s="14" t="s">
        <v>99</v>
      </c>
      <c r="F8" s="14" t="s">
        <v>506</v>
      </c>
      <c r="G8" s="14" t="s">
        <v>99</v>
      </c>
      <c r="H8" s="14" t="s">
        <v>99</v>
      </c>
      <c r="I8" s="14" t="s">
        <v>507</v>
      </c>
      <c r="J8" s="14" t="s">
        <v>508</v>
      </c>
      <c r="K8" s="14" t="s">
        <v>99</v>
      </c>
      <c r="L8" s="14" t="s">
        <v>99</v>
      </c>
      <c r="M8" s="14" t="s">
        <v>103</v>
      </c>
      <c r="N8" s="14" t="s">
        <v>104</v>
      </c>
      <c r="O8" s="14" t="s">
        <v>99</v>
      </c>
      <c r="P8" s="14" t="s">
        <v>99</v>
      </c>
      <c r="Q8" s="14" t="s">
        <v>99</v>
      </c>
      <c r="R8" s="14" t="s">
        <v>99</v>
      </c>
      <c r="S8" s="14" t="s">
        <v>99</v>
      </c>
      <c r="T8" s="14" t="s">
        <v>509</v>
      </c>
      <c r="U8" s="14" t="s">
        <v>510</v>
      </c>
      <c r="V8" s="14" t="s">
        <v>511</v>
      </c>
      <c r="W8" s="14" t="s">
        <v>512</v>
      </c>
      <c r="X8" s="14" t="s">
        <v>513</v>
      </c>
      <c r="Y8" s="14" t="s">
        <v>514</v>
      </c>
      <c r="Z8" s="14" t="s">
        <v>515</v>
      </c>
      <c r="AA8" s="14" t="s">
        <v>99</v>
      </c>
      <c r="AB8" s="14" t="s">
        <v>99</v>
      </c>
      <c r="AC8" s="14" t="s">
        <v>516</v>
      </c>
      <c r="AD8" s="14" t="s">
        <v>516</v>
      </c>
      <c r="AE8" s="14" t="s">
        <v>517</v>
      </c>
      <c r="AF8" s="14" t="s">
        <v>99</v>
      </c>
      <c r="AG8" s="14">
        <v>82.0</v>
      </c>
      <c r="AH8" s="14">
        <v>7.0</v>
      </c>
      <c r="AI8" s="14">
        <v>8.0</v>
      </c>
      <c r="AJ8" s="14">
        <v>0.0</v>
      </c>
      <c r="AK8" s="14">
        <v>24.0</v>
      </c>
      <c r="AL8" s="14" t="s">
        <v>518</v>
      </c>
      <c r="AM8" s="14" t="s">
        <v>519</v>
      </c>
      <c r="AN8" s="14" t="s">
        <v>520</v>
      </c>
      <c r="AO8" s="14" t="s">
        <v>521</v>
      </c>
      <c r="AP8" s="14" t="s">
        <v>522</v>
      </c>
      <c r="AQ8" s="14" t="s">
        <v>99</v>
      </c>
      <c r="AR8" s="14" t="s">
        <v>523</v>
      </c>
      <c r="AS8" s="14" t="s">
        <v>524</v>
      </c>
      <c r="AT8" s="14" t="s">
        <v>525</v>
      </c>
      <c r="AU8" s="14">
        <v>2018.0</v>
      </c>
      <c r="AV8" s="14">
        <v>71.0</v>
      </c>
      <c r="AW8" s="14">
        <v>4.0</v>
      </c>
      <c r="AX8" s="14" t="s">
        <v>99</v>
      </c>
      <c r="AY8" s="14" t="s">
        <v>99</v>
      </c>
      <c r="AZ8" s="14" t="s">
        <v>99</v>
      </c>
      <c r="BA8" s="14" t="s">
        <v>99</v>
      </c>
      <c r="BB8" s="14">
        <v>458.0</v>
      </c>
      <c r="BC8" s="14">
        <v>469.0</v>
      </c>
      <c r="BD8" s="14" t="s">
        <v>99</v>
      </c>
      <c r="BE8" s="14" t="s">
        <v>526</v>
      </c>
      <c r="BF8" s="15" t="str">
        <f>HYPERLINK("http://dx.doi.org/10.1016/j.rama.2018.02.008","http://dx.doi.org/10.1016/j.rama.2018.02.008")</f>
        <v>http://dx.doi.org/10.1016/j.rama.2018.02.008</v>
      </c>
      <c r="BG8" s="14" t="s">
        <v>99</v>
      </c>
      <c r="BH8" s="14" t="s">
        <v>99</v>
      </c>
      <c r="BI8" s="14">
        <v>12.0</v>
      </c>
      <c r="BJ8" s="14" t="s">
        <v>423</v>
      </c>
      <c r="BK8" s="14" t="s">
        <v>122</v>
      </c>
      <c r="BL8" s="14" t="s">
        <v>260</v>
      </c>
      <c r="BM8" s="14" t="s">
        <v>527</v>
      </c>
      <c r="BN8" s="14" t="s">
        <v>99</v>
      </c>
      <c r="BO8" s="14" t="s">
        <v>99</v>
      </c>
      <c r="BP8" s="14" t="s">
        <v>99</v>
      </c>
      <c r="BQ8" s="14" t="s">
        <v>99</v>
      </c>
      <c r="BR8" s="14" t="s">
        <v>124</v>
      </c>
      <c r="BS8" s="14" t="s">
        <v>528</v>
      </c>
      <c r="BT8" s="14" t="str">
        <f>HYPERLINK("https%3A%2F%2Fwww.webofscience.com%2Fwos%2Fwoscc%2Ffull-record%2FWOS:000435480900008","View Full Record in Web of Science")</f>
        <v>View Full Record in Web of Science</v>
      </c>
    </row>
    <row r="9" ht="12.75" customHeight="1">
      <c r="A9" s="14" t="s">
        <v>97</v>
      </c>
      <c r="B9" s="14" t="s">
        <v>529</v>
      </c>
      <c r="C9" s="14" t="s">
        <v>99</v>
      </c>
      <c r="D9" s="14" t="s">
        <v>99</v>
      </c>
      <c r="E9" s="14" t="s">
        <v>99</v>
      </c>
      <c r="F9" s="14" t="s">
        <v>530</v>
      </c>
      <c r="G9" s="14" t="s">
        <v>99</v>
      </c>
      <c r="H9" s="14" t="s">
        <v>99</v>
      </c>
      <c r="I9" s="14" t="s">
        <v>531</v>
      </c>
      <c r="J9" s="14" t="s">
        <v>532</v>
      </c>
      <c r="K9" s="14" t="s">
        <v>99</v>
      </c>
      <c r="L9" s="14" t="s">
        <v>99</v>
      </c>
      <c r="M9" s="14" t="s">
        <v>103</v>
      </c>
      <c r="N9" s="14" t="s">
        <v>104</v>
      </c>
      <c r="O9" s="14" t="s">
        <v>99</v>
      </c>
      <c r="P9" s="14" t="s">
        <v>99</v>
      </c>
      <c r="Q9" s="14" t="s">
        <v>99</v>
      </c>
      <c r="R9" s="14" t="s">
        <v>99</v>
      </c>
      <c r="S9" s="14" t="s">
        <v>99</v>
      </c>
      <c r="T9" s="14" t="s">
        <v>533</v>
      </c>
      <c r="U9" s="14" t="s">
        <v>534</v>
      </c>
      <c r="V9" s="14" t="s">
        <v>535</v>
      </c>
      <c r="W9" s="14" t="s">
        <v>536</v>
      </c>
      <c r="X9" s="14" t="s">
        <v>537</v>
      </c>
      <c r="Y9" s="14" t="s">
        <v>538</v>
      </c>
      <c r="Z9" s="14" t="s">
        <v>539</v>
      </c>
      <c r="AA9" s="14" t="s">
        <v>540</v>
      </c>
      <c r="AB9" s="14" t="s">
        <v>541</v>
      </c>
      <c r="AC9" s="14" t="s">
        <v>542</v>
      </c>
      <c r="AD9" s="14" t="s">
        <v>543</v>
      </c>
      <c r="AE9" s="14" t="s">
        <v>544</v>
      </c>
      <c r="AF9" s="14" t="s">
        <v>99</v>
      </c>
      <c r="AG9" s="14">
        <v>62.0</v>
      </c>
      <c r="AH9" s="14">
        <v>29.0</v>
      </c>
      <c r="AI9" s="14">
        <v>32.0</v>
      </c>
      <c r="AJ9" s="14">
        <v>1.0</v>
      </c>
      <c r="AK9" s="14">
        <v>49.0</v>
      </c>
      <c r="AL9" s="14" t="s">
        <v>341</v>
      </c>
      <c r="AM9" s="14" t="s">
        <v>342</v>
      </c>
      <c r="AN9" s="14" t="s">
        <v>343</v>
      </c>
      <c r="AO9" s="14" t="s">
        <v>545</v>
      </c>
      <c r="AP9" s="14" t="s">
        <v>546</v>
      </c>
      <c r="AQ9" s="14" t="s">
        <v>99</v>
      </c>
      <c r="AR9" s="14" t="s">
        <v>547</v>
      </c>
      <c r="AS9" s="14" t="s">
        <v>548</v>
      </c>
      <c r="AT9" s="14" t="s">
        <v>525</v>
      </c>
      <c r="AU9" s="14">
        <v>2018.0</v>
      </c>
      <c r="AV9" s="14">
        <v>55.0</v>
      </c>
      <c r="AW9" s="14">
        <v>4.0</v>
      </c>
      <c r="AX9" s="14" t="s">
        <v>99</v>
      </c>
      <c r="AY9" s="14" t="s">
        <v>99</v>
      </c>
      <c r="AZ9" s="14" t="s">
        <v>99</v>
      </c>
      <c r="BA9" s="14" t="s">
        <v>99</v>
      </c>
      <c r="BB9" s="14">
        <v>1626.0</v>
      </c>
      <c r="BC9" s="14">
        <v>1636.0</v>
      </c>
      <c r="BD9" s="14" t="s">
        <v>99</v>
      </c>
      <c r="BE9" s="14" t="s">
        <v>549</v>
      </c>
      <c r="BF9" s="15" t="str">
        <f>HYPERLINK("http://dx.doi.org/10.1111/1365-2664.13137","http://dx.doi.org/10.1111/1365-2664.13137")</f>
        <v>http://dx.doi.org/10.1111/1365-2664.13137</v>
      </c>
      <c r="BG9" s="14" t="s">
        <v>99</v>
      </c>
      <c r="BH9" s="14" t="s">
        <v>99</v>
      </c>
      <c r="BI9" s="14">
        <v>11.0</v>
      </c>
      <c r="BJ9" s="14" t="s">
        <v>550</v>
      </c>
      <c r="BK9" s="14" t="s">
        <v>122</v>
      </c>
      <c r="BL9" s="14" t="s">
        <v>352</v>
      </c>
      <c r="BM9" s="14" t="s">
        <v>551</v>
      </c>
      <c r="BN9" s="14" t="s">
        <v>99</v>
      </c>
      <c r="BO9" s="14" t="s">
        <v>373</v>
      </c>
      <c r="BP9" s="14" t="s">
        <v>99</v>
      </c>
      <c r="BQ9" s="14" t="s">
        <v>99</v>
      </c>
      <c r="BR9" s="14" t="s">
        <v>124</v>
      </c>
      <c r="BS9" s="14" t="s">
        <v>552</v>
      </c>
      <c r="BT9" s="14" t="str">
        <f>HYPERLINK("https%3A%2F%2Fwww.webofscience.com%2Fwos%2Fwoscc%2Ffull-record%2FWOS:000434970200007","View Full Record in Web of Science")</f>
        <v>View Full Record in Web of Science</v>
      </c>
    </row>
    <row r="10" ht="12.75" customHeight="1">
      <c r="A10" s="14" t="s">
        <v>97</v>
      </c>
      <c r="B10" s="14" t="s">
        <v>553</v>
      </c>
      <c r="C10" s="14" t="s">
        <v>99</v>
      </c>
      <c r="D10" s="14" t="s">
        <v>99</v>
      </c>
      <c r="E10" s="14" t="s">
        <v>99</v>
      </c>
      <c r="F10" s="14" t="s">
        <v>554</v>
      </c>
      <c r="G10" s="14" t="s">
        <v>99</v>
      </c>
      <c r="H10" s="14" t="s">
        <v>99</v>
      </c>
      <c r="I10" s="14" t="s">
        <v>555</v>
      </c>
      <c r="J10" s="14" t="s">
        <v>556</v>
      </c>
      <c r="K10" s="14" t="s">
        <v>99</v>
      </c>
      <c r="L10" s="14" t="s">
        <v>99</v>
      </c>
      <c r="M10" s="14" t="s">
        <v>103</v>
      </c>
      <c r="N10" s="14" t="s">
        <v>104</v>
      </c>
      <c r="O10" s="14" t="s">
        <v>99</v>
      </c>
      <c r="P10" s="14" t="s">
        <v>99</v>
      </c>
      <c r="Q10" s="14" t="s">
        <v>99</v>
      </c>
      <c r="R10" s="14" t="s">
        <v>99</v>
      </c>
      <c r="S10" s="14" t="s">
        <v>99</v>
      </c>
      <c r="T10" s="14" t="s">
        <v>557</v>
      </c>
      <c r="U10" s="14" t="s">
        <v>558</v>
      </c>
      <c r="V10" s="14" t="s">
        <v>559</v>
      </c>
      <c r="W10" s="14" t="s">
        <v>560</v>
      </c>
      <c r="X10" s="14" t="s">
        <v>561</v>
      </c>
      <c r="Y10" s="14" t="s">
        <v>562</v>
      </c>
      <c r="Z10" s="14" t="s">
        <v>563</v>
      </c>
      <c r="AA10" s="14" t="s">
        <v>564</v>
      </c>
      <c r="AB10" s="14" t="s">
        <v>565</v>
      </c>
      <c r="AC10" s="14" t="s">
        <v>99</v>
      </c>
      <c r="AD10" s="14" t="s">
        <v>99</v>
      </c>
      <c r="AE10" s="14" t="s">
        <v>99</v>
      </c>
      <c r="AF10" s="14" t="s">
        <v>99</v>
      </c>
      <c r="AG10" s="14">
        <v>49.0</v>
      </c>
      <c r="AH10" s="14">
        <v>185.0</v>
      </c>
      <c r="AI10" s="14">
        <v>221.0</v>
      </c>
      <c r="AJ10" s="14">
        <v>0.0</v>
      </c>
      <c r="AK10" s="14">
        <v>71.0</v>
      </c>
      <c r="AL10" s="14" t="s">
        <v>566</v>
      </c>
      <c r="AM10" s="14" t="s">
        <v>567</v>
      </c>
      <c r="AN10" s="14" t="s">
        <v>568</v>
      </c>
      <c r="AO10" s="14" t="s">
        <v>569</v>
      </c>
      <c r="AP10" s="14" t="s">
        <v>99</v>
      </c>
      <c r="AQ10" s="14" t="s">
        <v>99</v>
      </c>
      <c r="AR10" s="14" t="s">
        <v>570</v>
      </c>
      <c r="AS10" s="14" t="s">
        <v>571</v>
      </c>
      <c r="AT10" s="14" t="s">
        <v>525</v>
      </c>
      <c r="AU10" s="14">
        <v>2018.0</v>
      </c>
      <c r="AV10" s="14">
        <v>13.0</v>
      </c>
      <c r="AW10" s="14">
        <v>7.0</v>
      </c>
      <c r="AX10" s="14" t="s">
        <v>99</v>
      </c>
      <c r="AY10" s="14" t="s">
        <v>99</v>
      </c>
      <c r="AZ10" s="14" t="s">
        <v>99</v>
      </c>
      <c r="BA10" s="14" t="s">
        <v>99</v>
      </c>
      <c r="BB10" s="14" t="s">
        <v>99</v>
      </c>
      <c r="BC10" s="14" t="s">
        <v>99</v>
      </c>
      <c r="BD10" s="14">
        <v>74028.0</v>
      </c>
      <c r="BE10" s="14" t="s">
        <v>572</v>
      </c>
      <c r="BF10" s="15" t="str">
        <f>HYPERLINK("http://dx.doi.org/10.1088/1748-9326/aacd1c","http://dx.doi.org/10.1088/1748-9326/aacd1c")</f>
        <v>http://dx.doi.org/10.1088/1748-9326/aacd1c</v>
      </c>
      <c r="BG10" s="14" t="s">
        <v>99</v>
      </c>
      <c r="BH10" s="14" t="s">
        <v>99</v>
      </c>
      <c r="BI10" s="14">
        <v>15.0</v>
      </c>
      <c r="BJ10" s="14" t="s">
        <v>573</v>
      </c>
      <c r="BK10" s="14" t="s">
        <v>122</v>
      </c>
      <c r="BL10" s="14" t="s">
        <v>574</v>
      </c>
      <c r="BM10" s="14" t="s">
        <v>575</v>
      </c>
      <c r="BN10" s="14" t="s">
        <v>99</v>
      </c>
      <c r="BO10" s="14" t="s">
        <v>576</v>
      </c>
      <c r="BP10" s="14" t="s">
        <v>99</v>
      </c>
      <c r="BQ10" s="14" t="s">
        <v>99</v>
      </c>
      <c r="BR10" s="14" t="s">
        <v>124</v>
      </c>
      <c r="BS10" s="14" t="s">
        <v>577</v>
      </c>
      <c r="BT10" s="14" t="str">
        <f>HYPERLINK("https%3A%2F%2Fwww.webofscience.com%2Fwos%2Fwoscc%2Ffull-record%2FWOS:000438666900001","View Full Record in Web of Science")</f>
        <v>View Full Record in Web of Science</v>
      </c>
    </row>
    <row r="11" ht="12.75" customHeight="1">
      <c r="A11" s="14" t="s">
        <v>97</v>
      </c>
      <c r="B11" s="14" t="s">
        <v>578</v>
      </c>
      <c r="C11" s="14" t="s">
        <v>99</v>
      </c>
      <c r="D11" s="14" t="s">
        <v>99</v>
      </c>
      <c r="E11" s="14" t="s">
        <v>99</v>
      </c>
      <c r="F11" s="14" t="s">
        <v>579</v>
      </c>
      <c r="G11" s="14" t="s">
        <v>99</v>
      </c>
      <c r="H11" s="14" t="s">
        <v>99</v>
      </c>
      <c r="I11" s="14" t="s">
        <v>580</v>
      </c>
      <c r="J11" s="14" t="s">
        <v>581</v>
      </c>
      <c r="K11" s="14" t="s">
        <v>99</v>
      </c>
      <c r="L11" s="14" t="s">
        <v>99</v>
      </c>
      <c r="M11" s="14" t="s">
        <v>103</v>
      </c>
      <c r="N11" s="14" t="s">
        <v>104</v>
      </c>
      <c r="O11" s="14" t="s">
        <v>99</v>
      </c>
      <c r="P11" s="14" t="s">
        <v>99</v>
      </c>
      <c r="Q11" s="14" t="s">
        <v>99</v>
      </c>
      <c r="R11" s="14" t="s">
        <v>99</v>
      </c>
      <c r="S11" s="14" t="s">
        <v>99</v>
      </c>
      <c r="T11" s="14" t="s">
        <v>582</v>
      </c>
      <c r="U11" s="14" t="s">
        <v>583</v>
      </c>
      <c r="V11" s="14" t="s">
        <v>584</v>
      </c>
      <c r="W11" s="14" t="s">
        <v>585</v>
      </c>
      <c r="X11" s="14" t="s">
        <v>586</v>
      </c>
      <c r="Y11" s="14" t="s">
        <v>587</v>
      </c>
      <c r="Z11" s="14" t="s">
        <v>588</v>
      </c>
      <c r="AA11" s="14" t="s">
        <v>99</v>
      </c>
      <c r="AB11" s="14" t="s">
        <v>589</v>
      </c>
      <c r="AC11" s="14" t="s">
        <v>590</v>
      </c>
      <c r="AD11" s="14" t="s">
        <v>591</v>
      </c>
      <c r="AE11" s="14" t="s">
        <v>592</v>
      </c>
      <c r="AF11" s="14" t="s">
        <v>99</v>
      </c>
      <c r="AG11" s="14">
        <v>79.0</v>
      </c>
      <c r="AH11" s="14">
        <v>63.0</v>
      </c>
      <c r="AI11" s="14">
        <v>71.0</v>
      </c>
      <c r="AJ11" s="14">
        <v>4.0</v>
      </c>
      <c r="AK11" s="14">
        <v>131.0</v>
      </c>
      <c r="AL11" s="14" t="s">
        <v>441</v>
      </c>
      <c r="AM11" s="14" t="s">
        <v>442</v>
      </c>
      <c r="AN11" s="14" t="s">
        <v>443</v>
      </c>
      <c r="AO11" s="14" t="s">
        <v>593</v>
      </c>
      <c r="AP11" s="14" t="s">
        <v>594</v>
      </c>
      <c r="AQ11" s="14" t="s">
        <v>99</v>
      </c>
      <c r="AR11" s="14" t="s">
        <v>595</v>
      </c>
      <c r="AS11" s="14" t="s">
        <v>596</v>
      </c>
      <c r="AT11" s="14" t="s">
        <v>525</v>
      </c>
      <c r="AU11" s="14">
        <v>2018.0</v>
      </c>
      <c r="AV11" s="14">
        <v>90.0</v>
      </c>
      <c r="AW11" s="14" t="s">
        <v>99</v>
      </c>
      <c r="AX11" s="14" t="s">
        <v>99</v>
      </c>
      <c r="AY11" s="14" t="s">
        <v>99</v>
      </c>
      <c r="AZ11" s="14" t="s">
        <v>99</v>
      </c>
      <c r="BA11" s="14" t="s">
        <v>99</v>
      </c>
      <c r="BB11" s="14">
        <v>261.0</v>
      </c>
      <c r="BC11" s="14">
        <v>279.0</v>
      </c>
      <c r="BD11" s="14" t="s">
        <v>99</v>
      </c>
      <c r="BE11" s="14" t="s">
        <v>597</v>
      </c>
      <c r="BF11" s="15" t="str">
        <f>HYPERLINK("http://dx.doi.org/10.1016/j.ecolind.2018.03.004","http://dx.doi.org/10.1016/j.ecolind.2018.03.004")</f>
        <v>http://dx.doi.org/10.1016/j.ecolind.2018.03.004</v>
      </c>
      <c r="BG11" s="14" t="s">
        <v>99</v>
      </c>
      <c r="BH11" s="14" t="s">
        <v>99</v>
      </c>
      <c r="BI11" s="14">
        <v>19.0</v>
      </c>
      <c r="BJ11" s="14" t="s">
        <v>598</v>
      </c>
      <c r="BK11" s="14" t="s">
        <v>122</v>
      </c>
      <c r="BL11" s="14" t="s">
        <v>352</v>
      </c>
      <c r="BM11" s="14" t="s">
        <v>599</v>
      </c>
      <c r="BN11" s="14" t="s">
        <v>99</v>
      </c>
      <c r="BO11" s="14" t="s">
        <v>99</v>
      </c>
      <c r="BP11" s="14" t="s">
        <v>99</v>
      </c>
      <c r="BQ11" s="14" t="s">
        <v>99</v>
      </c>
      <c r="BR11" s="14" t="s">
        <v>124</v>
      </c>
      <c r="BS11" s="14" t="s">
        <v>600</v>
      </c>
      <c r="BT11" s="14" t="str">
        <f>HYPERLINK("https%3A%2F%2Fwww.webofscience.com%2Fwos%2Fwoscc%2Ffull-record%2FWOS:000440266100029","View Full Record in Web of Science")</f>
        <v>View Full Record in Web of Science</v>
      </c>
    </row>
    <row r="12" ht="12.75" customHeight="1">
      <c r="A12" s="14" t="s">
        <v>97</v>
      </c>
      <c r="B12" s="14" t="s">
        <v>601</v>
      </c>
      <c r="C12" s="14" t="s">
        <v>99</v>
      </c>
      <c r="D12" s="14" t="s">
        <v>99</v>
      </c>
      <c r="E12" s="14" t="s">
        <v>99</v>
      </c>
      <c r="F12" s="14" t="s">
        <v>602</v>
      </c>
      <c r="G12" s="14" t="s">
        <v>99</v>
      </c>
      <c r="H12" s="14" t="s">
        <v>99</v>
      </c>
      <c r="I12" s="14" t="s">
        <v>603</v>
      </c>
      <c r="J12" s="14" t="s">
        <v>556</v>
      </c>
      <c r="K12" s="14" t="s">
        <v>99</v>
      </c>
      <c r="L12" s="14" t="s">
        <v>99</v>
      </c>
      <c r="M12" s="14" t="s">
        <v>103</v>
      </c>
      <c r="N12" s="14" t="s">
        <v>104</v>
      </c>
      <c r="O12" s="14" t="s">
        <v>99</v>
      </c>
      <c r="P12" s="14" t="s">
        <v>99</v>
      </c>
      <c r="Q12" s="14" t="s">
        <v>99</v>
      </c>
      <c r="R12" s="14" t="s">
        <v>99</v>
      </c>
      <c r="S12" s="14" t="s">
        <v>99</v>
      </c>
      <c r="T12" s="14" t="s">
        <v>604</v>
      </c>
      <c r="U12" s="14" t="s">
        <v>605</v>
      </c>
      <c r="V12" s="14" t="s">
        <v>606</v>
      </c>
      <c r="W12" s="14" t="s">
        <v>607</v>
      </c>
      <c r="X12" s="14" t="s">
        <v>608</v>
      </c>
      <c r="Y12" s="14" t="s">
        <v>609</v>
      </c>
      <c r="Z12" s="14" t="s">
        <v>610</v>
      </c>
      <c r="AA12" s="14" t="s">
        <v>611</v>
      </c>
      <c r="AB12" s="14" t="s">
        <v>612</v>
      </c>
      <c r="AC12" s="14" t="s">
        <v>613</v>
      </c>
      <c r="AD12" s="14" t="s">
        <v>614</v>
      </c>
      <c r="AE12" s="14" t="s">
        <v>615</v>
      </c>
      <c r="AF12" s="14" t="s">
        <v>99</v>
      </c>
      <c r="AG12" s="14">
        <v>59.0</v>
      </c>
      <c r="AH12" s="14">
        <v>96.0</v>
      </c>
      <c r="AI12" s="14">
        <v>106.0</v>
      </c>
      <c r="AJ12" s="14">
        <v>1.0</v>
      </c>
      <c r="AK12" s="14">
        <v>76.0</v>
      </c>
      <c r="AL12" s="14" t="s">
        <v>566</v>
      </c>
      <c r="AM12" s="14" t="s">
        <v>567</v>
      </c>
      <c r="AN12" s="14" t="s">
        <v>568</v>
      </c>
      <c r="AO12" s="14" t="s">
        <v>569</v>
      </c>
      <c r="AP12" s="14" t="s">
        <v>99</v>
      </c>
      <c r="AQ12" s="14" t="s">
        <v>99</v>
      </c>
      <c r="AR12" s="14" t="s">
        <v>570</v>
      </c>
      <c r="AS12" s="14" t="s">
        <v>571</v>
      </c>
      <c r="AT12" s="14" t="s">
        <v>616</v>
      </c>
      <c r="AU12" s="14">
        <v>2018.0</v>
      </c>
      <c r="AV12" s="14">
        <v>13.0</v>
      </c>
      <c r="AW12" s="14">
        <v>6.0</v>
      </c>
      <c r="AX12" s="14" t="s">
        <v>99</v>
      </c>
      <c r="AY12" s="14" t="s">
        <v>99</v>
      </c>
      <c r="AZ12" s="14" t="s">
        <v>99</v>
      </c>
      <c r="BA12" s="14" t="s">
        <v>99</v>
      </c>
      <c r="BB12" s="14" t="s">
        <v>99</v>
      </c>
      <c r="BC12" s="14" t="s">
        <v>99</v>
      </c>
      <c r="BD12" s="14">
        <v>65013.0</v>
      </c>
      <c r="BE12" s="14" t="s">
        <v>617</v>
      </c>
      <c r="BF12" s="15" t="str">
        <f>HYPERLINK("http://dx.doi.org/10.1088/1748-9326/aac331","http://dx.doi.org/10.1088/1748-9326/aac331")</f>
        <v>http://dx.doi.org/10.1088/1748-9326/aac331</v>
      </c>
      <c r="BG12" s="14" t="s">
        <v>99</v>
      </c>
      <c r="BH12" s="14" t="s">
        <v>99</v>
      </c>
      <c r="BI12" s="14">
        <v>12.0</v>
      </c>
      <c r="BJ12" s="14" t="s">
        <v>573</v>
      </c>
      <c r="BK12" s="14" t="s">
        <v>122</v>
      </c>
      <c r="BL12" s="14" t="s">
        <v>574</v>
      </c>
      <c r="BM12" s="14" t="s">
        <v>618</v>
      </c>
      <c r="BN12" s="14" t="s">
        <v>99</v>
      </c>
      <c r="BO12" s="14" t="s">
        <v>576</v>
      </c>
      <c r="BP12" s="14" t="s">
        <v>99</v>
      </c>
      <c r="BQ12" s="14" t="s">
        <v>99</v>
      </c>
      <c r="BR12" s="14" t="s">
        <v>124</v>
      </c>
      <c r="BS12" s="14" t="s">
        <v>619</v>
      </c>
      <c r="BT12" s="14" t="str">
        <f>HYPERLINK("https%3A%2F%2Fwww.webofscience.com%2Fwos%2Fwoscc%2Ffull-record%2FWOS:000434818600001","View Full Record in Web of Science")</f>
        <v>View Full Record in Web of Science</v>
      </c>
    </row>
    <row r="13" ht="12.75" customHeight="1">
      <c r="A13" s="14" t="s">
        <v>97</v>
      </c>
      <c r="B13" s="14" t="s">
        <v>620</v>
      </c>
      <c r="C13" s="14" t="s">
        <v>99</v>
      </c>
      <c r="D13" s="14" t="s">
        <v>99</v>
      </c>
      <c r="E13" s="14" t="s">
        <v>99</v>
      </c>
      <c r="F13" s="14" t="s">
        <v>621</v>
      </c>
      <c r="G13" s="14" t="s">
        <v>99</v>
      </c>
      <c r="H13" s="14" t="s">
        <v>99</v>
      </c>
      <c r="I13" s="14" t="s">
        <v>622</v>
      </c>
      <c r="J13" s="14" t="s">
        <v>623</v>
      </c>
      <c r="K13" s="14" t="s">
        <v>99</v>
      </c>
      <c r="L13" s="14" t="s">
        <v>99</v>
      </c>
      <c r="M13" s="14" t="s">
        <v>103</v>
      </c>
      <c r="N13" s="14" t="s">
        <v>104</v>
      </c>
      <c r="O13" s="14" t="s">
        <v>99</v>
      </c>
      <c r="P13" s="14" t="s">
        <v>99</v>
      </c>
      <c r="Q13" s="14" t="s">
        <v>99</v>
      </c>
      <c r="R13" s="14" t="s">
        <v>99</v>
      </c>
      <c r="S13" s="14" t="s">
        <v>99</v>
      </c>
      <c r="T13" s="14" t="s">
        <v>624</v>
      </c>
      <c r="U13" s="14" t="s">
        <v>625</v>
      </c>
      <c r="V13" s="14" t="s">
        <v>626</v>
      </c>
      <c r="W13" s="14" t="s">
        <v>627</v>
      </c>
      <c r="X13" s="14" t="s">
        <v>628</v>
      </c>
      <c r="Y13" s="14" t="s">
        <v>629</v>
      </c>
      <c r="Z13" s="14" t="s">
        <v>630</v>
      </c>
      <c r="AA13" s="14" t="s">
        <v>631</v>
      </c>
      <c r="AB13" s="14" t="s">
        <v>632</v>
      </c>
      <c r="AC13" s="14" t="s">
        <v>633</v>
      </c>
      <c r="AD13" s="14" t="s">
        <v>633</v>
      </c>
      <c r="AE13" s="14" t="s">
        <v>634</v>
      </c>
      <c r="AF13" s="14" t="s">
        <v>99</v>
      </c>
      <c r="AG13" s="14">
        <v>62.0</v>
      </c>
      <c r="AH13" s="14">
        <v>40.0</v>
      </c>
      <c r="AI13" s="14">
        <v>44.0</v>
      </c>
      <c r="AJ13" s="14">
        <v>0.0</v>
      </c>
      <c r="AK13" s="14">
        <v>89.0</v>
      </c>
      <c r="AL13" s="14" t="s">
        <v>493</v>
      </c>
      <c r="AM13" s="14" t="s">
        <v>468</v>
      </c>
      <c r="AN13" s="14" t="s">
        <v>635</v>
      </c>
      <c r="AO13" s="14" t="s">
        <v>636</v>
      </c>
      <c r="AP13" s="14" t="s">
        <v>637</v>
      </c>
      <c r="AQ13" s="14" t="s">
        <v>99</v>
      </c>
      <c r="AR13" s="14" t="s">
        <v>638</v>
      </c>
      <c r="AS13" s="14" t="s">
        <v>639</v>
      </c>
      <c r="AT13" s="14" t="s">
        <v>640</v>
      </c>
      <c r="AU13" s="14">
        <v>2018.0</v>
      </c>
      <c r="AV13" s="14">
        <v>94.0</v>
      </c>
      <c r="AW13" s="14" t="s">
        <v>99</v>
      </c>
      <c r="AX13" s="14" t="s">
        <v>99</v>
      </c>
      <c r="AY13" s="14" t="s">
        <v>99</v>
      </c>
      <c r="AZ13" s="14" t="s">
        <v>99</v>
      </c>
      <c r="BA13" s="14" t="s">
        <v>99</v>
      </c>
      <c r="BB13" s="14">
        <v>71.0</v>
      </c>
      <c r="BC13" s="14">
        <v>83.0</v>
      </c>
      <c r="BD13" s="14" t="s">
        <v>99</v>
      </c>
      <c r="BE13" s="14" t="s">
        <v>641</v>
      </c>
      <c r="BF13" s="15" t="str">
        <f>HYPERLINK("http://dx.doi.org/10.1016/j.apgeog.2018.03.006","http://dx.doi.org/10.1016/j.apgeog.2018.03.006")</f>
        <v>http://dx.doi.org/10.1016/j.apgeog.2018.03.006</v>
      </c>
      <c r="BG13" s="14" t="s">
        <v>99</v>
      </c>
      <c r="BH13" s="14" t="s">
        <v>99</v>
      </c>
      <c r="BI13" s="14">
        <v>13.0</v>
      </c>
      <c r="BJ13" s="14" t="s">
        <v>642</v>
      </c>
      <c r="BK13" s="14" t="s">
        <v>643</v>
      </c>
      <c r="BL13" s="14" t="s">
        <v>642</v>
      </c>
      <c r="BM13" s="14" t="s">
        <v>644</v>
      </c>
      <c r="BN13" s="14" t="s">
        <v>99</v>
      </c>
      <c r="BO13" s="14" t="s">
        <v>425</v>
      </c>
      <c r="BP13" s="14" t="s">
        <v>99</v>
      </c>
      <c r="BQ13" s="14" t="s">
        <v>99</v>
      </c>
      <c r="BR13" s="14" t="s">
        <v>124</v>
      </c>
      <c r="BS13" s="14" t="s">
        <v>645</v>
      </c>
      <c r="BT13" s="14" t="str">
        <f>HYPERLINK("https%3A%2F%2Fwww.webofscience.com%2Fwos%2Fwoscc%2Ffull-record%2FWOS:000432233800006","View Full Record in Web of Science")</f>
        <v>View Full Record in Web of Science</v>
      </c>
    </row>
    <row r="14" ht="12.75" customHeight="1">
      <c r="A14" s="14" t="s">
        <v>97</v>
      </c>
      <c r="B14" s="14" t="s">
        <v>646</v>
      </c>
      <c r="C14" s="14" t="s">
        <v>99</v>
      </c>
      <c r="D14" s="14" t="s">
        <v>99</v>
      </c>
      <c r="E14" s="14" t="s">
        <v>99</v>
      </c>
      <c r="F14" s="14" t="s">
        <v>647</v>
      </c>
      <c r="G14" s="14" t="s">
        <v>99</v>
      </c>
      <c r="H14" s="14" t="s">
        <v>99</v>
      </c>
      <c r="I14" s="14" t="s">
        <v>648</v>
      </c>
      <c r="J14" s="14" t="s">
        <v>649</v>
      </c>
      <c r="K14" s="14" t="s">
        <v>99</v>
      </c>
      <c r="L14" s="14" t="s">
        <v>99</v>
      </c>
      <c r="M14" s="14" t="s">
        <v>103</v>
      </c>
      <c r="N14" s="14" t="s">
        <v>104</v>
      </c>
      <c r="O14" s="14" t="s">
        <v>99</v>
      </c>
      <c r="P14" s="14" t="s">
        <v>99</v>
      </c>
      <c r="Q14" s="14" t="s">
        <v>99</v>
      </c>
      <c r="R14" s="14" t="s">
        <v>99</v>
      </c>
      <c r="S14" s="14" t="s">
        <v>99</v>
      </c>
      <c r="T14" s="14" t="s">
        <v>650</v>
      </c>
      <c r="U14" s="14" t="s">
        <v>651</v>
      </c>
      <c r="V14" s="14" t="s">
        <v>652</v>
      </c>
      <c r="W14" s="14" t="s">
        <v>653</v>
      </c>
      <c r="X14" s="14" t="s">
        <v>654</v>
      </c>
      <c r="Y14" s="14" t="s">
        <v>655</v>
      </c>
      <c r="Z14" s="14" t="s">
        <v>656</v>
      </c>
      <c r="AA14" s="14" t="s">
        <v>657</v>
      </c>
      <c r="AB14" s="14" t="s">
        <v>658</v>
      </c>
      <c r="AC14" s="14" t="s">
        <v>659</v>
      </c>
      <c r="AD14" s="14" t="s">
        <v>660</v>
      </c>
      <c r="AE14" s="14" t="s">
        <v>661</v>
      </c>
      <c r="AF14" s="14" t="s">
        <v>99</v>
      </c>
      <c r="AG14" s="14">
        <v>66.0</v>
      </c>
      <c r="AH14" s="14">
        <v>35.0</v>
      </c>
      <c r="AI14" s="14">
        <v>35.0</v>
      </c>
      <c r="AJ14" s="14">
        <v>1.0</v>
      </c>
      <c r="AK14" s="14">
        <v>45.0</v>
      </c>
      <c r="AL14" s="14" t="s">
        <v>341</v>
      </c>
      <c r="AM14" s="14" t="s">
        <v>342</v>
      </c>
      <c r="AN14" s="14" t="s">
        <v>343</v>
      </c>
      <c r="AO14" s="14" t="s">
        <v>662</v>
      </c>
      <c r="AP14" s="14" t="s">
        <v>663</v>
      </c>
      <c r="AQ14" s="14" t="s">
        <v>99</v>
      </c>
      <c r="AR14" s="14" t="s">
        <v>664</v>
      </c>
      <c r="AS14" s="14" t="s">
        <v>665</v>
      </c>
      <c r="AT14" s="14" t="s">
        <v>640</v>
      </c>
      <c r="AU14" s="14">
        <v>2018.0</v>
      </c>
      <c r="AV14" s="14">
        <v>27.0</v>
      </c>
      <c r="AW14" s="14">
        <v>3.0</v>
      </c>
      <c r="AX14" s="14" t="s">
        <v>99</v>
      </c>
      <c r="AY14" s="14" t="s">
        <v>99</v>
      </c>
      <c r="AZ14" s="14" t="s">
        <v>99</v>
      </c>
      <c r="BA14" s="14" t="s">
        <v>99</v>
      </c>
      <c r="BB14" s="14">
        <v>212.0</v>
      </c>
      <c r="BC14" s="14">
        <v>221.0</v>
      </c>
      <c r="BD14" s="14" t="s">
        <v>99</v>
      </c>
      <c r="BE14" s="14" t="s">
        <v>666</v>
      </c>
      <c r="BF14" s="15" t="str">
        <f>HYPERLINK("http://dx.doi.org/10.1111/fog.12246","http://dx.doi.org/10.1111/fog.12246")</f>
        <v>http://dx.doi.org/10.1111/fog.12246</v>
      </c>
      <c r="BG14" s="14" t="s">
        <v>99</v>
      </c>
      <c r="BH14" s="14" t="s">
        <v>99</v>
      </c>
      <c r="BI14" s="14">
        <v>10.0</v>
      </c>
      <c r="BJ14" s="14" t="s">
        <v>667</v>
      </c>
      <c r="BK14" s="14" t="s">
        <v>122</v>
      </c>
      <c r="BL14" s="14" t="s">
        <v>667</v>
      </c>
      <c r="BM14" s="14" t="s">
        <v>668</v>
      </c>
      <c r="BN14" s="14" t="s">
        <v>99</v>
      </c>
      <c r="BO14" s="14" t="s">
        <v>99</v>
      </c>
      <c r="BP14" s="14" t="s">
        <v>99</v>
      </c>
      <c r="BQ14" s="14" t="s">
        <v>99</v>
      </c>
      <c r="BR14" s="14" t="s">
        <v>124</v>
      </c>
      <c r="BS14" s="14" t="s">
        <v>669</v>
      </c>
      <c r="BT14" s="14" t="str">
        <f>HYPERLINK("https%3A%2F%2Fwww.webofscience.com%2Fwos%2Fwoscc%2Ffull-record%2FWOS:000428400500003","View Full Record in Web of Science")</f>
        <v>View Full Record in Web of Science</v>
      </c>
    </row>
    <row r="15" ht="12.75" customHeight="1">
      <c r="A15" s="14" t="s">
        <v>97</v>
      </c>
      <c r="B15" s="14" t="s">
        <v>670</v>
      </c>
      <c r="C15" s="14" t="s">
        <v>99</v>
      </c>
      <c r="D15" s="14" t="s">
        <v>99</v>
      </c>
      <c r="E15" s="14" t="s">
        <v>99</v>
      </c>
      <c r="F15" s="14" t="s">
        <v>671</v>
      </c>
      <c r="G15" s="14" t="s">
        <v>99</v>
      </c>
      <c r="H15" s="14" t="s">
        <v>99</v>
      </c>
      <c r="I15" s="14" t="s">
        <v>672</v>
      </c>
      <c r="J15" s="14" t="s">
        <v>673</v>
      </c>
      <c r="K15" s="14" t="s">
        <v>99</v>
      </c>
      <c r="L15" s="14" t="s">
        <v>99</v>
      </c>
      <c r="M15" s="14" t="s">
        <v>103</v>
      </c>
      <c r="N15" s="14" t="s">
        <v>104</v>
      </c>
      <c r="O15" s="14" t="s">
        <v>99</v>
      </c>
      <c r="P15" s="14" t="s">
        <v>99</v>
      </c>
      <c r="Q15" s="14" t="s">
        <v>99</v>
      </c>
      <c r="R15" s="14" t="s">
        <v>99</v>
      </c>
      <c r="S15" s="14" t="s">
        <v>99</v>
      </c>
      <c r="T15" s="14" t="s">
        <v>674</v>
      </c>
      <c r="U15" s="14" t="s">
        <v>675</v>
      </c>
      <c r="V15" s="14" t="s">
        <v>676</v>
      </c>
      <c r="W15" s="14" t="s">
        <v>677</v>
      </c>
      <c r="X15" s="14" t="s">
        <v>678</v>
      </c>
      <c r="Y15" s="14" t="s">
        <v>679</v>
      </c>
      <c r="Z15" s="14" t="s">
        <v>680</v>
      </c>
      <c r="AA15" s="14" t="s">
        <v>681</v>
      </c>
      <c r="AB15" s="14" t="s">
        <v>99</v>
      </c>
      <c r="AC15" s="14" t="s">
        <v>682</v>
      </c>
      <c r="AD15" s="14" t="s">
        <v>683</v>
      </c>
      <c r="AE15" s="14" t="s">
        <v>684</v>
      </c>
      <c r="AF15" s="14" t="s">
        <v>99</v>
      </c>
      <c r="AG15" s="14">
        <v>33.0</v>
      </c>
      <c r="AH15" s="14">
        <v>6.0</v>
      </c>
      <c r="AI15" s="14">
        <v>7.0</v>
      </c>
      <c r="AJ15" s="14">
        <v>0.0</v>
      </c>
      <c r="AK15" s="14">
        <v>28.0</v>
      </c>
      <c r="AL15" s="14" t="s">
        <v>685</v>
      </c>
      <c r="AM15" s="14" t="s">
        <v>686</v>
      </c>
      <c r="AN15" s="14" t="s">
        <v>687</v>
      </c>
      <c r="AO15" s="14" t="s">
        <v>688</v>
      </c>
      <c r="AP15" s="14" t="s">
        <v>99</v>
      </c>
      <c r="AQ15" s="14" t="s">
        <v>99</v>
      </c>
      <c r="AR15" s="14" t="s">
        <v>689</v>
      </c>
      <c r="AS15" s="14" t="s">
        <v>690</v>
      </c>
      <c r="AT15" s="14" t="s">
        <v>691</v>
      </c>
      <c r="AU15" s="14">
        <v>2018.0</v>
      </c>
      <c r="AV15" s="14">
        <v>11.0</v>
      </c>
      <c r="AW15" s="14" t="s">
        <v>99</v>
      </c>
      <c r="AX15" s="14" t="s">
        <v>99</v>
      </c>
      <c r="AY15" s="14" t="s">
        <v>99</v>
      </c>
      <c r="AZ15" s="14" t="s">
        <v>99</v>
      </c>
      <c r="BA15" s="14" t="s">
        <v>99</v>
      </c>
      <c r="BB15" s="14" t="s">
        <v>99</v>
      </c>
      <c r="BC15" s="14" t="s">
        <v>99</v>
      </c>
      <c r="BD15" s="14" t="s">
        <v>99</v>
      </c>
      <c r="BE15" s="14" t="s">
        <v>692</v>
      </c>
      <c r="BF15" s="15" t="str">
        <f>HYPERLINK("http://dx.doi.org/10.1177/1940082918769460","http://dx.doi.org/10.1177/1940082918769460")</f>
        <v>http://dx.doi.org/10.1177/1940082918769460</v>
      </c>
      <c r="BG15" s="14" t="s">
        <v>99</v>
      </c>
      <c r="BH15" s="14" t="s">
        <v>99</v>
      </c>
      <c r="BI15" s="14">
        <v>8.0</v>
      </c>
      <c r="BJ15" s="14" t="s">
        <v>693</v>
      </c>
      <c r="BK15" s="14" t="s">
        <v>122</v>
      </c>
      <c r="BL15" s="14" t="s">
        <v>694</v>
      </c>
      <c r="BM15" s="14" t="s">
        <v>695</v>
      </c>
      <c r="BN15" s="14" t="s">
        <v>99</v>
      </c>
      <c r="BO15" s="14" t="s">
        <v>238</v>
      </c>
      <c r="BP15" s="14" t="s">
        <v>99</v>
      </c>
      <c r="BQ15" s="14" t="s">
        <v>99</v>
      </c>
      <c r="BR15" s="14" t="s">
        <v>124</v>
      </c>
      <c r="BS15" s="14" t="s">
        <v>696</v>
      </c>
      <c r="BT15" s="14" t="str">
        <f>HYPERLINK("https%3A%2F%2Fwww.webofscience.com%2Fwos%2Fwoscc%2Ffull-record%2FWOS:000437507600001","View Full Record in Web of Science")</f>
        <v>View Full Record in Web of Science</v>
      </c>
    </row>
    <row r="16" ht="12.75" customHeight="1">
      <c r="A16" s="14" t="s">
        <v>97</v>
      </c>
      <c r="B16" s="14" t="s">
        <v>697</v>
      </c>
      <c r="C16" s="14" t="s">
        <v>99</v>
      </c>
      <c r="D16" s="14" t="s">
        <v>99</v>
      </c>
      <c r="E16" s="14" t="s">
        <v>99</v>
      </c>
      <c r="F16" s="14" t="s">
        <v>698</v>
      </c>
      <c r="G16" s="14" t="s">
        <v>99</v>
      </c>
      <c r="H16" s="14" t="s">
        <v>99</v>
      </c>
      <c r="I16" s="14" t="s">
        <v>699</v>
      </c>
      <c r="J16" s="14" t="s">
        <v>700</v>
      </c>
      <c r="K16" s="14" t="s">
        <v>99</v>
      </c>
      <c r="L16" s="14" t="s">
        <v>99</v>
      </c>
      <c r="M16" s="14" t="s">
        <v>103</v>
      </c>
      <c r="N16" s="14" t="s">
        <v>104</v>
      </c>
      <c r="O16" s="14" t="s">
        <v>99</v>
      </c>
      <c r="P16" s="14" t="s">
        <v>99</v>
      </c>
      <c r="Q16" s="14" t="s">
        <v>99</v>
      </c>
      <c r="R16" s="14" t="s">
        <v>99</v>
      </c>
      <c r="S16" s="14" t="s">
        <v>99</v>
      </c>
      <c r="T16" s="14" t="s">
        <v>99</v>
      </c>
      <c r="U16" s="14" t="s">
        <v>701</v>
      </c>
      <c r="V16" s="14" t="s">
        <v>702</v>
      </c>
      <c r="W16" s="14" t="s">
        <v>703</v>
      </c>
      <c r="X16" s="14" t="s">
        <v>704</v>
      </c>
      <c r="Y16" s="14" t="s">
        <v>705</v>
      </c>
      <c r="Z16" s="14" t="s">
        <v>706</v>
      </c>
      <c r="AA16" s="14" t="s">
        <v>707</v>
      </c>
      <c r="AB16" s="14" t="s">
        <v>708</v>
      </c>
      <c r="AC16" s="14" t="s">
        <v>709</v>
      </c>
      <c r="AD16" s="14" t="s">
        <v>709</v>
      </c>
      <c r="AE16" s="14" t="s">
        <v>710</v>
      </c>
      <c r="AF16" s="14" t="s">
        <v>99</v>
      </c>
      <c r="AG16" s="14">
        <v>65.0</v>
      </c>
      <c r="AH16" s="14">
        <v>30.0</v>
      </c>
      <c r="AI16" s="14">
        <v>35.0</v>
      </c>
      <c r="AJ16" s="14">
        <v>0.0</v>
      </c>
      <c r="AK16" s="14">
        <v>96.0</v>
      </c>
      <c r="AL16" s="14" t="s">
        <v>711</v>
      </c>
      <c r="AM16" s="14" t="s">
        <v>712</v>
      </c>
      <c r="AN16" s="14" t="s">
        <v>713</v>
      </c>
      <c r="AO16" s="14" t="s">
        <v>714</v>
      </c>
      <c r="AP16" s="14" t="s">
        <v>715</v>
      </c>
      <c r="AQ16" s="14" t="s">
        <v>99</v>
      </c>
      <c r="AR16" s="14" t="s">
        <v>716</v>
      </c>
      <c r="AS16" s="14" t="s">
        <v>717</v>
      </c>
      <c r="AT16" s="14" t="s">
        <v>718</v>
      </c>
      <c r="AU16" s="14">
        <v>2018.0</v>
      </c>
      <c r="AV16" s="14">
        <v>94.0</v>
      </c>
      <c r="AW16" s="14">
        <v>2.0</v>
      </c>
      <c r="AX16" s="14" t="s">
        <v>99</v>
      </c>
      <c r="AY16" s="14" t="s">
        <v>99</v>
      </c>
      <c r="AZ16" s="14" t="s">
        <v>99</v>
      </c>
      <c r="BA16" s="14" t="s">
        <v>99</v>
      </c>
      <c r="BB16" s="14">
        <v>213.0</v>
      </c>
      <c r="BC16" s="14">
        <v>228.0</v>
      </c>
      <c r="BD16" s="14" t="s">
        <v>99</v>
      </c>
      <c r="BE16" s="14" t="s">
        <v>719</v>
      </c>
      <c r="BF16" s="15" t="str">
        <f>HYPERLINK("http://dx.doi.org/10.5343/bms.2017.1061","http://dx.doi.org/10.5343/bms.2017.1061")</f>
        <v>http://dx.doi.org/10.5343/bms.2017.1061</v>
      </c>
      <c r="BG16" s="14" t="s">
        <v>99</v>
      </c>
      <c r="BH16" s="14" t="s">
        <v>99</v>
      </c>
      <c r="BI16" s="14">
        <v>16.0</v>
      </c>
      <c r="BJ16" s="14" t="s">
        <v>720</v>
      </c>
      <c r="BK16" s="14" t="s">
        <v>122</v>
      </c>
      <c r="BL16" s="14" t="s">
        <v>720</v>
      </c>
      <c r="BM16" s="14" t="s">
        <v>721</v>
      </c>
      <c r="BN16" s="14" t="s">
        <v>99</v>
      </c>
      <c r="BO16" s="14" t="s">
        <v>354</v>
      </c>
      <c r="BP16" s="14" t="s">
        <v>99</v>
      </c>
      <c r="BQ16" s="14" t="s">
        <v>99</v>
      </c>
      <c r="BR16" s="14" t="s">
        <v>124</v>
      </c>
      <c r="BS16" s="14" t="s">
        <v>722</v>
      </c>
      <c r="BT16" s="14" t="str">
        <f>HYPERLINK("https%3A%2F%2Fwww.webofscience.com%2Fwos%2Fwoscc%2Ffull-record%2FWOS:000439017000005","View Full Record in Web of Science")</f>
        <v>View Full Record in Web of Science</v>
      </c>
    </row>
    <row r="17" ht="12.75" customHeight="1">
      <c r="A17" s="14" t="s">
        <v>97</v>
      </c>
      <c r="B17" s="14" t="s">
        <v>723</v>
      </c>
      <c r="C17" s="14" t="s">
        <v>99</v>
      </c>
      <c r="D17" s="14" t="s">
        <v>99</v>
      </c>
      <c r="E17" s="14" t="s">
        <v>99</v>
      </c>
      <c r="F17" s="14" t="s">
        <v>724</v>
      </c>
      <c r="G17" s="14" t="s">
        <v>99</v>
      </c>
      <c r="H17" s="14" t="s">
        <v>99</v>
      </c>
      <c r="I17" s="14" t="s">
        <v>725</v>
      </c>
      <c r="J17" s="14" t="s">
        <v>726</v>
      </c>
      <c r="K17" s="14" t="s">
        <v>99</v>
      </c>
      <c r="L17" s="14" t="s">
        <v>99</v>
      </c>
      <c r="M17" s="14" t="s">
        <v>103</v>
      </c>
      <c r="N17" s="14" t="s">
        <v>104</v>
      </c>
      <c r="O17" s="14" t="s">
        <v>99</v>
      </c>
      <c r="P17" s="14" t="s">
        <v>99</v>
      </c>
      <c r="Q17" s="14" t="s">
        <v>99</v>
      </c>
      <c r="R17" s="14" t="s">
        <v>99</v>
      </c>
      <c r="S17" s="14" t="s">
        <v>99</v>
      </c>
      <c r="T17" s="14" t="s">
        <v>727</v>
      </c>
      <c r="U17" s="14" t="s">
        <v>728</v>
      </c>
      <c r="V17" s="14" t="s">
        <v>729</v>
      </c>
      <c r="W17" s="14" t="s">
        <v>730</v>
      </c>
      <c r="X17" s="14" t="s">
        <v>731</v>
      </c>
      <c r="Y17" s="14" t="s">
        <v>732</v>
      </c>
      <c r="Z17" s="14" t="s">
        <v>733</v>
      </c>
      <c r="AA17" s="14" t="s">
        <v>734</v>
      </c>
      <c r="AB17" s="14" t="s">
        <v>735</v>
      </c>
      <c r="AC17" s="14" t="s">
        <v>736</v>
      </c>
      <c r="AD17" s="14" t="s">
        <v>737</v>
      </c>
      <c r="AE17" s="14" t="s">
        <v>738</v>
      </c>
      <c r="AF17" s="14" t="s">
        <v>99</v>
      </c>
      <c r="AG17" s="14">
        <v>86.0</v>
      </c>
      <c r="AH17" s="14">
        <v>28.0</v>
      </c>
      <c r="AI17" s="14">
        <v>42.0</v>
      </c>
      <c r="AJ17" s="14">
        <v>1.0</v>
      </c>
      <c r="AK17" s="14">
        <v>181.0</v>
      </c>
      <c r="AL17" s="14" t="s">
        <v>341</v>
      </c>
      <c r="AM17" s="14" t="s">
        <v>342</v>
      </c>
      <c r="AN17" s="14" t="s">
        <v>343</v>
      </c>
      <c r="AO17" s="14" t="s">
        <v>739</v>
      </c>
      <c r="AP17" s="14" t="s">
        <v>740</v>
      </c>
      <c r="AQ17" s="14" t="s">
        <v>99</v>
      </c>
      <c r="AR17" s="14" t="s">
        <v>741</v>
      </c>
      <c r="AS17" s="14" t="s">
        <v>742</v>
      </c>
      <c r="AT17" s="14" t="s">
        <v>718</v>
      </c>
      <c r="AU17" s="14">
        <v>2018.0</v>
      </c>
      <c r="AV17" s="14">
        <v>24.0</v>
      </c>
      <c r="AW17" s="14">
        <v>4.0</v>
      </c>
      <c r="AX17" s="14" t="s">
        <v>99</v>
      </c>
      <c r="AY17" s="14" t="s">
        <v>99</v>
      </c>
      <c r="AZ17" s="14" t="s">
        <v>99</v>
      </c>
      <c r="BA17" s="14" t="s">
        <v>99</v>
      </c>
      <c r="BB17" s="14">
        <v>497.0</v>
      </c>
      <c r="BC17" s="14">
        <v>508.0</v>
      </c>
      <c r="BD17" s="14" t="s">
        <v>99</v>
      </c>
      <c r="BE17" s="14" t="s">
        <v>743</v>
      </c>
      <c r="BF17" s="15" t="str">
        <f>HYPERLINK("http://dx.doi.org/10.1111/ddi.12693","http://dx.doi.org/10.1111/ddi.12693")</f>
        <v>http://dx.doi.org/10.1111/ddi.12693</v>
      </c>
      <c r="BG17" s="14" t="s">
        <v>99</v>
      </c>
      <c r="BH17" s="14" t="s">
        <v>99</v>
      </c>
      <c r="BI17" s="14">
        <v>12.0</v>
      </c>
      <c r="BJ17" s="14" t="s">
        <v>550</v>
      </c>
      <c r="BK17" s="14" t="s">
        <v>122</v>
      </c>
      <c r="BL17" s="14" t="s">
        <v>352</v>
      </c>
      <c r="BM17" s="14" t="s">
        <v>744</v>
      </c>
      <c r="BN17" s="14" t="s">
        <v>99</v>
      </c>
      <c r="BO17" s="14" t="s">
        <v>354</v>
      </c>
      <c r="BP17" s="14" t="s">
        <v>99</v>
      </c>
      <c r="BQ17" s="14" t="s">
        <v>99</v>
      </c>
      <c r="BR17" s="14" t="s">
        <v>124</v>
      </c>
      <c r="BS17" s="14" t="s">
        <v>745</v>
      </c>
      <c r="BT17" s="14" t="str">
        <f>HYPERLINK("https%3A%2F%2Fwww.webofscience.com%2Fwos%2Fwoscc%2Ffull-record%2FWOS:000427246300007","View Full Record in Web of Science")</f>
        <v>View Full Record in Web of Science</v>
      </c>
    </row>
    <row r="18" ht="12.75" customHeight="1">
      <c r="A18" s="14" t="s">
        <v>97</v>
      </c>
      <c r="B18" s="14" t="s">
        <v>746</v>
      </c>
      <c r="C18" s="14" t="s">
        <v>99</v>
      </c>
      <c r="D18" s="14" t="s">
        <v>99</v>
      </c>
      <c r="E18" s="14" t="s">
        <v>99</v>
      </c>
      <c r="F18" s="14" t="s">
        <v>747</v>
      </c>
      <c r="G18" s="14" t="s">
        <v>99</v>
      </c>
      <c r="H18" s="14" t="s">
        <v>99</v>
      </c>
      <c r="I18" s="14" t="s">
        <v>748</v>
      </c>
      <c r="J18" s="14" t="s">
        <v>749</v>
      </c>
      <c r="K18" s="14" t="s">
        <v>99</v>
      </c>
      <c r="L18" s="14" t="s">
        <v>99</v>
      </c>
      <c r="M18" s="14" t="s">
        <v>103</v>
      </c>
      <c r="N18" s="14" t="s">
        <v>104</v>
      </c>
      <c r="O18" s="14" t="s">
        <v>99</v>
      </c>
      <c r="P18" s="14" t="s">
        <v>99</v>
      </c>
      <c r="Q18" s="14" t="s">
        <v>99</v>
      </c>
      <c r="R18" s="14" t="s">
        <v>99</v>
      </c>
      <c r="S18" s="14" t="s">
        <v>99</v>
      </c>
      <c r="T18" s="14" t="s">
        <v>750</v>
      </c>
      <c r="U18" s="14" t="s">
        <v>751</v>
      </c>
      <c r="V18" s="14" t="s">
        <v>752</v>
      </c>
      <c r="W18" s="14" t="s">
        <v>753</v>
      </c>
      <c r="X18" s="14" t="s">
        <v>754</v>
      </c>
      <c r="Y18" s="14" t="s">
        <v>755</v>
      </c>
      <c r="Z18" s="14" t="s">
        <v>756</v>
      </c>
      <c r="AA18" s="14" t="s">
        <v>757</v>
      </c>
      <c r="AB18" s="14" t="s">
        <v>758</v>
      </c>
      <c r="AC18" s="14" t="s">
        <v>759</v>
      </c>
      <c r="AD18" s="14" t="s">
        <v>760</v>
      </c>
      <c r="AE18" s="14" t="s">
        <v>761</v>
      </c>
      <c r="AF18" s="14" t="s">
        <v>99</v>
      </c>
      <c r="AG18" s="14">
        <v>64.0</v>
      </c>
      <c r="AH18" s="14">
        <v>17.0</v>
      </c>
      <c r="AI18" s="14">
        <v>20.0</v>
      </c>
      <c r="AJ18" s="14">
        <v>1.0</v>
      </c>
      <c r="AK18" s="14">
        <v>55.0</v>
      </c>
      <c r="AL18" s="14" t="s">
        <v>762</v>
      </c>
      <c r="AM18" s="14" t="s">
        <v>763</v>
      </c>
      <c r="AN18" s="14" t="s">
        <v>764</v>
      </c>
      <c r="AO18" s="14" t="s">
        <v>765</v>
      </c>
      <c r="AP18" s="14" t="s">
        <v>766</v>
      </c>
      <c r="AQ18" s="14" t="s">
        <v>99</v>
      </c>
      <c r="AR18" s="14" t="s">
        <v>767</v>
      </c>
      <c r="AS18" s="14" t="s">
        <v>768</v>
      </c>
      <c r="AT18" s="14" t="s">
        <v>769</v>
      </c>
      <c r="AU18" s="14">
        <v>2018.0</v>
      </c>
      <c r="AV18" s="14">
        <v>590.0</v>
      </c>
      <c r="AW18" s="14" t="s">
        <v>99</v>
      </c>
      <c r="AX18" s="14" t="s">
        <v>99</v>
      </c>
      <c r="AY18" s="14" t="s">
        <v>99</v>
      </c>
      <c r="AZ18" s="14" t="s">
        <v>99</v>
      </c>
      <c r="BA18" s="14" t="s">
        <v>99</v>
      </c>
      <c r="BB18" s="14">
        <v>201.0</v>
      </c>
      <c r="BC18" s="14">
        <v>209.0</v>
      </c>
      <c r="BD18" s="14" t="s">
        <v>99</v>
      </c>
      <c r="BE18" s="14" t="s">
        <v>770</v>
      </c>
      <c r="BF18" s="15" t="str">
        <f>HYPERLINK("http://dx.doi.org/10.3354/meps12462","http://dx.doi.org/10.3354/meps12462")</f>
        <v>http://dx.doi.org/10.3354/meps12462</v>
      </c>
      <c r="BG18" s="14" t="s">
        <v>99</v>
      </c>
      <c r="BH18" s="14" t="s">
        <v>99</v>
      </c>
      <c r="BI18" s="14">
        <v>9.0</v>
      </c>
      <c r="BJ18" s="14" t="s">
        <v>301</v>
      </c>
      <c r="BK18" s="14" t="s">
        <v>122</v>
      </c>
      <c r="BL18" s="14" t="s">
        <v>303</v>
      </c>
      <c r="BM18" s="14" t="s">
        <v>771</v>
      </c>
      <c r="BN18" s="14" t="s">
        <v>99</v>
      </c>
      <c r="BO18" s="14" t="s">
        <v>99</v>
      </c>
      <c r="BP18" s="14" t="s">
        <v>99</v>
      </c>
      <c r="BQ18" s="14" t="s">
        <v>99</v>
      </c>
      <c r="BR18" s="14" t="s">
        <v>124</v>
      </c>
      <c r="BS18" s="14" t="s">
        <v>772</v>
      </c>
      <c r="BT18" s="14" t="str">
        <f>HYPERLINK("https%3A%2F%2Fwww.webofscience.com%2Fwos%2Fwoscc%2Ffull-record%2FWOS:000428817200014","View Full Record in Web of Science")</f>
        <v>View Full Record in Web of Science</v>
      </c>
    </row>
    <row r="19" ht="12.75" customHeight="1">
      <c r="A19" s="14" t="s">
        <v>97</v>
      </c>
      <c r="B19" s="14" t="s">
        <v>804</v>
      </c>
      <c r="C19" s="14" t="s">
        <v>99</v>
      </c>
      <c r="D19" s="14" t="s">
        <v>99</v>
      </c>
      <c r="E19" s="14" t="s">
        <v>99</v>
      </c>
      <c r="F19" s="14" t="s">
        <v>805</v>
      </c>
      <c r="G19" s="14" t="s">
        <v>99</v>
      </c>
      <c r="H19" s="14" t="s">
        <v>99</v>
      </c>
      <c r="I19" s="14" t="s">
        <v>806</v>
      </c>
      <c r="J19" s="14" t="s">
        <v>776</v>
      </c>
      <c r="K19" s="14" t="s">
        <v>99</v>
      </c>
      <c r="L19" s="14" t="s">
        <v>99</v>
      </c>
      <c r="M19" s="14" t="s">
        <v>103</v>
      </c>
      <c r="N19" s="14" t="s">
        <v>104</v>
      </c>
      <c r="O19" s="14" t="s">
        <v>99</v>
      </c>
      <c r="P19" s="14" t="s">
        <v>99</v>
      </c>
      <c r="Q19" s="14" t="s">
        <v>99</v>
      </c>
      <c r="R19" s="14" t="s">
        <v>99</v>
      </c>
      <c r="S19" s="14" t="s">
        <v>99</v>
      </c>
      <c r="T19" s="14" t="s">
        <v>807</v>
      </c>
      <c r="U19" s="14" t="s">
        <v>808</v>
      </c>
      <c r="V19" s="14" t="s">
        <v>809</v>
      </c>
      <c r="W19" s="14" t="s">
        <v>810</v>
      </c>
      <c r="X19" s="14" t="s">
        <v>811</v>
      </c>
      <c r="Y19" s="14" t="s">
        <v>812</v>
      </c>
      <c r="Z19" s="14" t="s">
        <v>813</v>
      </c>
      <c r="AA19" s="14" t="s">
        <v>814</v>
      </c>
      <c r="AB19" s="14" t="s">
        <v>815</v>
      </c>
      <c r="AC19" s="14" t="s">
        <v>816</v>
      </c>
      <c r="AD19" s="14" t="s">
        <v>817</v>
      </c>
      <c r="AE19" s="14" t="s">
        <v>818</v>
      </c>
      <c r="AF19" s="14" t="s">
        <v>99</v>
      </c>
      <c r="AG19" s="14">
        <v>45.0</v>
      </c>
      <c r="AH19" s="14">
        <v>162.0</v>
      </c>
      <c r="AI19" s="14">
        <v>188.0</v>
      </c>
      <c r="AJ19" s="14">
        <v>4.0</v>
      </c>
      <c r="AK19" s="14">
        <v>141.0</v>
      </c>
      <c r="AL19" s="14" t="s">
        <v>788</v>
      </c>
      <c r="AM19" s="14" t="s">
        <v>789</v>
      </c>
      <c r="AN19" s="14" t="s">
        <v>790</v>
      </c>
      <c r="AO19" s="14" t="s">
        <v>791</v>
      </c>
      <c r="AP19" s="14" t="s">
        <v>792</v>
      </c>
      <c r="AQ19" s="14" t="s">
        <v>99</v>
      </c>
      <c r="AR19" s="14" t="s">
        <v>793</v>
      </c>
      <c r="AS19" s="14" t="s">
        <v>794</v>
      </c>
      <c r="AT19" s="14" t="s">
        <v>819</v>
      </c>
      <c r="AU19" s="14">
        <v>2018.0</v>
      </c>
      <c r="AV19" s="14">
        <v>115.0</v>
      </c>
      <c r="AW19" s="14">
        <v>8.0</v>
      </c>
      <c r="AX19" s="14" t="s">
        <v>99</v>
      </c>
      <c r="AY19" s="14" t="s">
        <v>99</v>
      </c>
      <c r="AZ19" s="14" t="s">
        <v>99</v>
      </c>
      <c r="BA19" s="14" t="s">
        <v>99</v>
      </c>
      <c r="BB19" s="14">
        <v>1831.0</v>
      </c>
      <c r="BC19" s="14">
        <v>1836.0</v>
      </c>
      <c r="BD19" s="14" t="s">
        <v>99</v>
      </c>
      <c r="BE19" s="14" t="s">
        <v>820</v>
      </c>
      <c r="BF19" s="15" t="str">
        <f>HYPERLINK("http://dx.doi.org/10.1073/pnas.1711122115","http://dx.doi.org/10.1073/pnas.1711122115")</f>
        <v>http://dx.doi.org/10.1073/pnas.1711122115</v>
      </c>
      <c r="BG19" s="14" t="s">
        <v>99</v>
      </c>
      <c r="BH19" s="14" t="s">
        <v>99</v>
      </c>
      <c r="BI19" s="14">
        <v>6.0</v>
      </c>
      <c r="BJ19" s="14" t="s">
        <v>799</v>
      </c>
      <c r="BK19" s="14" t="s">
        <v>122</v>
      </c>
      <c r="BL19" s="14" t="s">
        <v>801</v>
      </c>
      <c r="BM19" s="14" t="s">
        <v>821</v>
      </c>
      <c r="BN19" s="14">
        <v>2.9358389E7</v>
      </c>
      <c r="BO19" s="14" t="s">
        <v>238</v>
      </c>
      <c r="BP19" s="14" t="s">
        <v>99</v>
      </c>
      <c r="BQ19" s="14" t="s">
        <v>99</v>
      </c>
      <c r="BR19" s="14" t="s">
        <v>124</v>
      </c>
      <c r="BS19" s="14" t="s">
        <v>822</v>
      </c>
      <c r="BT19" s="14" t="str">
        <f>HYPERLINK("https%3A%2F%2Fwww.webofscience.com%2Fwos%2Fwoscc%2Ffull-record%2FWOS:000425495000061","View Full Record in Web of Science")</f>
        <v>View Full Record in Web of Science</v>
      </c>
    </row>
    <row r="20" ht="12.75" customHeight="1">
      <c r="A20" s="14" t="s">
        <v>97</v>
      </c>
      <c r="B20" s="14" t="s">
        <v>823</v>
      </c>
      <c r="C20" s="14" t="s">
        <v>99</v>
      </c>
      <c r="D20" s="14" t="s">
        <v>99</v>
      </c>
      <c r="E20" s="14" t="s">
        <v>99</v>
      </c>
      <c r="F20" s="14" t="s">
        <v>824</v>
      </c>
      <c r="G20" s="14" t="s">
        <v>99</v>
      </c>
      <c r="H20" s="14" t="s">
        <v>99</v>
      </c>
      <c r="I20" s="14" t="s">
        <v>825</v>
      </c>
      <c r="J20" s="14" t="s">
        <v>826</v>
      </c>
      <c r="K20" s="14" t="s">
        <v>99</v>
      </c>
      <c r="L20" s="14" t="s">
        <v>99</v>
      </c>
      <c r="M20" s="14" t="s">
        <v>103</v>
      </c>
      <c r="N20" s="14" t="s">
        <v>104</v>
      </c>
      <c r="O20" s="14" t="s">
        <v>99</v>
      </c>
      <c r="P20" s="14" t="s">
        <v>99</v>
      </c>
      <c r="Q20" s="14" t="s">
        <v>99</v>
      </c>
      <c r="R20" s="14" t="s">
        <v>99</v>
      </c>
      <c r="S20" s="14" t="s">
        <v>99</v>
      </c>
      <c r="T20" s="14" t="s">
        <v>827</v>
      </c>
      <c r="U20" s="14" t="s">
        <v>828</v>
      </c>
      <c r="V20" s="14" t="s">
        <v>829</v>
      </c>
      <c r="W20" s="14" t="s">
        <v>830</v>
      </c>
      <c r="X20" s="14" t="s">
        <v>831</v>
      </c>
      <c r="Y20" s="14" t="s">
        <v>832</v>
      </c>
      <c r="Z20" s="14" t="s">
        <v>833</v>
      </c>
      <c r="AA20" s="14" t="s">
        <v>834</v>
      </c>
      <c r="AB20" s="14" t="s">
        <v>835</v>
      </c>
      <c r="AC20" s="14" t="s">
        <v>836</v>
      </c>
      <c r="AD20" s="14" t="s">
        <v>837</v>
      </c>
      <c r="AE20" s="14" t="s">
        <v>838</v>
      </c>
      <c r="AF20" s="14" t="s">
        <v>99</v>
      </c>
      <c r="AG20" s="14">
        <v>76.0</v>
      </c>
      <c r="AH20" s="14">
        <v>11.0</v>
      </c>
      <c r="AI20" s="14">
        <v>11.0</v>
      </c>
      <c r="AJ20" s="14">
        <v>0.0</v>
      </c>
      <c r="AK20" s="14">
        <v>16.0</v>
      </c>
      <c r="AL20" s="14" t="s">
        <v>341</v>
      </c>
      <c r="AM20" s="14" t="s">
        <v>342</v>
      </c>
      <c r="AN20" s="14" t="s">
        <v>343</v>
      </c>
      <c r="AO20" s="14" t="s">
        <v>839</v>
      </c>
      <c r="AP20" s="14" t="s">
        <v>840</v>
      </c>
      <c r="AQ20" s="14" t="s">
        <v>99</v>
      </c>
      <c r="AR20" s="14" t="s">
        <v>841</v>
      </c>
      <c r="AS20" s="14" t="s">
        <v>842</v>
      </c>
      <c r="AT20" s="14" t="s">
        <v>280</v>
      </c>
      <c r="AU20" s="14">
        <v>2018.0</v>
      </c>
      <c r="AV20" s="14">
        <v>28.0</v>
      </c>
      <c r="AW20" s="14">
        <v>1.0</v>
      </c>
      <c r="AX20" s="14" t="s">
        <v>99</v>
      </c>
      <c r="AY20" s="14" t="s">
        <v>99</v>
      </c>
      <c r="AZ20" s="14" t="s">
        <v>99</v>
      </c>
      <c r="BA20" s="14" t="s">
        <v>99</v>
      </c>
      <c r="BB20" s="14">
        <v>55.0</v>
      </c>
      <c r="BC20" s="14">
        <v>67.0</v>
      </c>
      <c r="BD20" s="14" t="s">
        <v>99</v>
      </c>
      <c r="BE20" s="14" t="s">
        <v>843</v>
      </c>
      <c r="BF20" s="15" t="str">
        <f>HYPERLINK("http://dx.doi.org/10.1002/aqc.2850","http://dx.doi.org/10.1002/aqc.2850")</f>
        <v>http://dx.doi.org/10.1002/aqc.2850</v>
      </c>
      <c r="BG20" s="14" t="s">
        <v>99</v>
      </c>
      <c r="BH20" s="14" t="s">
        <v>99</v>
      </c>
      <c r="BI20" s="14">
        <v>13.0</v>
      </c>
      <c r="BJ20" s="14" t="s">
        <v>844</v>
      </c>
      <c r="BK20" s="14" t="s">
        <v>122</v>
      </c>
      <c r="BL20" s="14" t="s">
        <v>845</v>
      </c>
      <c r="BM20" s="14" t="s">
        <v>846</v>
      </c>
      <c r="BN20" s="14" t="s">
        <v>99</v>
      </c>
      <c r="BO20" s="14" t="s">
        <v>99</v>
      </c>
      <c r="BP20" s="14" t="s">
        <v>99</v>
      </c>
      <c r="BQ20" s="14" t="s">
        <v>99</v>
      </c>
      <c r="BR20" s="14" t="s">
        <v>124</v>
      </c>
      <c r="BS20" s="14" t="s">
        <v>847</v>
      </c>
      <c r="BT20" s="14" t="str">
        <f>HYPERLINK("https%3A%2F%2Fwww.webofscience.com%2Fwos%2Fwoscc%2Ffull-record%2FWOS:000425121900007","View Full Record in Web of Science")</f>
        <v>View Full Record in Web of Science</v>
      </c>
    </row>
    <row r="21" ht="12.75" customHeight="1">
      <c r="A21" s="14" t="s">
        <v>97</v>
      </c>
      <c r="B21" s="14" t="s">
        <v>848</v>
      </c>
      <c r="C21" s="14" t="s">
        <v>99</v>
      </c>
      <c r="D21" s="14" t="s">
        <v>99</v>
      </c>
      <c r="E21" s="14" t="s">
        <v>99</v>
      </c>
      <c r="F21" s="14" t="s">
        <v>849</v>
      </c>
      <c r="G21" s="14" t="s">
        <v>99</v>
      </c>
      <c r="H21" s="14" t="s">
        <v>99</v>
      </c>
      <c r="I21" s="14" t="s">
        <v>850</v>
      </c>
      <c r="J21" s="14" t="s">
        <v>851</v>
      </c>
      <c r="K21" s="14" t="s">
        <v>99</v>
      </c>
      <c r="L21" s="14" t="s">
        <v>99</v>
      </c>
      <c r="M21" s="14" t="s">
        <v>103</v>
      </c>
      <c r="N21" s="14" t="s">
        <v>104</v>
      </c>
      <c r="O21" s="14" t="s">
        <v>99</v>
      </c>
      <c r="P21" s="14" t="s">
        <v>99</v>
      </c>
      <c r="Q21" s="14" t="s">
        <v>99</v>
      </c>
      <c r="R21" s="14" t="s">
        <v>99</v>
      </c>
      <c r="S21" s="14" t="s">
        <v>99</v>
      </c>
      <c r="T21" s="14" t="s">
        <v>852</v>
      </c>
      <c r="U21" s="14" t="s">
        <v>853</v>
      </c>
      <c r="V21" s="14" t="s">
        <v>854</v>
      </c>
      <c r="W21" s="14" t="s">
        <v>855</v>
      </c>
      <c r="X21" s="14" t="s">
        <v>856</v>
      </c>
      <c r="Y21" s="14" t="s">
        <v>857</v>
      </c>
      <c r="Z21" s="14" t="s">
        <v>858</v>
      </c>
      <c r="AA21" s="14" t="s">
        <v>859</v>
      </c>
      <c r="AB21" s="14" t="s">
        <v>860</v>
      </c>
      <c r="AC21" s="14" t="s">
        <v>861</v>
      </c>
      <c r="AD21" s="14" t="s">
        <v>862</v>
      </c>
      <c r="AE21" s="14" t="s">
        <v>863</v>
      </c>
      <c r="AF21" s="14" t="s">
        <v>99</v>
      </c>
      <c r="AG21" s="14">
        <v>58.0</v>
      </c>
      <c r="AH21" s="14">
        <v>64.0</v>
      </c>
      <c r="AI21" s="14">
        <v>71.0</v>
      </c>
      <c r="AJ21" s="14">
        <v>3.0</v>
      </c>
      <c r="AK21" s="14">
        <v>98.0</v>
      </c>
      <c r="AL21" s="14" t="s">
        <v>341</v>
      </c>
      <c r="AM21" s="14" t="s">
        <v>342</v>
      </c>
      <c r="AN21" s="14" t="s">
        <v>343</v>
      </c>
      <c r="AO21" s="14" t="s">
        <v>864</v>
      </c>
      <c r="AP21" s="14" t="s">
        <v>865</v>
      </c>
      <c r="AQ21" s="14" t="s">
        <v>99</v>
      </c>
      <c r="AR21" s="14" t="s">
        <v>866</v>
      </c>
      <c r="AS21" s="14" t="s">
        <v>867</v>
      </c>
      <c r="AT21" s="14" t="s">
        <v>280</v>
      </c>
      <c r="AU21" s="14">
        <v>2018.0</v>
      </c>
      <c r="AV21" s="14">
        <v>27.0</v>
      </c>
      <c r="AW21" s="14">
        <v>2.0</v>
      </c>
      <c r="AX21" s="14" t="s">
        <v>99</v>
      </c>
      <c r="AY21" s="14" t="s">
        <v>99</v>
      </c>
      <c r="AZ21" s="14" t="s">
        <v>99</v>
      </c>
      <c r="BA21" s="14" t="s">
        <v>99</v>
      </c>
      <c r="BB21" s="14">
        <v>213.0</v>
      </c>
      <c r="BC21" s="14">
        <v>222.0</v>
      </c>
      <c r="BD21" s="14" t="s">
        <v>99</v>
      </c>
      <c r="BE21" s="14" t="s">
        <v>868</v>
      </c>
      <c r="BF21" s="15" t="str">
        <f>HYPERLINK("http://dx.doi.org/10.1111/geb.12690","http://dx.doi.org/10.1111/geb.12690")</f>
        <v>http://dx.doi.org/10.1111/geb.12690</v>
      </c>
      <c r="BG21" s="14" t="s">
        <v>99</v>
      </c>
      <c r="BH21" s="14" t="s">
        <v>99</v>
      </c>
      <c r="BI21" s="14">
        <v>10.0</v>
      </c>
      <c r="BJ21" s="14" t="s">
        <v>869</v>
      </c>
      <c r="BK21" s="14" t="s">
        <v>122</v>
      </c>
      <c r="BL21" s="14" t="s">
        <v>870</v>
      </c>
      <c r="BM21" s="14" t="s">
        <v>871</v>
      </c>
      <c r="BN21" s="14" t="s">
        <v>99</v>
      </c>
      <c r="BO21" s="14" t="s">
        <v>99</v>
      </c>
      <c r="BP21" s="14" t="s">
        <v>99</v>
      </c>
      <c r="BQ21" s="14" t="s">
        <v>99</v>
      </c>
      <c r="BR21" s="14" t="s">
        <v>124</v>
      </c>
      <c r="BS21" s="14" t="s">
        <v>872</v>
      </c>
      <c r="BT21" s="14" t="str">
        <f>HYPERLINK("https%3A%2F%2Fwww.webofscience.com%2Fwos%2Fwoscc%2Ffull-record%2FWOS:000422750700005","View Full Record in Web of Science")</f>
        <v>View Full Record in Web of Science</v>
      </c>
    </row>
    <row r="22" ht="12.75" customHeight="1">
      <c r="A22" s="14" t="s">
        <v>97</v>
      </c>
      <c r="B22" s="14" t="s">
        <v>873</v>
      </c>
      <c r="C22" s="14" t="s">
        <v>99</v>
      </c>
      <c r="D22" s="14" t="s">
        <v>99</v>
      </c>
      <c r="E22" s="14" t="s">
        <v>99</v>
      </c>
      <c r="F22" s="14" t="s">
        <v>874</v>
      </c>
      <c r="G22" s="14" t="s">
        <v>99</v>
      </c>
      <c r="H22" s="14" t="s">
        <v>99</v>
      </c>
      <c r="I22" s="14" t="s">
        <v>875</v>
      </c>
      <c r="J22" s="14" t="s">
        <v>876</v>
      </c>
      <c r="K22" s="14" t="s">
        <v>99</v>
      </c>
      <c r="L22" s="14" t="s">
        <v>99</v>
      </c>
      <c r="M22" s="14" t="s">
        <v>103</v>
      </c>
      <c r="N22" s="14" t="s">
        <v>104</v>
      </c>
      <c r="O22" s="14" t="s">
        <v>99</v>
      </c>
      <c r="P22" s="14" t="s">
        <v>99</v>
      </c>
      <c r="Q22" s="14" t="s">
        <v>99</v>
      </c>
      <c r="R22" s="14" t="s">
        <v>99</v>
      </c>
      <c r="S22" s="14" t="s">
        <v>99</v>
      </c>
      <c r="T22" s="14" t="s">
        <v>877</v>
      </c>
      <c r="U22" s="14" t="s">
        <v>878</v>
      </c>
      <c r="V22" s="14" t="s">
        <v>879</v>
      </c>
      <c r="W22" s="14" t="s">
        <v>880</v>
      </c>
      <c r="X22" s="14" t="s">
        <v>881</v>
      </c>
      <c r="Y22" s="14" t="s">
        <v>882</v>
      </c>
      <c r="Z22" s="14" t="s">
        <v>883</v>
      </c>
      <c r="AA22" s="14" t="s">
        <v>884</v>
      </c>
      <c r="AB22" s="14" t="s">
        <v>885</v>
      </c>
      <c r="AC22" s="14" t="s">
        <v>886</v>
      </c>
      <c r="AD22" s="14" t="s">
        <v>887</v>
      </c>
      <c r="AE22" s="14" t="s">
        <v>888</v>
      </c>
      <c r="AF22" s="14" t="s">
        <v>99</v>
      </c>
      <c r="AG22" s="14">
        <v>87.0</v>
      </c>
      <c r="AH22" s="14">
        <v>59.0</v>
      </c>
      <c r="AI22" s="14">
        <v>68.0</v>
      </c>
      <c r="AJ22" s="14">
        <v>3.0</v>
      </c>
      <c r="AK22" s="14">
        <v>132.0</v>
      </c>
      <c r="AL22" s="14" t="s">
        <v>441</v>
      </c>
      <c r="AM22" s="14" t="s">
        <v>442</v>
      </c>
      <c r="AN22" s="14" t="s">
        <v>443</v>
      </c>
      <c r="AO22" s="14" t="s">
        <v>889</v>
      </c>
      <c r="AP22" s="14" t="s">
        <v>890</v>
      </c>
      <c r="AQ22" s="14" t="s">
        <v>99</v>
      </c>
      <c r="AR22" s="14" t="s">
        <v>891</v>
      </c>
      <c r="AS22" s="14" t="s">
        <v>892</v>
      </c>
      <c r="AT22" s="14" t="s">
        <v>280</v>
      </c>
      <c r="AU22" s="14">
        <v>2018.0</v>
      </c>
      <c r="AV22" s="14">
        <v>198.0</v>
      </c>
      <c r="AW22" s="14" t="s">
        <v>99</v>
      </c>
      <c r="AX22" s="14" t="s">
        <v>99</v>
      </c>
      <c r="AY22" s="14" t="s">
        <v>99</v>
      </c>
      <c r="AZ22" s="14" t="s">
        <v>99</v>
      </c>
      <c r="BA22" s="14" t="s">
        <v>99</v>
      </c>
      <c r="BB22" s="14">
        <v>78.0</v>
      </c>
      <c r="BC22" s="14">
        <v>85.0</v>
      </c>
      <c r="BD22" s="14" t="s">
        <v>99</v>
      </c>
      <c r="BE22" s="14" t="s">
        <v>893</v>
      </c>
      <c r="BF22" s="15" t="str">
        <f>HYPERLINK("http://dx.doi.org/10.1016/j.fishres.2017.10.012","http://dx.doi.org/10.1016/j.fishres.2017.10.012")</f>
        <v>http://dx.doi.org/10.1016/j.fishres.2017.10.012</v>
      </c>
      <c r="BG22" s="14" t="s">
        <v>99</v>
      </c>
      <c r="BH22" s="14" t="s">
        <v>99</v>
      </c>
      <c r="BI22" s="14">
        <v>8.0</v>
      </c>
      <c r="BJ22" s="14" t="s">
        <v>894</v>
      </c>
      <c r="BK22" s="14" t="s">
        <v>122</v>
      </c>
      <c r="BL22" s="14" t="s">
        <v>894</v>
      </c>
      <c r="BM22" s="14" t="s">
        <v>895</v>
      </c>
      <c r="BN22" s="14" t="s">
        <v>99</v>
      </c>
      <c r="BO22" s="14" t="s">
        <v>99</v>
      </c>
      <c r="BP22" s="14" t="s">
        <v>99</v>
      </c>
      <c r="BQ22" s="14" t="s">
        <v>99</v>
      </c>
      <c r="BR22" s="14" t="s">
        <v>124</v>
      </c>
      <c r="BS22" s="14" t="s">
        <v>896</v>
      </c>
      <c r="BT22" s="14" t="str">
        <f>HYPERLINK("https%3A%2F%2Fwww.webofscience.com%2Fwos%2Fwoscc%2Ffull-record%2FWOS:000416194200009","View Full Record in Web of Science")</f>
        <v>View Full Record in Web of Science</v>
      </c>
    </row>
    <row r="23" ht="12.75" customHeight="1">
      <c r="A23" s="14" t="s">
        <v>97</v>
      </c>
      <c r="B23" s="14" t="s">
        <v>897</v>
      </c>
      <c r="C23" s="14" t="s">
        <v>99</v>
      </c>
      <c r="D23" s="14" t="s">
        <v>99</v>
      </c>
      <c r="E23" s="14" t="s">
        <v>99</v>
      </c>
      <c r="F23" s="14" t="s">
        <v>898</v>
      </c>
      <c r="G23" s="14" t="s">
        <v>99</v>
      </c>
      <c r="H23" s="14" t="s">
        <v>99</v>
      </c>
      <c r="I23" s="14" t="s">
        <v>899</v>
      </c>
      <c r="J23" s="14" t="s">
        <v>900</v>
      </c>
      <c r="K23" s="14" t="s">
        <v>99</v>
      </c>
      <c r="L23" s="14" t="s">
        <v>99</v>
      </c>
      <c r="M23" s="14" t="s">
        <v>103</v>
      </c>
      <c r="N23" s="14" t="s">
        <v>104</v>
      </c>
      <c r="O23" s="14" t="s">
        <v>99</v>
      </c>
      <c r="P23" s="14" t="s">
        <v>99</v>
      </c>
      <c r="Q23" s="14" t="s">
        <v>99</v>
      </c>
      <c r="R23" s="14" t="s">
        <v>99</v>
      </c>
      <c r="S23" s="14" t="s">
        <v>99</v>
      </c>
      <c r="T23" s="14" t="s">
        <v>99</v>
      </c>
      <c r="U23" s="14" t="s">
        <v>901</v>
      </c>
      <c r="V23" s="14" t="s">
        <v>902</v>
      </c>
      <c r="W23" s="14" t="s">
        <v>903</v>
      </c>
      <c r="X23" s="14" t="s">
        <v>904</v>
      </c>
      <c r="Y23" s="14" t="s">
        <v>905</v>
      </c>
      <c r="Z23" s="14" t="s">
        <v>906</v>
      </c>
      <c r="AA23" s="14" t="s">
        <v>907</v>
      </c>
      <c r="AB23" s="14" t="s">
        <v>908</v>
      </c>
      <c r="AC23" s="14" t="s">
        <v>99</v>
      </c>
      <c r="AD23" s="14" t="s">
        <v>99</v>
      </c>
      <c r="AE23" s="14" t="s">
        <v>99</v>
      </c>
      <c r="AF23" s="14" t="s">
        <v>99</v>
      </c>
      <c r="AG23" s="14">
        <v>69.0</v>
      </c>
      <c r="AH23" s="14">
        <v>189.0</v>
      </c>
      <c r="AI23" s="14">
        <v>219.0</v>
      </c>
      <c r="AJ23" s="14">
        <v>10.0</v>
      </c>
      <c r="AK23" s="14">
        <v>224.0</v>
      </c>
      <c r="AL23" s="14" t="s">
        <v>909</v>
      </c>
      <c r="AM23" s="14" t="s">
        <v>910</v>
      </c>
      <c r="AN23" s="14" t="s">
        <v>911</v>
      </c>
      <c r="AO23" s="14" t="s">
        <v>912</v>
      </c>
      <c r="AP23" s="14" t="s">
        <v>913</v>
      </c>
      <c r="AQ23" s="14" t="s">
        <v>99</v>
      </c>
      <c r="AR23" s="14" t="s">
        <v>900</v>
      </c>
      <c r="AS23" s="14" t="s">
        <v>914</v>
      </c>
      <c r="AT23" s="14" t="s">
        <v>915</v>
      </c>
      <c r="AU23" s="14">
        <v>2018.0</v>
      </c>
      <c r="AV23" s="14">
        <v>553.0</v>
      </c>
      <c r="AW23" s="14">
        <v>7687.0</v>
      </c>
      <c r="AX23" s="14" t="s">
        <v>99</v>
      </c>
      <c r="AY23" s="14" t="s">
        <v>99</v>
      </c>
      <c r="AZ23" s="14" t="s">
        <v>99</v>
      </c>
      <c r="BA23" s="14" t="s">
        <v>99</v>
      </c>
      <c r="BB23" s="14">
        <v>199.0</v>
      </c>
      <c r="BC23" s="14" t="s">
        <v>916</v>
      </c>
      <c r="BD23" s="14" t="s">
        <v>99</v>
      </c>
      <c r="BE23" s="14" t="s">
        <v>917</v>
      </c>
      <c r="BF23" s="15" t="str">
        <f>HYPERLINK("http://dx.doi.org/10.1038/nature25139","http://dx.doi.org/10.1038/nature25139")</f>
        <v>http://dx.doi.org/10.1038/nature25139</v>
      </c>
      <c r="BG23" s="14" t="s">
        <v>99</v>
      </c>
      <c r="BH23" s="14" t="s">
        <v>99</v>
      </c>
      <c r="BI23" s="14">
        <v>18.0</v>
      </c>
      <c r="BJ23" s="14" t="s">
        <v>799</v>
      </c>
      <c r="BK23" s="14" t="s">
        <v>800</v>
      </c>
      <c r="BL23" s="14" t="s">
        <v>801</v>
      </c>
      <c r="BM23" s="14" t="s">
        <v>918</v>
      </c>
      <c r="BN23" s="14">
        <v>2.9258291E7</v>
      </c>
      <c r="BO23" s="14" t="s">
        <v>99</v>
      </c>
      <c r="BP23" s="14" t="s">
        <v>99</v>
      </c>
      <c r="BQ23" s="14" t="s">
        <v>99</v>
      </c>
      <c r="BR23" s="14" t="s">
        <v>124</v>
      </c>
      <c r="BS23" s="14" t="s">
        <v>919</v>
      </c>
      <c r="BT23" s="14" t="str">
        <f>HYPERLINK("https%3A%2F%2Fwww.webofscience.com%2Fwos%2Fwoscc%2Ffull-record%2FWOS:000419794800035","View Full Record in Web of Science")</f>
        <v>View Full Record in Web of Science</v>
      </c>
    </row>
    <row r="24" ht="12.75" customHeight="1">
      <c r="A24" s="14" t="s">
        <v>97</v>
      </c>
      <c r="B24" s="14" t="s">
        <v>994</v>
      </c>
      <c r="C24" s="14" t="s">
        <v>99</v>
      </c>
      <c r="D24" s="14" t="s">
        <v>99</v>
      </c>
      <c r="E24" s="14" t="s">
        <v>99</v>
      </c>
      <c r="F24" s="14" t="s">
        <v>995</v>
      </c>
      <c r="G24" s="14" t="s">
        <v>99</v>
      </c>
      <c r="H24" s="14" t="s">
        <v>99</v>
      </c>
      <c r="I24" s="14" t="s">
        <v>996</v>
      </c>
      <c r="J24" s="14" t="s">
        <v>997</v>
      </c>
      <c r="K24" s="14" t="s">
        <v>99</v>
      </c>
      <c r="L24" s="14" t="s">
        <v>99</v>
      </c>
      <c r="M24" s="14" t="s">
        <v>103</v>
      </c>
      <c r="N24" s="14" t="s">
        <v>104</v>
      </c>
      <c r="O24" s="14" t="s">
        <v>99</v>
      </c>
      <c r="P24" s="14" t="s">
        <v>99</v>
      </c>
      <c r="Q24" s="14" t="s">
        <v>99</v>
      </c>
      <c r="R24" s="14" t="s">
        <v>99</v>
      </c>
      <c r="S24" s="14" t="s">
        <v>99</v>
      </c>
      <c r="T24" s="14" t="s">
        <v>99</v>
      </c>
      <c r="U24" s="14" t="s">
        <v>998</v>
      </c>
      <c r="V24" s="14" t="s">
        <v>999</v>
      </c>
      <c r="W24" s="14" t="s">
        <v>1000</v>
      </c>
      <c r="X24" s="14" t="s">
        <v>1001</v>
      </c>
      <c r="Y24" s="14" t="s">
        <v>1002</v>
      </c>
      <c r="Z24" s="14" t="s">
        <v>1003</v>
      </c>
      <c r="AA24" s="14" t="s">
        <v>1004</v>
      </c>
      <c r="AB24" s="14" t="s">
        <v>1005</v>
      </c>
      <c r="AC24" s="14" t="s">
        <v>1006</v>
      </c>
      <c r="AD24" s="14" t="s">
        <v>1007</v>
      </c>
      <c r="AE24" s="14" t="s">
        <v>1008</v>
      </c>
      <c r="AF24" s="14" t="s">
        <v>99</v>
      </c>
      <c r="AG24" s="14">
        <v>82.0</v>
      </c>
      <c r="AH24" s="14">
        <v>141.0</v>
      </c>
      <c r="AI24" s="14">
        <v>158.0</v>
      </c>
      <c r="AJ24" s="14">
        <v>7.0</v>
      </c>
      <c r="AK24" s="14">
        <v>122.0</v>
      </c>
      <c r="AL24" s="14" t="s">
        <v>909</v>
      </c>
      <c r="AM24" s="14" t="s">
        <v>910</v>
      </c>
      <c r="AN24" s="14" t="s">
        <v>911</v>
      </c>
      <c r="AO24" s="14" t="s">
        <v>99</v>
      </c>
      <c r="AP24" s="14" t="s">
        <v>1009</v>
      </c>
      <c r="AQ24" s="14" t="s">
        <v>99</v>
      </c>
      <c r="AR24" s="14" t="s">
        <v>1010</v>
      </c>
      <c r="AS24" s="14" t="s">
        <v>1011</v>
      </c>
      <c r="AT24" s="14" t="s">
        <v>1012</v>
      </c>
      <c r="AU24" s="14">
        <v>2017.0</v>
      </c>
      <c r="AV24" s="14">
        <v>8.0</v>
      </c>
      <c r="AW24" s="14" t="s">
        <v>99</v>
      </c>
      <c r="AX24" s="14" t="s">
        <v>99</v>
      </c>
      <c r="AY24" s="14" t="s">
        <v>99</v>
      </c>
      <c r="AZ24" s="14" t="s">
        <v>99</v>
      </c>
      <c r="BA24" s="14" t="s">
        <v>99</v>
      </c>
      <c r="BB24" s="14" t="s">
        <v>99</v>
      </c>
      <c r="BC24" s="14" t="s">
        <v>99</v>
      </c>
      <c r="BD24" s="14">
        <v>1966.0</v>
      </c>
      <c r="BE24" s="14" t="s">
        <v>1013</v>
      </c>
      <c r="BF24" s="15" t="str">
        <f>HYPERLINK("http://dx.doi.org/10.1038/s41467-017-01997-0","http://dx.doi.org/10.1038/s41467-017-01997-0")</f>
        <v>http://dx.doi.org/10.1038/s41467-017-01997-0</v>
      </c>
      <c r="BG24" s="14" t="s">
        <v>99</v>
      </c>
      <c r="BH24" s="14" t="s">
        <v>99</v>
      </c>
      <c r="BI24" s="14">
        <v>11.0</v>
      </c>
      <c r="BJ24" s="14" t="s">
        <v>799</v>
      </c>
      <c r="BK24" s="14" t="s">
        <v>122</v>
      </c>
      <c r="BL24" s="14" t="s">
        <v>801</v>
      </c>
      <c r="BM24" s="14" t="s">
        <v>1014</v>
      </c>
      <c r="BN24" s="14">
        <v>2.9259276E7</v>
      </c>
      <c r="BO24" s="14" t="s">
        <v>1015</v>
      </c>
      <c r="BP24" s="14" t="s">
        <v>99</v>
      </c>
      <c r="BQ24" s="14" t="s">
        <v>99</v>
      </c>
      <c r="BR24" s="14" t="s">
        <v>124</v>
      </c>
      <c r="BS24" s="14" t="s">
        <v>1016</v>
      </c>
      <c r="BT24" s="14" t="str">
        <f>HYPERLINK("https%3A%2F%2Fwww.webofscience.com%2Fwos%2Fwoscc%2Ffull-record%2FWOS:000418334200001","View Full Record in Web of Science")</f>
        <v>View Full Record in Web of Science</v>
      </c>
    </row>
    <row r="25" ht="12.75" customHeight="1">
      <c r="A25" s="14" t="s">
        <v>97</v>
      </c>
      <c r="B25" s="14" t="s">
        <v>1045</v>
      </c>
      <c r="C25" s="14" t="s">
        <v>99</v>
      </c>
      <c r="D25" s="14" t="s">
        <v>99</v>
      </c>
      <c r="E25" s="14" t="s">
        <v>99</v>
      </c>
      <c r="F25" s="14" t="s">
        <v>1046</v>
      </c>
      <c r="G25" s="14" t="s">
        <v>99</v>
      </c>
      <c r="H25" s="14" t="s">
        <v>99</v>
      </c>
      <c r="I25" s="14" t="s">
        <v>1047</v>
      </c>
      <c r="J25" s="14" t="s">
        <v>1048</v>
      </c>
      <c r="K25" s="14" t="s">
        <v>99</v>
      </c>
      <c r="L25" s="14" t="s">
        <v>99</v>
      </c>
      <c r="M25" s="14" t="s">
        <v>103</v>
      </c>
      <c r="N25" s="14" t="s">
        <v>104</v>
      </c>
      <c r="O25" s="14" t="s">
        <v>99</v>
      </c>
      <c r="P25" s="14" t="s">
        <v>99</v>
      </c>
      <c r="Q25" s="14" t="s">
        <v>99</v>
      </c>
      <c r="R25" s="14" t="s">
        <v>99</v>
      </c>
      <c r="S25" s="14" t="s">
        <v>99</v>
      </c>
      <c r="T25" s="14" t="s">
        <v>1049</v>
      </c>
      <c r="U25" s="14" t="s">
        <v>1050</v>
      </c>
      <c r="V25" s="14" t="s">
        <v>1051</v>
      </c>
      <c r="W25" s="14" t="s">
        <v>1052</v>
      </c>
      <c r="X25" s="14" t="s">
        <v>99</v>
      </c>
      <c r="Y25" s="14" t="s">
        <v>1053</v>
      </c>
      <c r="Z25" s="14" t="s">
        <v>1054</v>
      </c>
      <c r="AA25" s="14" t="s">
        <v>99</v>
      </c>
      <c r="AB25" s="14" t="s">
        <v>99</v>
      </c>
      <c r="AC25" s="14" t="s">
        <v>99</v>
      </c>
      <c r="AD25" s="14" t="s">
        <v>99</v>
      </c>
      <c r="AE25" s="14" t="s">
        <v>99</v>
      </c>
      <c r="AF25" s="14" t="s">
        <v>99</v>
      </c>
      <c r="AG25" s="14">
        <v>47.0</v>
      </c>
      <c r="AH25" s="14">
        <v>24.0</v>
      </c>
      <c r="AI25" s="14">
        <v>27.0</v>
      </c>
      <c r="AJ25" s="14">
        <v>0.0</v>
      </c>
      <c r="AK25" s="14">
        <v>62.0</v>
      </c>
      <c r="AL25" s="14" t="s">
        <v>493</v>
      </c>
      <c r="AM25" s="14" t="s">
        <v>468</v>
      </c>
      <c r="AN25" s="14" t="s">
        <v>635</v>
      </c>
      <c r="AO25" s="14" t="s">
        <v>1055</v>
      </c>
      <c r="AP25" s="14" t="s">
        <v>1056</v>
      </c>
      <c r="AQ25" s="14" t="s">
        <v>99</v>
      </c>
      <c r="AR25" s="14" t="s">
        <v>1048</v>
      </c>
      <c r="AS25" s="14" t="s">
        <v>1057</v>
      </c>
      <c r="AT25" s="14" t="s">
        <v>1058</v>
      </c>
      <c r="AU25" s="14">
        <v>2017.0</v>
      </c>
      <c r="AV25" s="14">
        <v>69.0</v>
      </c>
      <c r="AW25" s="14" t="s">
        <v>99</v>
      </c>
      <c r="AX25" s="14" t="s">
        <v>99</v>
      </c>
      <c r="AY25" s="14" t="s">
        <v>99</v>
      </c>
      <c r="AZ25" s="14" t="s">
        <v>99</v>
      </c>
      <c r="BA25" s="14" t="s">
        <v>99</v>
      </c>
      <c r="BB25" s="14">
        <v>408.0</v>
      </c>
      <c r="BC25" s="14">
        <v>416.0</v>
      </c>
      <c r="BD25" s="14" t="s">
        <v>99</v>
      </c>
      <c r="BE25" s="14" t="s">
        <v>1059</v>
      </c>
      <c r="BF25" s="15" t="str">
        <f>HYPERLINK("http://dx.doi.org/10.1016/j.landusepol.2017.09.045","http://dx.doi.org/10.1016/j.landusepol.2017.09.045")</f>
        <v>http://dx.doi.org/10.1016/j.landusepol.2017.09.045</v>
      </c>
      <c r="BG25" s="14" t="s">
        <v>99</v>
      </c>
      <c r="BH25" s="14" t="s">
        <v>99</v>
      </c>
      <c r="BI25" s="14">
        <v>9.0</v>
      </c>
      <c r="BJ25" s="14" t="s">
        <v>1060</v>
      </c>
      <c r="BK25" s="14" t="s">
        <v>643</v>
      </c>
      <c r="BL25" s="14" t="s">
        <v>260</v>
      </c>
      <c r="BM25" s="14" t="s">
        <v>1061</v>
      </c>
      <c r="BN25" s="14" t="s">
        <v>99</v>
      </c>
      <c r="BO25" s="14" t="s">
        <v>99</v>
      </c>
      <c r="BP25" s="14" t="s">
        <v>99</v>
      </c>
      <c r="BQ25" s="14" t="s">
        <v>99</v>
      </c>
      <c r="BR25" s="14" t="s">
        <v>124</v>
      </c>
      <c r="BS25" s="14" t="s">
        <v>1062</v>
      </c>
      <c r="BT25" s="14" t="str">
        <f>HYPERLINK("https%3A%2F%2Fwww.webofscience.com%2Fwos%2Fwoscc%2Ffull-record%2FWOS:000414881200040","View Full Record in Web of Science")</f>
        <v>View Full Record in Web of Science</v>
      </c>
    </row>
    <row r="26" ht="12.75" customHeight="1">
      <c r="A26" s="14" t="s">
        <v>97</v>
      </c>
      <c r="B26" s="14" t="s">
        <v>1081</v>
      </c>
      <c r="C26" s="14" t="s">
        <v>99</v>
      </c>
      <c r="D26" s="14" t="s">
        <v>99</v>
      </c>
      <c r="E26" s="14" t="s">
        <v>99</v>
      </c>
      <c r="F26" s="14" t="s">
        <v>1082</v>
      </c>
      <c r="G26" s="14" t="s">
        <v>99</v>
      </c>
      <c r="H26" s="14" t="s">
        <v>99</v>
      </c>
      <c r="I26" s="14" t="s">
        <v>1083</v>
      </c>
      <c r="J26" s="14" t="s">
        <v>328</v>
      </c>
      <c r="K26" s="14" t="s">
        <v>99</v>
      </c>
      <c r="L26" s="14" t="s">
        <v>99</v>
      </c>
      <c r="M26" s="14" t="s">
        <v>103</v>
      </c>
      <c r="N26" s="14" t="s">
        <v>104</v>
      </c>
      <c r="O26" s="14" t="s">
        <v>99</v>
      </c>
      <c r="P26" s="14" t="s">
        <v>99</v>
      </c>
      <c r="Q26" s="14" t="s">
        <v>99</v>
      </c>
      <c r="R26" s="14" t="s">
        <v>99</v>
      </c>
      <c r="S26" s="14" t="s">
        <v>99</v>
      </c>
      <c r="T26" s="14" t="s">
        <v>1084</v>
      </c>
      <c r="U26" s="14" t="s">
        <v>1085</v>
      </c>
      <c r="V26" s="14" t="s">
        <v>1086</v>
      </c>
      <c r="W26" s="14" t="s">
        <v>1087</v>
      </c>
      <c r="X26" s="14" t="s">
        <v>1088</v>
      </c>
      <c r="Y26" s="14" t="s">
        <v>1089</v>
      </c>
      <c r="Z26" s="14" t="s">
        <v>1090</v>
      </c>
      <c r="AA26" s="14" t="s">
        <v>1091</v>
      </c>
      <c r="AB26" s="14" t="s">
        <v>1092</v>
      </c>
      <c r="AC26" s="14" t="s">
        <v>1093</v>
      </c>
      <c r="AD26" s="14" t="s">
        <v>1094</v>
      </c>
      <c r="AE26" s="14" t="s">
        <v>1095</v>
      </c>
      <c r="AF26" s="14" t="s">
        <v>99</v>
      </c>
      <c r="AG26" s="14">
        <v>73.0</v>
      </c>
      <c r="AH26" s="14">
        <v>295.0</v>
      </c>
      <c r="AI26" s="14">
        <v>329.0</v>
      </c>
      <c r="AJ26" s="14">
        <v>19.0</v>
      </c>
      <c r="AK26" s="14">
        <v>347.0</v>
      </c>
      <c r="AL26" s="14" t="s">
        <v>341</v>
      </c>
      <c r="AM26" s="14" t="s">
        <v>342</v>
      </c>
      <c r="AN26" s="14" t="s">
        <v>343</v>
      </c>
      <c r="AO26" s="14" t="s">
        <v>344</v>
      </c>
      <c r="AP26" s="14" t="s">
        <v>345</v>
      </c>
      <c r="AQ26" s="14" t="s">
        <v>99</v>
      </c>
      <c r="AR26" s="14" t="s">
        <v>346</v>
      </c>
      <c r="AS26" s="14" t="s">
        <v>347</v>
      </c>
      <c r="AT26" s="14" t="s">
        <v>348</v>
      </c>
      <c r="AU26" s="14">
        <v>2017.0</v>
      </c>
      <c r="AV26" s="14">
        <v>23.0</v>
      </c>
      <c r="AW26" s="14">
        <v>11.0</v>
      </c>
      <c r="AX26" s="14" t="s">
        <v>99</v>
      </c>
      <c r="AY26" s="14" t="s">
        <v>99</v>
      </c>
      <c r="AZ26" s="14" t="s">
        <v>99</v>
      </c>
      <c r="BA26" s="14" t="s">
        <v>99</v>
      </c>
      <c r="BB26" s="14">
        <v>4946.0</v>
      </c>
      <c r="BC26" s="14">
        <v>4957.0</v>
      </c>
      <c r="BD26" s="14" t="s">
        <v>99</v>
      </c>
      <c r="BE26" s="14" t="s">
        <v>1096</v>
      </c>
      <c r="BF26" s="15" t="str">
        <f>HYPERLINK("http://dx.doi.org/10.1111/gcb.13714","http://dx.doi.org/10.1111/gcb.13714")</f>
        <v>http://dx.doi.org/10.1111/gcb.13714</v>
      </c>
      <c r="BG26" s="14" t="s">
        <v>99</v>
      </c>
      <c r="BH26" s="14" t="s">
        <v>99</v>
      </c>
      <c r="BI26" s="14">
        <v>12.0</v>
      </c>
      <c r="BJ26" s="14" t="s">
        <v>351</v>
      </c>
      <c r="BK26" s="14" t="s">
        <v>122</v>
      </c>
      <c r="BL26" s="14" t="s">
        <v>352</v>
      </c>
      <c r="BM26" s="14" t="s">
        <v>1097</v>
      </c>
      <c r="BN26" s="14">
        <v>2.8488295E7</v>
      </c>
      <c r="BO26" s="14" t="s">
        <v>373</v>
      </c>
      <c r="BP26" s="14" t="s">
        <v>99</v>
      </c>
      <c r="BQ26" s="14" t="s">
        <v>99</v>
      </c>
      <c r="BR26" s="14" t="s">
        <v>124</v>
      </c>
      <c r="BS26" s="14" t="s">
        <v>1098</v>
      </c>
      <c r="BT26" s="14" t="str">
        <f>HYPERLINK("https%3A%2F%2Fwww.webofscience.com%2Fwos%2Fwoscc%2Ffull-record%2FWOS:000412322700041","View Full Record in Web of Science")</f>
        <v>View Full Record in Web of Science</v>
      </c>
    </row>
    <row r="27" ht="12.75" customHeight="1">
      <c r="A27" s="14" t="s">
        <v>97</v>
      </c>
      <c r="B27" s="14" t="s">
        <v>1099</v>
      </c>
      <c r="C27" s="14" t="s">
        <v>99</v>
      </c>
      <c r="D27" s="14" t="s">
        <v>99</v>
      </c>
      <c r="E27" s="14" t="s">
        <v>99</v>
      </c>
      <c r="F27" s="14" t="s">
        <v>1100</v>
      </c>
      <c r="G27" s="14" t="s">
        <v>99</v>
      </c>
      <c r="H27" s="14" t="s">
        <v>99</v>
      </c>
      <c r="I27" s="14" t="s">
        <v>1101</v>
      </c>
      <c r="J27" s="14" t="s">
        <v>1102</v>
      </c>
      <c r="K27" s="14" t="s">
        <v>99</v>
      </c>
      <c r="L27" s="14" t="s">
        <v>99</v>
      </c>
      <c r="M27" s="14" t="s">
        <v>103</v>
      </c>
      <c r="N27" s="14" t="s">
        <v>104</v>
      </c>
      <c r="O27" s="14" t="s">
        <v>99</v>
      </c>
      <c r="P27" s="14" t="s">
        <v>99</v>
      </c>
      <c r="Q27" s="14" t="s">
        <v>99</v>
      </c>
      <c r="R27" s="14" t="s">
        <v>99</v>
      </c>
      <c r="S27" s="14" t="s">
        <v>99</v>
      </c>
      <c r="T27" s="14" t="s">
        <v>1103</v>
      </c>
      <c r="U27" s="14" t="s">
        <v>1104</v>
      </c>
      <c r="V27" s="14" t="s">
        <v>1105</v>
      </c>
      <c r="W27" s="14" t="s">
        <v>1106</v>
      </c>
      <c r="X27" s="14" t="s">
        <v>1107</v>
      </c>
      <c r="Y27" s="14" t="s">
        <v>1108</v>
      </c>
      <c r="Z27" s="14" t="s">
        <v>1109</v>
      </c>
      <c r="AA27" s="14" t="s">
        <v>1110</v>
      </c>
      <c r="AB27" s="14" t="s">
        <v>1111</v>
      </c>
      <c r="AC27" s="14" t="s">
        <v>99</v>
      </c>
      <c r="AD27" s="14" t="s">
        <v>99</v>
      </c>
      <c r="AE27" s="14" t="s">
        <v>99</v>
      </c>
      <c r="AF27" s="14" t="s">
        <v>99</v>
      </c>
      <c r="AG27" s="14">
        <v>64.0</v>
      </c>
      <c r="AH27" s="14">
        <v>11.0</v>
      </c>
      <c r="AI27" s="14">
        <v>11.0</v>
      </c>
      <c r="AJ27" s="14">
        <v>0.0</v>
      </c>
      <c r="AK27" s="14">
        <v>48.0</v>
      </c>
      <c r="AL27" s="14" t="s">
        <v>493</v>
      </c>
      <c r="AM27" s="14" t="s">
        <v>468</v>
      </c>
      <c r="AN27" s="14" t="s">
        <v>635</v>
      </c>
      <c r="AO27" s="14" t="s">
        <v>1112</v>
      </c>
      <c r="AP27" s="14" t="s">
        <v>1113</v>
      </c>
      <c r="AQ27" s="14" t="s">
        <v>99</v>
      </c>
      <c r="AR27" s="14" t="s">
        <v>1114</v>
      </c>
      <c r="AS27" s="14" t="s">
        <v>1115</v>
      </c>
      <c r="AT27" s="14" t="s">
        <v>348</v>
      </c>
      <c r="AU27" s="14">
        <v>2017.0</v>
      </c>
      <c r="AV27" s="14">
        <v>215.0</v>
      </c>
      <c r="AW27" s="14" t="s">
        <v>99</v>
      </c>
      <c r="AX27" s="14" t="s">
        <v>99</v>
      </c>
      <c r="AY27" s="14" t="s">
        <v>99</v>
      </c>
      <c r="AZ27" s="14" t="s">
        <v>99</v>
      </c>
      <c r="BA27" s="14" t="s">
        <v>99</v>
      </c>
      <c r="BB27" s="14">
        <v>19.0</v>
      </c>
      <c r="BC27" s="14">
        <v>29.0</v>
      </c>
      <c r="BD27" s="14" t="s">
        <v>99</v>
      </c>
      <c r="BE27" s="14" t="s">
        <v>1116</v>
      </c>
      <c r="BF27" s="15" t="str">
        <f>HYPERLINK("http://dx.doi.org/10.1016/j.biocon.2017.08.032","http://dx.doi.org/10.1016/j.biocon.2017.08.032")</f>
        <v>http://dx.doi.org/10.1016/j.biocon.2017.08.032</v>
      </c>
      <c r="BG27" s="14" t="s">
        <v>99</v>
      </c>
      <c r="BH27" s="14" t="s">
        <v>99</v>
      </c>
      <c r="BI27" s="14">
        <v>11.0</v>
      </c>
      <c r="BJ27" s="14" t="s">
        <v>351</v>
      </c>
      <c r="BK27" s="14" t="s">
        <v>122</v>
      </c>
      <c r="BL27" s="14" t="s">
        <v>352</v>
      </c>
      <c r="BM27" s="14" t="s">
        <v>1117</v>
      </c>
      <c r="BN27" s="14" t="s">
        <v>99</v>
      </c>
      <c r="BO27" s="14" t="s">
        <v>1118</v>
      </c>
      <c r="BP27" s="14" t="s">
        <v>99</v>
      </c>
      <c r="BQ27" s="14" t="s">
        <v>99</v>
      </c>
      <c r="BR27" s="14" t="s">
        <v>124</v>
      </c>
      <c r="BS27" s="14" t="s">
        <v>1119</v>
      </c>
      <c r="BT27" s="14" t="str">
        <f>HYPERLINK("https%3A%2F%2Fwww.webofscience.com%2Fwos%2Fwoscc%2Ffull-record%2FWOS:000414883000003","View Full Record in Web of Science")</f>
        <v>View Full Record in Web of Science</v>
      </c>
    </row>
    <row r="28" ht="12.75" customHeight="1">
      <c r="A28" s="14" t="s">
        <v>97</v>
      </c>
      <c r="B28" s="14" t="s">
        <v>1120</v>
      </c>
      <c r="C28" s="14" t="s">
        <v>99</v>
      </c>
      <c r="D28" s="14" t="s">
        <v>99</v>
      </c>
      <c r="E28" s="14" t="s">
        <v>99</v>
      </c>
      <c r="F28" s="14" t="s">
        <v>1121</v>
      </c>
      <c r="G28" s="14" t="s">
        <v>99</v>
      </c>
      <c r="H28" s="14" t="s">
        <v>99</v>
      </c>
      <c r="I28" s="14" t="s">
        <v>1122</v>
      </c>
      <c r="J28" s="14" t="s">
        <v>1123</v>
      </c>
      <c r="K28" s="14" t="s">
        <v>99</v>
      </c>
      <c r="L28" s="14" t="s">
        <v>99</v>
      </c>
      <c r="M28" s="14" t="s">
        <v>103</v>
      </c>
      <c r="N28" s="14" t="s">
        <v>104</v>
      </c>
      <c r="O28" s="14" t="s">
        <v>99</v>
      </c>
      <c r="P28" s="14" t="s">
        <v>99</v>
      </c>
      <c r="Q28" s="14" t="s">
        <v>99</v>
      </c>
      <c r="R28" s="14" t="s">
        <v>99</v>
      </c>
      <c r="S28" s="14" t="s">
        <v>99</v>
      </c>
      <c r="T28" s="14" t="s">
        <v>1124</v>
      </c>
      <c r="U28" s="14" t="s">
        <v>1125</v>
      </c>
      <c r="V28" s="14" t="s">
        <v>1126</v>
      </c>
      <c r="W28" s="14" t="s">
        <v>1127</v>
      </c>
      <c r="X28" s="14" t="s">
        <v>1128</v>
      </c>
      <c r="Y28" s="14" t="s">
        <v>1129</v>
      </c>
      <c r="Z28" s="14" t="s">
        <v>1130</v>
      </c>
      <c r="AA28" s="14" t="s">
        <v>1131</v>
      </c>
      <c r="AB28" s="14" t="s">
        <v>1132</v>
      </c>
      <c r="AC28" s="14" t="s">
        <v>1133</v>
      </c>
      <c r="AD28" s="14" t="s">
        <v>1134</v>
      </c>
      <c r="AE28" s="14" t="s">
        <v>1135</v>
      </c>
      <c r="AF28" s="14" t="s">
        <v>99</v>
      </c>
      <c r="AG28" s="14">
        <v>72.0</v>
      </c>
      <c r="AH28" s="14">
        <v>45.0</v>
      </c>
      <c r="AI28" s="14">
        <v>48.0</v>
      </c>
      <c r="AJ28" s="14">
        <v>4.0</v>
      </c>
      <c r="AK28" s="14">
        <v>113.0</v>
      </c>
      <c r="AL28" s="14" t="s">
        <v>341</v>
      </c>
      <c r="AM28" s="14" t="s">
        <v>342</v>
      </c>
      <c r="AN28" s="14" t="s">
        <v>343</v>
      </c>
      <c r="AO28" s="14" t="s">
        <v>1136</v>
      </c>
      <c r="AP28" s="14" t="s">
        <v>1137</v>
      </c>
      <c r="AQ28" s="14" t="s">
        <v>99</v>
      </c>
      <c r="AR28" s="14" t="s">
        <v>1138</v>
      </c>
      <c r="AS28" s="14" t="s">
        <v>1139</v>
      </c>
      <c r="AT28" s="14" t="s">
        <v>348</v>
      </c>
      <c r="AU28" s="14">
        <v>2017.0</v>
      </c>
      <c r="AV28" s="14">
        <v>28.0</v>
      </c>
      <c r="AW28" s="14">
        <v>6.0</v>
      </c>
      <c r="AX28" s="14" t="s">
        <v>99</v>
      </c>
      <c r="AY28" s="14" t="s">
        <v>99</v>
      </c>
      <c r="AZ28" s="14" t="s">
        <v>99</v>
      </c>
      <c r="BA28" s="14" t="s">
        <v>99</v>
      </c>
      <c r="BB28" s="14">
        <v>1220.0</v>
      </c>
      <c r="BC28" s="14">
        <v>1229.0</v>
      </c>
      <c r="BD28" s="14" t="s">
        <v>99</v>
      </c>
      <c r="BE28" s="14" t="s">
        <v>1140</v>
      </c>
      <c r="BF28" s="15" t="str">
        <f>HYPERLINK("http://dx.doi.org/10.1111/jvs.12579","http://dx.doi.org/10.1111/jvs.12579")</f>
        <v>http://dx.doi.org/10.1111/jvs.12579</v>
      </c>
      <c r="BG28" s="14" t="s">
        <v>99</v>
      </c>
      <c r="BH28" s="14" t="s">
        <v>99</v>
      </c>
      <c r="BI28" s="14">
        <v>10.0</v>
      </c>
      <c r="BJ28" s="14" t="s">
        <v>1141</v>
      </c>
      <c r="BK28" s="14" t="s">
        <v>122</v>
      </c>
      <c r="BL28" s="14" t="s">
        <v>1142</v>
      </c>
      <c r="BM28" s="14" t="s">
        <v>1143</v>
      </c>
      <c r="BN28" s="14" t="s">
        <v>99</v>
      </c>
      <c r="BO28" s="14" t="s">
        <v>99</v>
      </c>
      <c r="BP28" s="14" t="s">
        <v>99</v>
      </c>
      <c r="BQ28" s="14" t="s">
        <v>99</v>
      </c>
      <c r="BR28" s="14" t="s">
        <v>124</v>
      </c>
      <c r="BS28" s="14" t="s">
        <v>1144</v>
      </c>
      <c r="BT28" s="14" t="str">
        <f>HYPERLINK("https%3A%2F%2Fwww.webofscience.com%2Fwos%2Fwoscc%2Ffull-record%2FWOS:000423189400012","View Full Record in Web of Science")</f>
        <v>View Full Record in Web of Science</v>
      </c>
    </row>
    <row r="29" ht="12.75" customHeight="1">
      <c r="A29" s="14" t="s">
        <v>97</v>
      </c>
      <c r="B29" s="14" t="s">
        <v>1145</v>
      </c>
      <c r="C29" s="14" t="s">
        <v>99</v>
      </c>
      <c r="D29" s="14" t="s">
        <v>99</v>
      </c>
      <c r="E29" s="14" t="s">
        <v>99</v>
      </c>
      <c r="F29" s="14" t="s">
        <v>1146</v>
      </c>
      <c r="G29" s="14" t="s">
        <v>99</v>
      </c>
      <c r="H29" s="14" t="s">
        <v>99</v>
      </c>
      <c r="I29" s="14" t="s">
        <v>1147</v>
      </c>
      <c r="J29" s="14" t="s">
        <v>456</v>
      </c>
      <c r="K29" s="14" t="s">
        <v>99</v>
      </c>
      <c r="L29" s="14" t="s">
        <v>99</v>
      </c>
      <c r="M29" s="14" t="s">
        <v>103</v>
      </c>
      <c r="N29" s="14" t="s">
        <v>104</v>
      </c>
      <c r="O29" s="14" t="s">
        <v>99</v>
      </c>
      <c r="P29" s="14" t="s">
        <v>99</v>
      </c>
      <c r="Q29" s="14" t="s">
        <v>99</v>
      </c>
      <c r="R29" s="14" t="s">
        <v>99</v>
      </c>
      <c r="S29" s="14" t="s">
        <v>99</v>
      </c>
      <c r="T29" s="14" t="s">
        <v>1148</v>
      </c>
      <c r="U29" s="14" t="s">
        <v>1149</v>
      </c>
      <c r="V29" s="14" t="s">
        <v>1150</v>
      </c>
      <c r="W29" s="14" t="s">
        <v>1151</v>
      </c>
      <c r="X29" s="14" t="s">
        <v>1152</v>
      </c>
      <c r="Y29" s="14" t="s">
        <v>1153</v>
      </c>
      <c r="Z29" s="14" t="s">
        <v>1154</v>
      </c>
      <c r="AA29" s="14" t="s">
        <v>1155</v>
      </c>
      <c r="AB29" s="14" t="s">
        <v>1156</v>
      </c>
      <c r="AC29" s="14" t="s">
        <v>1157</v>
      </c>
      <c r="AD29" s="14" t="s">
        <v>1158</v>
      </c>
      <c r="AE29" s="14" t="s">
        <v>1159</v>
      </c>
      <c r="AF29" s="14" t="s">
        <v>99</v>
      </c>
      <c r="AG29" s="14">
        <v>40.0</v>
      </c>
      <c r="AH29" s="14">
        <v>10.0</v>
      </c>
      <c r="AI29" s="14">
        <v>12.0</v>
      </c>
      <c r="AJ29" s="14">
        <v>0.0</v>
      </c>
      <c r="AK29" s="14">
        <v>36.0</v>
      </c>
      <c r="AL29" s="14" t="s">
        <v>467</v>
      </c>
      <c r="AM29" s="14" t="s">
        <v>468</v>
      </c>
      <c r="AN29" s="14" t="s">
        <v>469</v>
      </c>
      <c r="AO29" s="14" t="s">
        <v>470</v>
      </c>
      <c r="AP29" s="14" t="s">
        <v>471</v>
      </c>
      <c r="AQ29" s="14" t="s">
        <v>99</v>
      </c>
      <c r="AR29" s="14" t="s">
        <v>472</v>
      </c>
      <c r="AS29" s="14" t="s">
        <v>473</v>
      </c>
      <c r="AT29" s="14" t="s">
        <v>1160</v>
      </c>
      <c r="AU29" s="14">
        <v>2017.0</v>
      </c>
      <c r="AV29" s="14">
        <v>122.0</v>
      </c>
      <c r="AW29" s="14" t="s">
        <v>1161</v>
      </c>
      <c r="AX29" s="14" t="s">
        <v>99</v>
      </c>
      <c r="AY29" s="14" t="s">
        <v>99</v>
      </c>
      <c r="AZ29" s="14" t="s">
        <v>99</v>
      </c>
      <c r="BA29" s="14" t="s">
        <v>99</v>
      </c>
      <c r="BB29" s="14">
        <v>259.0</v>
      </c>
      <c r="BC29" s="14">
        <v>262.0</v>
      </c>
      <c r="BD29" s="14" t="s">
        <v>99</v>
      </c>
      <c r="BE29" s="14" t="s">
        <v>1162</v>
      </c>
      <c r="BF29" s="15" t="str">
        <f>HYPERLINK("http://dx.doi.org/10.1016/j.marpolbul.2017.06.054","http://dx.doi.org/10.1016/j.marpolbul.2017.06.054")</f>
        <v>http://dx.doi.org/10.1016/j.marpolbul.2017.06.054</v>
      </c>
      <c r="BG29" s="14" t="s">
        <v>99</v>
      </c>
      <c r="BH29" s="14" t="s">
        <v>99</v>
      </c>
      <c r="BI29" s="14">
        <v>4.0</v>
      </c>
      <c r="BJ29" s="14" t="s">
        <v>396</v>
      </c>
      <c r="BK29" s="14" t="s">
        <v>122</v>
      </c>
      <c r="BL29" s="14" t="s">
        <v>397</v>
      </c>
      <c r="BM29" s="14" t="s">
        <v>1163</v>
      </c>
      <c r="BN29" s="14">
        <v>2.8662981E7</v>
      </c>
      <c r="BO29" s="14" t="s">
        <v>99</v>
      </c>
      <c r="BP29" s="14" t="s">
        <v>99</v>
      </c>
      <c r="BQ29" s="14" t="s">
        <v>99</v>
      </c>
      <c r="BR29" s="14" t="s">
        <v>124</v>
      </c>
      <c r="BS29" s="14" t="s">
        <v>1164</v>
      </c>
      <c r="BT29" s="14" t="str">
        <f>HYPERLINK("https%3A%2F%2Fwww.webofscience.com%2Fwos%2Fwoscc%2Ffull-record%2FWOS:000408076900039","View Full Record in Web of Science")</f>
        <v>View Full Record in Web of Science</v>
      </c>
    </row>
    <row r="30" ht="12.75" customHeight="1">
      <c r="A30" s="14" t="s">
        <v>97</v>
      </c>
      <c r="B30" s="14" t="s">
        <v>1165</v>
      </c>
      <c r="C30" s="14" t="s">
        <v>99</v>
      </c>
      <c r="D30" s="14" t="s">
        <v>99</v>
      </c>
      <c r="E30" s="14" t="s">
        <v>99</v>
      </c>
      <c r="F30" s="14" t="s">
        <v>1166</v>
      </c>
      <c r="G30" s="14" t="s">
        <v>99</v>
      </c>
      <c r="H30" s="14" t="s">
        <v>99</v>
      </c>
      <c r="I30" s="14" t="s">
        <v>1167</v>
      </c>
      <c r="J30" s="14" t="s">
        <v>1168</v>
      </c>
      <c r="K30" s="14" t="s">
        <v>99</v>
      </c>
      <c r="L30" s="14" t="s">
        <v>99</v>
      </c>
      <c r="M30" s="14" t="s">
        <v>103</v>
      </c>
      <c r="N30" s="14" t="s">
        <v>104</v>
      </c>
      <c r="O30" s="14" t="s">
        <v>99</v>
      </c>
      <c r="P30" s="14" t="s">
        <v>99</v>
      </c>
      <c r="Q30" s="14" t="s">
        <v>99</v>
      </c>
      <c r="R30" s="14" t="s">
        <v>99</v>
      </c>
      <c r="S30" s="14" t="s">
        <v>99</v>
      </c>
      <c r="T30" s="14" t="s">
        <v>1169</v>
      </c>
      <c r="U30" s="14" t="s">
        <v>1170</v>
      </c>
      <c r="V30" s="14" t="s">
        <v>1171</v>
      </c>
      <c r="W30" s="14" t="s">
        <v>1172</v>
      </c>
      <c r="X30" s="14" t="s">
        <v>1173</v>
      </c>
      <c r="Y30" s="14" t="s">
        <v>1174</v>
      </c>
      <c r="Z30" s="14" t="s">
        <v>1175</v>
      </c>
      <c r="AA30" s="14" t="s">
        <v>99</v>
      </c>
      <c r="AB30" s="14" t="s">
        <v>99</v>
      </c>
      <c r="AC30" s="14" t="s">
        <v>1176</v>
      </c>
      <c r="AD30" s="14" t="s">
        <v>1176</v>
      </c>
      <c r="AE30" s="14" t="s">
        <v>1177</v>
      </c>
      <c r="AF30" s="14" t="s">
        <v>99</v>
      </c>
      <c r="AG30" s="14">
        <v>44.0</v>
      </c>
      <c r="AH30" s="14">
        <v>9.0</v>
      </c>
      <c r="AI30" s="14">
        <v>13.0</v>
      </c>
      <c r="AJ30" s="14">
        <v>1.0</v>
      </c>
      <c r="AK30" s="14">
        <v>44.0</v>
      </c>
      <c r="AL30" s="14" t="s">
        <v>341</v>
      </c>
      <c r="AM30" s="14" t="s">
        <v>342</v>
      </c>
      <c r="AN30" s="14" t="s">
        <v>343</v>
      </c>
      <c r="AO30" s="14" t="s">
        <v>1178</v>
      </c>
      <c r="AP30" s="14" t="s">
        <v>1179</v>
      </c>
      <c r="AQ30" s="14" t="s">
        <v>99</v>
      </c>
      <c r="AR30" s="14" t="s">
        <v>1180</v>
      </c>
      <c r="AS30" s="14" t="s">
        <v>1181</v>
      </c>
      <c r="AT30" s="14" t="s">
        <v>421</v>
      </c>
      <c r="AU30" s="14">
        <v>2017.0</v>
      </c>
      <c r="AV30" s="14">
        <v>88.0</v>
      </c>
      <c r="AW30" s="14">
        <v>3.0</v>
      </c>
      <c r="AX30" s="14" t="s">
        <v>99</v>
      </c>
      <c r="AY30" s="14" t="s">
        <v>99</v>
      </c>
      <c r="AZ30" s="14" t="s">
        <v>99</v>
      </c>
      <c r="BA30" s="14" t="s">
        <v>99</v>
      </c>
      <c r="BB30" s="14">
        <v>211.0</v>
      </c>
      <c r="BC30" s="14">
        <v>228.0</v>
      </c>
      <c r="BD30" s="14" t="s">
        <v>99</v>
      </c>
      <c r="BE30" s="14" t="s">
        <v>1182</v>
      </c>
      <c r="BF30" s="15" t="str">
        <f>HYPERLINK("http://dx.doi.org/10.1111/jofo.12204","http://dx.doi.org/10.1111/jofo.12204")</f>
        <v>http://dx.doi.org/10.1111/jofo.12204</v>
      </c>
      <c r="BG30" s="14" t="s">
        <v>99</v>
      </c>
      <c r="BH30" s="14" t="s">
        <v>99</v>
      </c>
      <c r="BI30" s="14">
        <v>18.0</v>
      </c>
      <c r="BJ30" s="14" t="s">
        <v>1183</v>
      </c>
      <c r="BK30" s="14" t="s">
        <v>122</v>
      </c>
      <c r="BL30" s="14" t="s">
        <v>121</v>
      </c>
      <c r="BM30" s="14" t="s">
        <v>1184</v>
      </c>
      <c r="BN30" s="14" t="s">
        <v>99</v>
      </c>
      <c r="BO30" s="14" t="s">
        <v>99</v>
      </c>
      <c r="BP30" s="14" t="s">
        <v>99</v>
      </c>
      <c r="BQ30" s="14" t="s">
        <v>99</v>
      </c>
      <c r="BR30" s="14" t="s">
        <v>124</v>
      </c>
      <c r="BS30" s="14" t="s">
        <v>1185</v>
      </c>
      <c r="BT30" s="14" t="str">
        <f>HYPERLINK("https%3A%2F%2Fwww.webofscience.com%2Fwos%2Fwoscc%2Ffull-record%2FWOS:000411343300001","View Full Record in Web of Science")</f>
        <v>View Full Record in Web of Science</v>
      </c>
    </row>
    <row r="31" ht="12.75" customHeight="1">
      <c r="A31" s="14" t="s">
        <v>97</v>
      </c>
      <c r="B31" s="14" t="s">
        <v>1186</v>
      </c>
      <c r="C31" s="14" t="s">
        <v>99</v>
      </c>
      <c r="D31" s="14" t="s">
        <v>99</v>
      </c>
      <c r="E31" s="14" t="s">
        <v>99</v>
      </c>
      <c r="F31" s="14" t="s">
        <v>1187</v>
      </c>
      <c r="G31" s="14" t="s">
        <v>99</v>
      </c>
      <c r="H31" s="14" t="s">
        <v>99</v>
      </c>
      <c r="I31" s="14" t="s">
        <v>1188</v>
      </c>
      <c r="J31" s="14" t="s">
        <v>749</v>
      </c>
      <c r="K31" s="14" t="s">
        <v>99</v>
      </c>
      <c r="L31" s="14" t="s">
        <v>99</v>
      </c>
      <c r="M31" s="14" t="s">
        <v>103</v>
      </c>
      <c r="N31" s="14" t="s">
        <v>104</v>
      </c>
      <c r="O31" s="14" t="s">
        <v>99</v>
      </c>
      <c r="P31" s="14" t="s">
        <v>99</v>
      </c>
      <c r="Q31" s="14" t="s">
        <v>99</v>
      </c>
      <c r="R31" s="14" t="s">
        <v>99</v>
      </c>
      <c r="S31" s="14" t="s">
        <v>99</v>
      </c>
      <c r="T31" s="14" t="s">
        <v>1189</v>
      </c>
      <c r="U31" s="14" t="s">
        <v>1190</v>
      </c>
      <c r="V31" s="14" t="s">
        <v>1191</v>
      </c>
      <c r="W31" s="14" t="s">
        <v>1192</v>
      </c>
      <c r="X31" s="14" t="s">
        <v>1193</v>
      </c>
      <c r="Y31" s="14" t="s">
        <v>1194</v>
      </c>
      <c r="Z31" s="14" t="s">
        <v>1195</v>
      </c>
      <c r="AA31" s="14" t="s">
        <v>1196</v>
      </c>
      <c r="AB31" s="14" t="s">
        <v>1197</v>
      </c>
      <c r="AC31" s="14" t="s">
        <v>1198</v>
      </c>
      <c r="AD31" s="14" t="s">
        <v>1199</v>
      </c>
      <c r="AE31" s="14" t="s">
        <v>1200</v>
      </c>
      <c r="AF31" s="14" t="s">
        <v>99</v>
      </c>
      <c r="AG31" s="14">
        <v>77.0</v>
      </c>
      <c r="AH31" s="14">
        <v>30.0</v>
      </c>
      <c r="AI31" s="14">
        <v>32.0</v>
      </c>
      <c r="AJ31" s="14">
        <v>0.0</v>
      </c>
      <c r="AK31" s="14">
        <v>64.0</v>
      </c>
      <c r="AL31" s="14" t="s">
        <v>762</v>
      </c>
      <c r="AM31" s="14" t="s">
        <v>763</v>
      </c>
      <c r="AN31" s="14" t="s">
        <v>764</v>
      </c>
      <c r="AO31" s="14" t="s">
        <v>765</v>
      </c>
      <c r="AP31" s="14" t="s">
        <v>766</v>
      </c>
      <c r="AQ31" s="14" t="s">
        <v>99</v>
      </c>
      <c r="AR31" s="14" t="s">
        <v>767</v>
      </c>
      <c r="AS31" s="14" t="s">
        <v>768</v>
      </c>
      <c r="AT31" s="14" t="s">
        <v>1201</v>
      </c>
      <c r="AU31" s="14">
        <v>2017.0</v>
      </c>
      <c r="AV31" s="14">
        <v>576.0</v>
      </c>
      <c r="AW31" s="14" t="s">
        <v>99</v>
      </c>
      <c r="AX31" s="14" t="s">
        <v>99</v>
      </c>
      <c r="AY31" s="14" t="s">
        <v>99</v>
      </c>
      <c r="AZ31" s="14" t="s">
        <v>99</v>
      </c>
      <c r="BA31" s="14" t="s">
        <v>99</v>
      </c>
      <c r="BB31" s="14">
        <v>55.0</v>
      </c>
      <c r="BC31" s="14">
        <v>68.0</v>
      </c>
      <c r="BD31" s="14" t="s">
        <v>99</v>
      </c>
      <c r="BE31" s="14" t="s">
        <v>1202</v>
      </c>
      <c r="BF31" s="15" t="str">
        <f>HYPERLINK("http://dx.doi.org/10.3354/meps12221","http://dx.doi.org/10.3354/meps12221")</f>
        <v>http://dx.doi.org/10.3354/meps12221</v>
      </c>
      <c r="BG31" s="14" t="s">
        <v>99</v>
      </c>
      <c r="BH31" s="14" t="s">
        <v>99</v>
      </c>
      <c r="BI31" s="14">
        <v>14.0</v>
      </c>
      <c r="BJ31" s="14" t="s">
        <v>301</v>
      </c>
      <c r="BK31" s="14" t="s">
        <v>800</v>
      </c>
      <c r="BL31" s="14" t="s">
        <v>303</v>
      </c>
      <c r="BM31" s="14" t="s">
        <v>1203</v>
      </c>
      <c r="BN31" s="14" t="s">
        <v>99</v>
      </c>
      <c r="BO31" s="14" t="s">
        <v>99</v>
      </c>
      <c r="BP31" s="14" t="s">
        <v>99</v>
      </c>
      <c r="BQ31" s="14" t="s">
        <v>99</v>
      </c>
      <c r="BR31" s="14" t="s">
        <v>124</v>
      </c>
      <c r="BS31" s="14" t="s">
        <v>1204</v>
      </c>
      <c r="BT31" s="14" t="str">
        <f>HYPERLINK("https%3A%2F%2Fwww.webofscience.com%2Fwos%2Fwoscc%2Ffull-record%2FWOS:000407443900005","View Full Record in Web of Science")</f>
        <v>View Full Record in Web of Science</v>
      </c>
    </row>
    <row r="32" ht="12.75" customHeight="1">
      <c r="A32" s="14" t="s">
        <v>97</v>
      </c>
      <c r="B32" s="14" t="s">
        <v>1253</v>
      </c>
      <c r="C32" s="14" t="s">
        <v>99</v>
      </c>
      <c r="D32" s="14" t="s">
        <v>99</v>
      </c>
      <c r="E32" s="14" t="s">
        <v>99</v>
      </c>
      <c r="F32" s="14" t="s">
        <v>1254</v>
      </c>
      <c r="G32" s="14" t="s">
        <v>99</v>
      </c>
      <c r="H32" s="14" t="s">
        <v>99</v>
      </c>
      <c r="I32" s="14" t="s">
        <v>1255</v>
      </c>
      <c r="J32" s="14" t="s">
        <v>1256</v>
      </c>
      <c r="K32" s="14" t="s">
        <v>99</v>
      </c>
      <c r="L32" s="14" t="s">
        <v>99</v>
      </c>
      <c r="M32" s="14" t="s">
        <v>103</v>
      </c>
      <c r="N32" s="14" t="s">
        <v>104</v>
      </c>
      <c r="O32" s="14" t="s">
        <v>99</v>
      </c>
      <c r="P32" s="14" t="s">
        <v>99</v>
      </c>
      <c r="Q32" s="14" t="s">
        <v>99</v>
      </c>
      <c r="R32" s="14" t="s">
        <v>99</v>
      </c>
      <c r="S32" s="14" t="s">
        <v>99</v>
      </c>
      <c r="T32" s="14" t="s">
        <v>1257</v>
      </c>
      <c r="U32" s="14" t="s">
        <v>1258</v>
      </c>
      <c r="V32" s="14" t="s">
        <v>1259</v>
      </c>
      <c r="W32" s="14" t="s">
        <v>1260</v>
      </c>
      <c r="X32" s="14" t="s">
        <v>1261</v>
      </c>
      <c r="Y32" s="14" t="s">
        <v>1262</v>
      </c>
      <c r="Z32" s="14" t="s">
        <v>1263</v>
      </c>
      <c r="AA32" s="14" t="s">
        <v>1264</v>
      </c>
      <c r="AB32" s="14" t="s">
        <v>1265</v>
      </c>
      <c r="AC32" s="14" t="s">
        <v>1266</v>
      </c>
      <c r="AD32" s="14" t="s">
        <v>1267</v>
      </c>
      <c r="AE32" s="14" t="s">
        <v>1268</v>
      </c>
      <c r="AF32" s="14" t="s">
        <v>99</v>
      </c>
      <c r="AG32" s="14">
        <v>56.0</v>
      </c>
      <c r="AH32" s="14">
        <v>21.0</v>
      </c>
      <c r="AI32" s="14">
        <v>21.0</v>
      </c>
      <c r="AJ32" s="14">
        <v>0.0</v>
      </c>
      <c r="AK32" s="14">
        <v>26.0</v>
      </c>
      <c r="AL32" s="14" t="s">
        <v>341</v>
      </c>
      <c r="AM32" s="14" t="s">
        <v>342</v>
      </c>
      <c r="AN32" s="14" t="s">
        <v>343</v>
      </c>
      <c r="AO32" s="14" t="s">
        <v>1269</v>
      </c>
      <c r="AP32" s="14" t="s">
        <v>1270</v>
      </c>
      <c r="AQ32" s="14" t="s">
        <v>99</v>
      </c>
      <c r="AR32" s="14" t="s">
        <v>1271</v>
      </c>
      <c r="AS32" s="14" t="s">
        <v>1272</v>
      </c>
      <c r="AT32" s="14" t="s">
        <v>525</v>
      </c>
      <c r="AU32" s="14">
        <v>2017.0</v>
      </c>
      <c r="AV32" s="14">
        <v>62.0</v>
      </c>
      <c r="AW32" s="14">
        <v>7.0</v>
      </c>
      <c r="AX32" s="14" t="s">
        <v>99</v>
      </c>
      <c r="AY32" s="14" t="s">
        <v>99</v>
      </c>
      <c r="AZ32" s="14" t="s">
        <v>99</v>
      </c>
      <c r="BA32" s="14" t="s">
        <v>99</v>
      </c>
      <c r="BB32" s="14">
        <v>1117.0</v>
      </c>
      <c r="BC32" s="14">
        <v>1129.0</v>
      </c>
      <c r="BD32" s="14" t="s">
        <v>99</v>
      </c>
      <c r="BE32" s="14" t="s">
        <v>1273</v>
      </c>
      <c r="BF32" s="15" t="str">
        <f>HYPERLINK("http://dx.doi.org/10.1111/fwb.12929","http://dx.doi.org/10.1111/fwb.12929")</f>
        <v>http://dx.doi.org/10.1111/fwb.12929</v>
      </c>
      <c r="BG32" s="14" t="s">
        <v>99</v>
      </c>
      <c r="BH32" s="14" t="s">
        <v>99</v>
      </c>
      <c r="BI32" s="14">
        <v>13.0</v>
      </c>
      <c r="BJ32" s="14" t="s">
        <v>1274</v>
      </c>
      <c r="BK32" s="14" t="s">
        <v>122</v>
      </c>
      <c r="BL32" s="14" t="s">
        <v>397</v>
      </c>
      <c r="BM32" s="14" t="s">
        <v>1275</v>
      </c>
      <c r="BN32" s="14" t="s">
        <v>99</v>
      </c>
      <c r="BO32" s="14" t="s">
        <v>99</v>
      </c>
      <c r="BP32" s="14" t="s">
        <v>99</v>
      </c>
      <c r="BQ32" s="14" t="s">
        <v>99</v>
      </c>
      <c r="BR32" s="14" t="s">
        <v>124</v>
      </c>
      <c r="BS32" s="14" t="s">
        <v>1276</v>
      </c>
      <c r="BT32" s="14" t="str">
        <f>HYPERLINK("https%3A%2F%2Fwww.webofscience.com%2Fwos%2Fwoscc%2Ffull-record%2FWOS:000403021500001","View Full Record in Web of Science")</f>
        <v>View Full Record in Web of Science</v>
      </c>
    </row>
    <row r="33" ht="12.75" customHeight="1">
      <c r="A33" s="14" t="s">
        <v>97</v>
      </c>
      <c r="B33" s="14" t="s">
        <v>1294</v>
      </c>
      <c r="C33" s="14" t="s">
        <v>99</v>
      </c>
      <c r="D33" s="14" t="s">
        <v>99</v>
      </c>
      <c r="E33" s="14" t="s">
        <v>99</v>
      </c>
      <c r="F33" s="14" t="s">
        <v>1295</v>
      </c>
      <c r="G33" s="14" t="s">
        <v>99</v>
      </c>
      <c r="H33" s="14" t="s">
        <v>99</v>
      </c>
      <c r="I33" s="14" t="s">
        <v>1296</v>
      </c>
      <c r="J33" s="14" t="s">
        <v>1020</v>
      </c>
      <c r="K33" s="14" t="s">
        <v>99</v>
      </c>
      <c r="L33" s="14" t="s">
        <v>99</v>
      </c>
      <c r="M33" s="14" t="s">
        <v>103</v>
      </c>
      <c r="N33" s="14" t="s">
        <v>104</v>
      </c>
      <c r="O33" s="14" t="s">
        <v>99</v>
      </c>
      <c r="P33" s="14" t="s">
        <v>99</v>
      </c>
      <c r="Q33" s="14" t="s">
        <v>99</v>
      </c>
      <c r="R33" s="14" t="s">
        <v>99</v>
      </c>
      <c r="S33" s="14" t="s">
        <v>99</v>
      </c>
      <c r="T33" s="14" t="s">
        <v>1297</v>
      </c>
      <c r="U33" s="14" t="s">
        <v>1298</v>
      </c>
      <c r="V33" s="14" t="s">
        <v>1299</v>
      </c>
      <c r="W33" s="14" t="s">
        <v>1300</v>
      </c>
      <c r="X33" s="14" t="s">
        <v>1301</v>
      </c>
      <c r="Y33" s="14" t="s">
        <v>1302</v>
      </c>
      <c r="Z33" s="14" t="s">
        <v>1303</v>
      </c>
      <c r="AA33" s="14" t="s">
        <v>1304</v>
      </c>
      <c r="AB33" s="14" t="s">
        <v>1305</v>
      </c>
      <c r="AC33" s="14" t="s">
        <v>1306</v>
      </c>
      <c r="AD33" s="14" t="s">
        <v>1307</v>
      </c>
      <c r="AE33" s="14" t="s">
        <v>1308</v>
      </c>
      <c r="AF33" s="14" t="s">
        <v>99</v>
      </c>
      <c r="AG33" s="14">
        <v>60.0</v>
      </c>
      <c r="AH33" s="14">
        <v>34.0</v>
      </c>
      <c r="AI33" s="14">
        <v>38.0</v>
      </c>
      <c r="AJ33" s="14">
        <v>2.0</v>
      </c>
      <c r="AK33" s="14">
        <v>150.0</v>
      </c>
      <c r="AL33" s="14" t="s">
        <v>1033</v>
      </c>
      <c r="AM33" s="14" t="s">
        <v>442</v>
      </c>
      <c r="AN33" s="14" t="s">
        <v>1034</v>
      </c>
      <c r="AO33" s="14" t="s">
        <v>1035</v>
      </c>
      <c r="AP33" s="14" t="s">
        <v>1036</v>
      </c>
      <c r="AQ33" s="14" t="s">
        <v>99</v>
      </c>
      <c r="AR33" s="14" t="s">
        <v>1037</v>
      </c>
      <c r="AS33" s="14" t="s">
        <v>1038</v>
      </c>
      <c r="AT33" s="14" t="s">
        <v>1309</v>
      </c>
      <c r="AU33" s="14">
        <v>2017.0</v>
      </c>
      <c r="AV33" s="14">
        <v>589.0</v>
      </c>
      <c r="AW33" s="14" t="s">
        <v>99</v>
      </c>
      <c r="AX33" s="14" t="s">
        <v>99</v>
      </c>
      <c r="AY33" s="14" t="s">
        <v>99</v>
      </c>
      <c r="AZ33" s="14" t="s">
        <v>99</v>
      </c>
      <c r="BA33" s="14" t="s">
        <v>99</v>
      </c>
      <c r="BB33" s="14">
        <v>73.0</v>
      </c>
      <c r="BC33" s="14">
        <v>88.0</v>
      </c>
      <c r="BD33" s="14" t="s">
        <v>99</v>
      </c>
      <c r="BE33" s="14" t="s">
        <v>1310</v>
      </c>
      <c r="BF33" s="15" t="str">
        <f>HYPERLINK("http://dx.doi.org/10.1016/j.scitotenv.2017.02.210","http://dx.doi.org/10.1016/j.scitotenv.2017.02.210")</f>
        <v>http://dx.doi.org/10.1016/j.scitotenv.2017.02.210</v>
      </c>
      <c r="BG33" s="14" t="s">
        <v>99</v>
      </c>
      <c r="BH33" s="14" t="s">
        <v>99</v>
      </c>
      <c r="BI33" s="14">
        <v>16.0</v>
      </c>
      <c r="BJ33" s="14" t="s">
        <v>1041</v>
      </c>
      <c r="BK33" s="14" t="s">
        <v>122</v>
      </c>
      <c r="BL33" s="14" t="s">
        <v>260</v>
      </c>
      <c r="BM33" s="14" t="s">
        <v>1311</v>
      </c>
      <c r="BN33" s="14">
        <v>2.8264774E7</v>
      </c>
      <c r="BO33" s="14" t="s">
        <v>99</v>
      </c>
      <c r="BP33" s="14" t="s">
        <v>99</v>
      </c>
      <c r="BQ33" s="14" t="s">
        <v>99</v>
      </c>
      <c r="BR33" s="14" t="s">
        <v>124</v>
      </c>
      <c r="BS33" s="14" t="s">
        <v>1312</v>
      </c>
      <c r="BT33" s="14" t="str">
        <f>HYPERLINK("https%3A%2F%2Fwww.webofscience.com%2Fwos%2Fwoscc%2Ffull-record%2FWOS:000399848100008","View Full Record in Web of Science")</f>
        <v>View Full Record in Web of Science</v>
      </c>
    </row>
    <row r="34" ht="12.75" customHeight="1">
      <c r="A34" s="14" t="s">
        <v>97</v>
      </c>
      <c r="B34" s="14" t="s">
        <v>1332</v>
      </c>
      <c r="C34" s="14" t="s">
        <v>99</v>
      </c>
      <c r="D34" s="14" t="s">
        <v>99</v>
      </c>
      <c r="E34" s="14" t="s">
        <v>99</v>
      </c>
      <c r="F34" s="14" t="s">
        <v>1333</v>
      </c>
      <c r="G34" s="14" t="s">
        <v>99</v>
      </c>
      <c r="H34" s="14" t="s">
        <v>99</v>
      </c>
      <c r="I34" s="14" t="s">
        <v>1334</v>
      </c>
      <c r="J34" s="14" t="s">
        <v>1335</v>
      </c>
      <c r="K34" s="14" t="s">
        <v>99</v>
      </c>
      <c r="L34" s="14" t="s">
        <v>99</v>
      </c>
      <c r="M34" s="14" t="s">
        <v>103</v>
      </c>
      <c r="N34" s="14" t="s">
        <v>104</v>
      </c>
      <c r="O34" s="14" t="s">
        <v>99</v>
      </c>
      <c r="P34" s="14" t="s">
        <v>99</v>
      </c>
      <c r="Q34" s="14" t="s">
        <v>99</v>
      </c>
      <c r="R34" s="14" t="s">
        <v>99</v>
      </c>
      <c r="S34" s="14" t="s">
        <v>99</v>
      </c>
      <c r="T34" s="14" t="s">
        <v>1336</v>
      </c>
      <c r="U34" s="14" t="s">
        <v>1337</v>
      </c>
      <c r="V34" s="14" t="s">
        <v>1338</v>
      </c>
      <c r="W34" s="14" t="s">
        <v>1339</v>
      </c>
      <c r="X34" s="14" t="s">
        <v>1340</v>
      </c>
      <c r="Y34" s="14" t="s">
        <v>1341</v>
      </c>
      <c r="Z34" s="14" t="s">
        <v>1342</v>
      </c>
      <c r="AA34" s="14" t="s">
        <v>99</v>
      </c>
      <c r="AB34" s="14" t="s">
        <v>1343</v>
      </c>
      <c r="AC34" s="14" t="s">
        <v>1344</v>
      </c>
      <c r="AD34" s="14" t="s">
        <v>1345</v>
      </c>
      <c r="AE34" s="14" t="s">
        <v>1346</v>
      </c>
      <c r="AF34" s="14" t="s">
        <v>99</v>
      </c>
      <c r="AG34" s="14">
        <v>69.0</v>
      </c>
      <c r="AH34" s="14">
        <v>72.0</v>
      </c>
      <c r="AI34" s="14">
        <v>80.0</v>
      </c>
      <c r="AJ34" s="14">
        <v>5.0</v>
      </c>
      <c r="AK34" s="14">
        <v>35.0</v>
      </c>
      <c r="AL34" s="14" t="s">
        <v>1347</v>
      </c>
      <c r="AM34" s="14" t="s">
        <v>1348</v>
      </c>
      <c r="AN34" s="14" t="s">
        <v>1349</v>
      </c>
      <c r="AO34" s="14" t="s">
        <v>99</v>
      </c>
      <c r="AP34" s="14" t="s">
        <v>1350</v>
      </c>
      <c r="AQ34" s="14" t="s">
        <v>99</v>
      </c>
      <c r="AR34" s="14" t="s">
        <v>1351</v>
      </c>
      <c r="AS34" s="14" t="s">
        <v>1352</v>
      </c>
      <c r="AT34" s="14" t="s">
        <v>616</v>
      </c>
      <c r="AU34" s="14">
        <v>2017.0</v>
      </c>
      <c r="AV34" s="14">
        <v>9.0</v>
      </c>
      <c r="AW34" s="14">
        <v>6.0</v>
      </c>
      <c r="AX34" s="14" t="s">
        <v>99</v>
      </c>
      <c r="AY34" s="14" t="s">
        <v>99</v>
      </c>
      <c r="AZ34" s="14" t="s">
        <v>99</v>
      </c>
      <c r="BA34" s="14" t="s">
        <v>99</v>
      </c>
      <c r="BB34" s="14" t="s">
        <v>99</v>
      </c>
      <c r="BC34" s="14" t="s">
        <v>99</v>
      </c>
      <c r="BD34" s="14">
        <v>525.0</v>
      </c>
      <c r="BE34" s="14" t="s">
        <v>1353</v>
      </c>
      <c r="BF34" s="15" t="str">
        <f>HYPERLINK("http://dx.doi.org/10.3390/rs9060525","http://dx.doi.org/10.3390/rs9060525")</f>
        <v>http://dx.doi.org/10.3390/rs9060525</v>
      </c>
      <c r="BG34" s="14" t="s">
        <v>99</v>
      </c>
      <c r="BH34" s="14" t="s">
        <v>99</v>
      </c>
      <c r="BI34" s="14">
        <v>20.0</v>
      </c>
      <c r="BJ34" s="14" t="s">
        <v>1354</v>
      </c>
      <c r="BK34" s="14" t="s">
        <v>122</v>
      </c>
      <c r="BL34" s="14" t="s">
        <v>1355</v>
      </c>
      <c r="BM34" s="14" t="s">
        <v>1356</v>
      </c>
      <c r="BN34" s="14" t="s">
        <v>99</v>
      </c>
      <c r="BO34" s="14" t="s">
        <v>1251</v>
      </c>
      <c r="BP34" s="14" t="s">
        <v>99</v>
      </c>
      <c r="BQ34" s="14" t="s">
        <v>99</v>
      </c>
      <c r="BR34" s="14" t="s">
        <v>124</v>
      </c>
      <c r="BS34" s="14" t="s">
        <v>1357</v>
      </c>
      <c r="BT34" s="14" t="str">
        <f>HYPERLINK("https%3A%2F%2Fwww.webofscience.com%2Fwos%2Fwoscc%2Ffull-record%2FWOS:000404623900016","View Full Record in Web of Science")</f>
        <v>View Full Record in Web of Science</v>
      </c>
    </row>
    <row r="35" ht="12.75" customHeight="1">
      <c r="A35" s="14" t="s">
        <v>97</v>
      </c>
      <c r="B35" s="14" t="s">
        <v>1373</v>
      </c>
      <c r="C35" s="14" t="s">
        <v>99</v>
      </c>
      <c r="D35" s="14" t="s">
        <v>99</v>
      </c>
      <c r="E35" s="14" t="s">
        <v>99</v>
      </c>
      <c r="F35" s="14" t="s">
        <v>1374</v>
      </c>
      <c r="G35" s="14" t="s">
        <v>99</v>
      </c>
      <c r="H35" s="14" t="s">
        <v>99</v>
      </c>
      <c r="I35" s="14" t="s">
        <v>1375</v>
      </c>
      <c r="J35" s="14" t="s">
        <v>1376</v>
      </c>
      <c r="K35" s="14" t="s">
        <v>99</v>
      </c>
      <c r="L35" s="14" t="s">
        <v>99</v>
      </c>
      <c r="M35" s="14" t="s">
        <v>103</v>
      </c>
      <c r="N35" s="14" t="s">
        <v>104</v>
      </c>
      <c r="O35" s="14" t="s">
        <v>99</v>
      </c>
      <c r="P35" s="14" t="s">
        <v>99</v>
      </c>
      <c r="Q35" s="14" t="s">
        <v>99</v>
      </c>
      <c r="R35" s="14" t="s">
        <v>99</v>
      </c>
      <c r="S35" s="14" t="s">
        <v>99</v>
      </c>
      <c r="T35" s="14" t="s">
        <v>99</v>
      </c>
      <c r="U35" s="14" t="s">
        <v>1377</v>
      </c>
      <c r="V35" s="14" t="s">
        <v>1378</v>
      </c>
      <c r="W35" s="14" t="s">
        <v>1379</v>
      </c>
      <c r="X35" s="14" t="s">
        <v>1380</v>
      </c>
      <c r="Y35" s="14" t="s">
        <v>1381</v>
      </c>
      <c r="Z35" s="14" t="s">
        <v>1382</v>
      </c>
      <c r="AA35" s="14" t="s">
        <v>1383</v>
      </c>
      <c r="AB35" s="14" t="s">
        <v>1384</v>
      </c>
      <c r="AC35" s="14" t="s">
        <v>1385</v>
      </c>
      <c r="AD35" s="14" t="s">
        <v>1386</v>
      </c>
      <c r="AE35" s="14" t="s">
        <v>1387</v>
      </c>
      <c r="AF35" s="14" t="s">
        <v>99</v>
      </c>
      <c r="AG35" s="14">
        <v>59.0</v>
      </c>
      <c r="AH35" s="14">
        <v>48.0</v>
      </c>
      <c r="AI35" s="14">
        <v>52.0</v>
      </c>
      <c r="AJ35" s="14">
        <v>0.0</v>
      </c>
      <c r="AK35" s="14">
        <v>62.0</v>
      </c>
      <c r="AL35" s="14" t="s">
        <v>1388</v>
      </c>
      <c r="AM35" s="14" t="s">
        <v>1389</v>
      </c>
      <c r="AN35" s="14" t="s">
        <v>1390</v>
      </c>
      <c r="AO35" s="14" t="s">
        <v>1391</v>
      </c>
      <c r="AP35" s="14" t="s">
        <v>1392</v>
      </c>
      <c r="AQ35" s="14" t="s">
        <v>99</v>
      </c>
      <c r="AR35" s="14" t="s">
        <v>1376</v>
      </c>
      <c r="AS35" s="14" t="s">
        <v>1393</v>
      </c>
      <c r="AT35" s="14" t="s">
        <v>1394</v>
      </c>
      <c r="AU35" s="14">
        <v>2017.0</v>
      </c>
      <c r="AV35" s="14">
        <v>14.0</v>
      </c>
      <c r="AW35" s="14">
        <v>9.0</v>
      </c>
      <c r="AX35" s="14" t="s">
        <v>99</v>
      </c>
      <c r="AY35" s="14" t="s">
        <v>99</v>
      </c>
      <c r="AZ35" s="14" t="s">
        <v>99</v>
      </c>
      <c r="BA35" s="14" t="s">
        <v>99</v>
      </c>
      <c r="BB35" s="14">
        <v>2387.0</v>
      </c>
      <c r="BC35" s="14">
        <v>2405.0</v>
      </c>
      <c r="BD35" s="14" t="s">
        <v>99</v>
      </c>
      <c r="BE35" s="14" t="s">
        <v>1395</v>
      </c>
      <c r="BF35" s="15" t="str">
        <f>HYPERLINK("http://dx.doi.org/10.5194/bg-14-2387-2017","http://dx.doi.org/10.5194/bg-14-2387-2017")</f>
        <v>http://dx.doi.org/10.5194/bg-14-2387-2017</v>
      </c>
      <c r="BG35" s="14" t="s">
        <v>99</v>
      </c>
      <c r="BH35" s="14" t="s">
        <v>99</v>
      </c>
      <c r="BI35" s="14">
        <v>19.0</v>
      </c>
      <c r="BJ35" s="14" t="s">
        <v>1396</v>
      </c>
      <c r="BK35" s="14" t="s">
        <v>122</v>
      </c>
      <c r="BL35" s="14" t="s">
        <v>1397</v>
      </c>
      <c r="BM35" s="14" t="s">
        <v>1398</v>
      </c>
      <c r="BN35" s="14" t="s">
        <v>99</v>
      </c>
      <c r="BO35" s="14" t="s">
        <v>1251</v>
      </c>
      <c r="BP35" s="14" t="s">
        <v>99</v>
      </c>
      <c r="BQ35" s="14" t="s">
        <v>99</v>
      </c>
      <c r="BR35" s="14" t="s">
        <v>124</v>
      </c>
      <c r="BS35" s="14" t="s">
        <v>1399</v>
      </c>
      <c r="BT35" s="14" t="str">
        <f>HYPERLINK("https%3A%2F%2Fwww.webofscience.com%2Fwos%2Fwoscc%2Ffull-record%2FWOS:000401104900001","View Full Record in Web of Science")</f>
        <v>View Full Record in Web of Science</v>
      </c>
    </row>
    <row r="36" ht="12.75" customHeight="1">
      <c r="A36" s="14" t="s">
        <v>97</v>
      </c>
      <c r="B36" s="14" t="s">
        <v>1419</v>
      </c>
      <c r="C36" s="14" t="s">
        <v>99</v>
      </c>
      <c r="D36" s="14" t="s">
        <v>99</v>
      </c>
      <c r="E36" s="14" t="s">
        <v>99</v>
      </c>
      <c r="F36" s="14" t="s">
        <v>1420</v>
      </c>
      <c r="G36" s="14" t="s">
        <v>99</v>
      </c>
      <c r="H36" s="14" t="s">
        <v>99</v>
      </c>
      <c r="I36" s="14" t="s">
        <v>1421</v>
      </c>
      <c r="J36" s="14" t="s">
        <v>1422</v>
      </c>
      <c r="K36" s="14" t="s">
        <v>99</v>
      </c>
      <c r="L36" s="14" t="s">
        <v>99</v>
      </c>
      <c r="M36" s="14" t="s">
        <v>103</v>
      </c>
      <c r="N36" s="14" t="s">
        <v>104</v>
      </c>
      <c r="O36" s="14" t="s">
        <v>99</v>
      </c>
      <c r="P36" s="14" t="s">
        <v>99</v>
      </c>
      <c r="Q36" s="14" t="s">
        <v>99</v>
      </c>
      <c r="R36" s="14" t="s">
        <v>99</v>
      </c>
      <c r="S36" s="14" t="s">
        <v>99</v>
      </c>
      <c r="T36" s="14" t="s">
        <v>99</v>
      </c>
      <c r="U36" s="14" t="s">
        <v>1423</v>
      </c>
      <c r="V36" s="14" t="s">
        <v>1424</v>
      </c>
      <c r="W36" s="14" t="s">
        <v>1425</v>
      </c>
      <c r="X36" s="14" t="s">
        <v>1426</v>
      </c>
      <c r="Y36" s="14" t="s">
        <v>1427</v>
      </c>
      <c r="Z36" s="14" t="s">
        <v>1428</v>
      </c>
      <c r="AA36" s="14" t="s">
        <v>1429</v>
      </c>
      <c r="AB36" s="14" t="s">
        <v>1430</v>
      </c>
      <c r="AC36" s="14" t="s">
        <v>99</v>
      </c>
      <c r="AD36" s="14" t="s">
        <v>99</v>
      </c>
      <c r="AE36" s="14" t="s">
        <v>99</v>
      </c>
      <c r="AF36" s="14" t="s">
        <v>99</v>
      </c>
      <c r="AG36" s="14">
        <v>52.0</v>
      </c>
      <c r="AH36" s="14">
        <v>145.0</v>
      </c>
      <c r="AI36" s="14">
        <v>154.0</v>
      </c>
      <c r="AJ36" s="14">
        <v>8.0</v>
      </c>
      <c r="AK36" s="14">
        <v>197.0</v>
      </c>
      <c r="AL36" s="14" t="s">
        <v>1431</v>
      </c>
      <c r="AM36" s="14" t="s">
        <v>789</v>
      </c>
      <c r="AN36" s="14" t="s">
        <v>1432</v>
      </c>
      <c r="AO36" s="14" t="s">
        <v>1433</v>
      </c>
      <c r="AP36" s="14" t="s">
        <v>1434</v>
      </c>
      <c r="AQ36" s="14" t="s">
        <v>99</v>
      </c>
      <c r="AR36" s="14" t="s">
        <v>1435</v>
      </c>
      <c r="AS36" s="14" t="s">
        <v>1436</v>
      </c>
      <c r="AT36" s="14" t="s">
        <v>1437</v>
      </c>
      <c r="AU36" s="14">
        <v>2017.0</v>
      </c>
      <c r="AV36" s="14">
        <v>51.0</v>
      </c>
      <c r="AW36" s="14">
        <v>6.0</v>
      </c>
      <c r="AX36" s="14" t="s">
        <v>99</v>
      </c>
      <c r="AY36" s="14" t="s">
        <v>99</v>
      </c>
      <c r="AZ36" s="14" t="s">
        <v>99</v>
      </c>
      <c r="BA36" s="14" t="s">
        <v>99</v>
      </c>
      <c r="BB36" s="14">
        <v>3298.0</v>
      </c>
      <c r="BC36" s="14">
        <v>3306.0</v>
      </c>
      <c r="BD36" s="14" t="s">
        <v>99</v>
      </c>
      <c r="BE36" s="14" t="s">
        <v>1438</v>
      </c>
      <c r="BF36" s="15" t="str">
        <f>HYPERLINK("http://dx.doi.org/10.1021/acs.est.6b05296","http://dx.doi.org/10.1021/acs.est.6b05296")</f>
        <v>http://dx.doi.org/10.1021/acs.est.6b05296</v>
      </c>
      <c r="BG36" s="14" t="s">
        <v>99</v>
      </c>
      <c r="BH36" s="14" t="s">
        <v>99</v>
      </c>
      <c r="BI36" s="14">
        <v>9.0</v>
      </c>
      <c r="BJ36" s="14" t="s">
        <v>1439</v>
      </c>
      <c r="BK36" s="14" t="s">
        <v>800</v>
      </c>
      <c r="BL36" s="14" t="s">
        <v>1440</v>
      </c>
      <c r="BM36" s="14" t="s">
        <v>1441</v>
      </c>
      <c r="BN36" s="14">
        <v>2.8072521E7</v>
      </c>
      <c r="BO36" s="14" t="s">
        <v>99</v>
      </c>
      <c r="BP36" s="14" t="s">
        <v>99</v>
      </c>
      <c r="BQ36" s="14" t="s">
        <v>99</v>
      </c>
      <c r="BR36" s="14" t="s">
        <v>124</v>
      </c>
      <c r="BS36" s="14" t="s">
        <v>1442</v>
      </c>
      <c r="BT36" s="14" t="str">
        <f>HYPERLINK("https%3A%2F%2Fwww.webofscience.com%2Fwos%2Fwoscc%2Ffull-record%2FWOS:000397477900021","View Full Record in Web of Science")</f>
        <v>View Full Record in Web of Science</v>
      </c>
    </row>
    <row r="37" ht="12.75" customHeight="1">
      <c r="A37" s="14" t="s">
        <v>97</v>
      </c>
      <c r="B37" s="14" t="s">
        <v>1443</v>
      </c>
      <c r="C37" s="14" t="s">
        <v>99</v>
      </c>
      <c r="D37" s="14" t="s">
        <v>99</v>
      </c>
      <c r="E37" s="14" t="s">
        <v>99</v>
      </c>
      <c r="F37" s="14" t="s">
        <v>1444</v>
      </c>
      <c r="G37" s="14" t="s">
        <v>99</v>
      </c>
      <c r="H37" s="14" t="s">
        <v>99</v>
      </c>
      <c r="I37" s="14" t="s">
        <v>1445</v>
      </c>
      <c r="J37" s="14" t="s">
        <v>1446</v>
      </c>
      <c r="K37" s="14" t="s">
        <v>99</v>
      </c>
      <c r="L37" s="14" t="s">
        <v>99</v>
      </c>
      <c r="M37" s="14" t="s">
        <v>103</v>
      </c>
      <c r="N37" s="14" t="s">
        <v>104</v>
      </c>
      <c r="O37" s="14" t="s">
        <v>99</v>
      </c>
      <c r="P37" s="14" t="s">
        <v>99</v>
      </c>
      <c r="Q37" s="14" t="s">
        <v>99</v>
      </c>
      <c r="R37" s="14" t="s">
        <v>99</v>
      </c>
      <c r="S37" s="14" t="s">
        <v>99</v>
      </c>
      <c r="T37" s="14" t="s">
        <v>1447</v>
      </c>
      <c r="U37" s="14" t="s">
        <v>1448</v>
      </c>
      <c r="V37" s="14" t="s">
        <v>1449</v>
      </c>
      <c r="W37" s="14" t="s">
        <v>1450</v>
      </c>
      <c r="X37" s="14" t="s">
        <v>1451</v>
      </c>
      <c r="Y37" s="14" t="s">
        <v>1452</v>
      </c>
      <c r="Z37" s="14" t="s">
        <v>1453</v>
      </c>
      <c r="AA37" s="14" t="s">
        <v>1454</v>
      </c>
      <c r="AB37" s="14" t="s">
        <v>1455</v>
      </c>
      <c r="AC37" s="14" t="s">
        <v>1456</v>
      </c>
      <c r="AD37" s="14" t="s">
        <v>1457</v>
      </c>
      <c r="AE37" s="14" t="s">
        <v>1458</v>
      </c>
      <c r="AF37" s="14" t="s">
        <v>99</v>
      </c>
      <c r="AG37" s="14">
        <v>25.0</v>
      </c>
      <c r="AH37" s="14">
        <v>67.0</v>
      </c>
      <c r="AI37" s="14">
        <v>79.0</v>
      </c>
      <c r="AJ37" s="14">
        <v>3.0</v>
      </c>
      <c r="AK37" s="14">
        <v>68.0</v>
      </c>
      <c r="AL37" s="14" t="s">
        <v>341</v>
      </c>
      <c r="AM37" s="14" t="s">
        <v>342</v>
      </c>
      <c r="AN37" s="14" t="s">
        <v>343</v>
      </c>
      <c r="AO37" s="14" t="s">
        <v>1459</v>
      </c>
      <c r="AP37" s="14" t="s">
        <v>99</v>
      </c>
      <c r="AQ37" s="14" t="s">
        <v>99</v>
      </c>
      <c r="AR37" s="14" t="s">
        <v>1460</v>
      </c>
      <c r="AS37" s="14" t="s">
        <v>1461</v>
      </c>
      <c r="AT37" s="14" t="s">
        <v>1462</v>
      </c>
      <c r="AU37" s="14">
        <v>2017.0</v>
      </c>
      <c r="AV37" s="14">
        <v>10.0</v>
      </c>
      <c r="AW37" s="14">
        <v>2.0</v>
      </c>
      <c r="AX37" s="14" t="s">
        <v>99</v>
      </c>
      <c r="AY37" s="14" t="s">
        <v>99</v>
      </c>
      <c r="AZ37" s="14" t="s">
        <v>99</v>
      </c>
      <c r="BA37" s="14" t="s">
        <v>99</v>
      </c>
      <c r="BB37" s="14">
        <v>186.0</v>
      </c>
      <c r="BC37" s="14">
        <v>194.0</v>
      </c>
      <c r="BD37" s="14" t="s">
        <v>99</v>
      </c>
      <c r="BE37" s="14" t="s">
        <v>1463</v>
      </c>
      <c r="BF37" s="15" t="str">
        <f>HYPERLINK("http://dx.doi.org/10.1111/conl.12258","http://dx.doi.org/10.1111/conl.12258")</f>
        <v>http://dx.doi.org/10.1111/conl.12258</v>
      </c>
      <c r="BG37" s="14" t="s">
        <v>99</v>
      </c>
      <c r="BH37" s="14" t="s">
        <v>99</v>
      </c>
      <c r="BI37" s="14">
        <v>9.0</v>
      </c>
      <c r="BJ37" s="14" t="s">
        <v>693</v>
      </c>
      <c r="BK37" s="14" t="s">
        <v>122</v>
      </c>
      <c r="BL37" s="14" t="s">
        <v>694</v>
      </c>
      <c r="BM37" s="14" t="s">
        <v>1464</v>
      </c>
      <c r="BN37" s="14" t="s">
        <v>99</v>
      </c>
      <c r="BO37" s="14" t="s">
        <v>576</v>
      </c>
      <c r="BP37" s="14" t="s">
        <v>99</v>
      </c>
      <c r="BQ37" s="14" t="s">
        <v>99</v>
      </c>
      <c r="BR37" s="14" t="s">
        <v>124</v>
      </c>
      <c r="BS37" s="14" t="s">
        <v>1465</v>
      </c>
      <c r="BT37" s="14" t="str">
        <f>HYPERLINK("https%3A%2F%2Fwww.webofscience.com%2Fwos%2Fwoscc%2Ffull-record%2FWOS:000398563500003","View Full Record in Web of Science")</f>
        <v>View Full Record in Web of Science</v>
      </c>
    </row>
    <row r="38" ht="12.75" customHeight="1">
      <c r="A38" s="14" t="s">
        <v>97</v>
      </c>
      <c r="B38" s="14" t="s">
        <v>1466</v>
      </c>
      <c r="C38" s="14" t="s">
        <v>99</v>
      </c>
      <c r="D38" s="14" t="s">
        <v>99</v>
      </c>
      <c r="E38" s="14" t="s">
        <v>99</v>
      </c>
      <c r="F38" s="14" t="s">
        <v>1467</v>
      </c>
      <c r="G38" s="14" t="s">
        <v>99</v>
      </c>
      <c r="H38" s="14" t="s">
        <v>99</v>
      </c>
      <c r="I38" s="14" t="s">
        <v>1468</v>
      </c>
      <c r="J38" s="14" t="s">
        <v>1469</v>
      </c>
      <c r="K38" s="14" t="s">
        <v>99</v>
      </c>
      <c r="L38" s="14" t="s">
        <v>99</v>
      </c>
      <c r="M38" s="14" t="s">
        <v>103</v>
      </c>
      <c r="N38" s="14" t="s">
        <v>104</v>
      </c>
      <c r="O38" s="14" t="s">
        <v>99</v>
      </c>
      <c r="P38" s="14" t="s">
        <v>99</v>
      </c>
      <c r="Q38" s="14" t="s">
        <v>99</v>
      </c>
      <c r="R38" s="14" t="s">
        <v>99</v>
      </c>
      <c r="S38" s="14" t="s">
        <v>99</v>
      </c>
      <c r="T38" s="14" t="s">
        <v>1470</v>
      </c>
      <c r="U38" s="14" t="s">
        <v>1471</v>
      </c>
      <c r="V38" s="14" t="s">
        <v>1472</v>
      </c>
      <c r="W38" s="14" t="s">
        <v>1473</v>
      </c>
      <c r="X38" s="14" t="s">
        <v>1474</v>
      </c>
      <c r="Y38" s="14" t="s">
        <v>1475</v>
      </c>
      <c r="Z38" s="14" t="s">
        <v>1476</v>
      </c>
      <c r="AA38" s="14" t="s">
        <v>1477</v>
      </c>
      <c r="AB38" s="14" t="s">
        <v>1478</v>
      </c>
      <c r="AC38" s="14" t="s">
        <v>1479</v>
      </c>
      <c r="AD38" s="14" t="s">
        <v>1480</v>
      </c>
      <c r="AE38" s="14" t="s">
        <v>1481</v>
      </c>
      <c r="AF38" s="14" t="s">
        <v>99</v>
      </c>
      <c r="AG38" s="14">
        <v>44.0</v>
      </c>
      <c r="AH38" s="14">
        <v>169.0</v>
      </c>
      <c r="AI38" s="14">
        <v>202.0</v>
      </c>
      <c r="AJ38" s="14">
        <v>13.0</v>
      </c>
      <c r="AK38" s="14">
        <v>338.0</v>
      </c>
      <c r="AL38" s="14" t="s">
        <v>441</v>
      </c>
      <c r="AM38" s="14" t="s">
        <v>442</v>
      </c>
      <c r="AN38" s="14" t="s">
        <v>443</v>
      </c>
      <c r="AO38" s="14" t="s">
        <v>1482</v>
      </c>
      <c r="AP38" s="14" t="s">
        <v>1483</v>
      </c>
      <c r="AQ38" s="14" t="s">
        <v>99</v>
      </c>
      <c r="AR38" s="14" t="s">
        <v>1469</v>
      </c>
      <c r="AS38" s="14" t="s">
        <v>1484</v>
      </c>
      <c r="AT38" s="14" t="s">
        <v>1485</v>
      </c>
      <c r="AU38" s="14">
        <v>2017.0</v>
      </c>
      <c r="AV38" s="14">
        <v>150.0</v>
      </c>
      <c r="AW38" s="14" t="s">
        <v>99</v>
      </c>
      <c r="AX38" s="14" t="s">
        <v>99</v>
      </c>
      <c r="AY38" s="14" t="s">
        <v>99</v>
      </c>
      <c r="AZ38" s="14" t="s">
        <v>99</v>
      </c>
      <c r="BA38" s="14" t="s">
        <v>99</v>
      </c>
      <c r="BB38" s="14">
        <v>100.0</v>
      </c>
      <c r="BC38" s="14">
        <v>107.0</v>
      </c>
      <c r="BD38" s="14" t="s">
        <v>99</v>
      </c>
      <c r="BE38" s="14" t="s">
        <v>1486</v>
      </c>
      <c r="BF38" s="15" t="str">
        <f>HYPERLINK("http://dx.doi.org/10.1016/j.catena.2016.11.014","http://dx.doi.org/10.1016/j.catena.2016.11.014")</f>
        <v>http://dx.doi.org/10.1016/j.catena.2016.11.014</v>
      </c>
      <c r="BG38" s="14" t="s">
        <v>99</v>
      </c>
      <c r="BH38" s="14" t="s">
        <v>99</v>
      </c>
      <c r="BI38" s="14">
        <v>8.0</v>
      </c>
      <c r="BJ38" s="14" t="s">
        <v>1487</v>
      </c>
      <c r="BK38" s="14" t="s">
        <v>122</v>
      </c>
      <c r="BL38" s="14" t="s">
        <v>1488</v>
      </c>
      <c r="BM38" s="14" t="s">
        <v>1489</v>
      </c>
      <c r="BN38" s="14" t="s">
        <v>99</v>
      </c>
      <c r="BO38" s="14" t="s">
        <v>354</v>
      </c>
      <c r="BP38" s="14" t="s">
        <v>99</v>
      </c>
      <c r="BQ38" s="14" t="s">
        <v>99</v>
      </c>
      <c r="BR38" s="14" t="s">
        <v>124</v>
      </c>
      <c r="BS38" s="14" t="s">
        <v>1490</v>
      </c>
      <c r="BT38" s="14" t="str">
        <f>HYPERLINK("https%3A%2F%2Fwww.webofscience.com%2Fwos%2Fwoscc%2Ffull-record%2FWOS:000392686000012","View Full Record in Web of Science")</f>
        <v>View Full Record in Web of Science</v>
      </c>
    </row>
    <row r="39" ht="12.75" customHeight="1">
      <c r="A39" s="14" t="s">
        <v>97</v>
      </c>
      <c r="B39" s="14" t="s">
        <v>1557</v>
      </c>
      <c r="C39" s="14" t="s">
        <v>99</v>
      </c>
      <c r="D39" s="14" t="s">
        <v>99</v>
      </c>
      <c r="E39" s="14" t="s">
        <v>99</v>
      </c>
      <c r="F39" s="14" t="s">
        <v>1558</v>
      </c>
      <c r="G39" s="14" t="s">
        <v>99</v>
      </c>
      <c r="H39" s="14" t="s">
        <v>99</v>
      </c>
      <c r="I39" s="14" t="s">
        <v>1559</v>
      </c>
      <c r="J39" s="14" t="s">
        <v>1560</v>
      </c>
      <c r="K39" s="14" t="s">
        <v>99</v>
      </c>
      <c r="L39" s="14" t="s">
        <v>99</v>
      </c>
      <c r="M39" s="14" t="s">
        <v>103</v>
      </c>
      <c r="N39" s="14" t="s">
        <v>104</v>
      </c>
      <c r="O39" s="14" t="s">
        <v>99</v>
      </c>
      <c r="P39" s="14" t="s">
        <v>99</v>
      </c>
      <c r="Q39" s="14" t="s">
        <v>99</v>
      </c>
      <c r="R39" s="14" t="s">
        <v>99</v>
      </c>
      <c r="S39" s="14" t="s">
        <v>99</v>
      </c>
      <c r="T39" s="14" t="s">
        <v>1561</v>
      </c>
      <c r="U39" s="14" t="s">
        <v>1562</v>
      </c>
      <c r="V39" s="14" t="s">
        <v>1563</v>
      </c>
      <c r="W39" s="14" t="s">
        <v>1564</v>
      </c>
      <c r="X39" s="14" t="s">
        <v>99</v>
      </c>
      <c r="Y39" s="14" t="s">
        <v>1565</v>
      </c>
      <c r="Z39" s="14" t="s">
        <v>1566</v>
      </c>
      <c r="AA39" s="14" t="s">
        <v>99</v>
      </c>
      <c r="AB39" s="14" t="s">
        <v>99</v>
      </c>
      <c r="AC39" s="14" t="s">
        <v>1567</v>
      </c>
      <c r="AD39" s="14" t="s">
        <v>1567</v>
      </c>
      <c r="AE39" s="14" t="s">
        <v>1568</v>
      </c>
      <c r="AF39" s="14" t="s">
        <v>99</v>
      </c>
      <c r="AG39" s="14">
        <v>72.0</v>
      </c>
      <c r="AH39" s="14">
        <v>12.0</v>
      </c>
      <c r="AI39" s="14">
        <v>12.0</v>
      </c>
      <c r="AJ39" s="14">
        <v>1.0</v>
      </c>
      <c r="AK39" s="14">
        <v>34.0</v>
      </c>
      <c r="AL39" s="14" t="s">
        <v>161</v>
      </c>
      <c r="AM39" s="14" t="s">
        <v>162</v>
      </c>
      <c r="AN39" s="14" t="s">
        <v>163</v>
      </c>
      <c r="AO39" s="14" t="s">
        <v>1569</v>
      </c>
      <c r="AP39" s="14" t="s">
        <v>1570</v>
      </c>
      <c r="AQ39" s="14" t="s">
        <v>99</v>
      </c>
      <c r="AR39" s="14" t="s">
        <v>1571</v>
      </c>
      <c r="AS39" s="14" t="s">
        <v>1572</v>
      </c>
      <c r="AT39" s="14" t="s">
        <v>99</v>
      </c>
      <c r="AU39" s="14">
        <v>2017.0</v>
      </c>
      <c r="AV39" s="14">
        <v>32.0</v>
      </c>
      <c r="AW39" s="14">
        <v>1.0</v>
      </c>
      <c r="AX39" s="14" t="s">
        <v>99</v>
      </c>
      <c r="AY39" s="14" t="s">
        <v>99</v>
      </c>
      <c r="AZ39" s="14" t="s">
        <v>99</v>
      </c>
      <c r="BA39" s="14" t="s">
        <v>99</v>
      </c>
      <c r="BB39" s="14">
        <v>433.0</v>
      </c>
      <c r="BC39" s="14">
        <v>453.0</v>
      </c>
      <c r="BD39" s="14" t="s">
        <v>99</v>
      </c>
      <c r="BE39" s="14" t="s">
        <v>1573</v>
      </c>
      <c r="BF39" s="15" t="str">
        <f>HYPERLINK("http://dx.doi.org/10.1080/02705060.2017.1319431","http://dx.doi.org/10.1080/02705060.2017.1319431")</f>
        <v>http://dx.doi.org/10.1080/02705060.2017.1319431</v>
      </c>
      <c r="BG39" s="14" t="s">
        <v>99</v>
      </c>
      <c r="BH39" s="14" t="s">
        <v>99</v>
      </c>
      <c r="BI39" s="14">
        <v>21.0</v>
      </c>
      <c r="BJ39" s="14" t="s">
        <v>1574</v>
      </c>
      <c r="BK39" s="14" t="s">
        <v>122</v>
      </c>
      <c r="BL39" s="14" t="s">
        <v>397</v>
      </c>
      <c r="BM39" s="14" t="s">
        <v>1575</v>
      </c>
      <c r="BN39" s="14" t="s">
        <v>99</v>
      </c>
      <c r="BO39" s="14" t="s">
        <v>1251</v>
      </c>
      <c r="BP39" s="14" t="s">
        <v>99</v>
      </c>
      <c r="BQ39" s="14" t="s">
        <v>99</v>
      </c>
      <c r="BR39" s="14" t="s">
        <v>124</v>
      </c>
      <c r="BS39" s="14" t="s">
        <v>1576</v>
      </c>
      <c r="BT39" s="14" t="str">
        <f>HYPERLINK("https%3A%2F%2Fwww.webofscience.com%2Fwos%2Fwoscc%2Ffull-record%2FWOS:000401719600004","View Full Record in Web of Science")</f>
        <v>View Full Record in Web of Science</v>
      </c>
    </row>
    <row r="40" ht="12.75" customHeight="1">
      <c r="A40" s="14" t="s">
        <v>97</v>
      </c>
      <c r="B40" s="14" t="s">
        <v>1602</v>
      </c>
      <c r="C40" s="14" t="s">
        <v>99</v>
      </c>
      <c r="D40" s="14" t="s">
        <v>99</v>
      </c>
      <c r="E40" s="14" t="s">
        <v>99</v>
      </c>
      <c r="F40" s="14" t="s">
        <v>1603</v>
      </c>
      <c r="G40" s="14" t="s">
        <v>99</v>
      </c>
      <c r="H40" s="14" t="s">
        <v>99</v>
      </c>
      <c r="I40" s="14" t="s">
        <v>1604</v>
      </c>
      <c r="J40" s="14" t="s">
        <v>1605</v>
      </c>
      <c r="K40" s="14" t="s">
        <v>99</v>
      </c>
      <c r="L40" s="14" t="s">
        <v>99</v>
      </c>
      <c r="M40" s="14" t="s">
        <v>103</v>
      </c>
      <c r="N40" s="14" t="s">
        <v>104</v>
      </c>
      <c r="O40" s="14" t="s">
        <v>99</v>
      </c>
      <c r="P40" s="14" t="s">
        <v>99</v>
      </c>
      <c r="Q40" s="14" t="s">
        <v>99</v>
      </c>
      <c r="R40" s="14" t="s">
        <v>99</v>
      </c>
      <c r="S40" s="14" t="s">
        <v>99</v>
      </c>
      <c r="T40" s="14" t="s">
        <v>1606</v>
      </c>
      <c r="U40" s="14" t="s">
        <v>1607</v>
      </c>
      <c r="V40" s="14" t="s">
        <v>1608</v>
      </c>
      <c r="W40" s="14" t="s">
        <v>1609</v>
      </c>
      <c r="X40" s="14" t="s">
        <v>1610</v>
      </c>
      <c r="Y40" s="14" t="s">
        <v>1611</v>
      </c>
      <c r="Z40" s="14" t="s">
        <v>1612</v>
      </c>
      <c r="AA40" s="14" t="s">
        <v>1613</v>
      </c>
      <c r="AB40" s="14" t="s">
        <v>1614</v>
      </c>
      <c r="AC40" s="14" t="s">
        <v>1615</v>
      </c>
      <c r="AD40" s="14" t="s">
        <v>1616</v>
      </c>
      <c r="AE40" s="14" t="s">
        <v>1617</v>
      </c>
      <c r="AF40" s="14" t="s">
        <v>99</v>
      </c>
      <c r="AG40" s="14">
        <v>67.0</v>
      </c>
      <c r="AH40" s="14">
        <v>36.0</v>
      </c>
      <c r="AI40" s="14">
        <v>39.0</v>
      </c>
      <c r="AJ40" s="14">
        <v>1.0</v>
      </c>
      <c r="AK40" s="14">
        <v>51.0</v>
      </c>
      <c r="AL40" s="14" t="s">
        <v>341</v>
      </c>
      <c r="AM40" s="14" t="s">
        <v>342</v>
      </c>
      <c r="AN40" s="14" t="s">
        <v>343</v>
      </c>
      <c r="AO40" s="14" t="s">
        <v>1618</v>
      </c>
      <c r="AP40" s="14" t="s">
        <v>1619</v>
      </c>
      <c r="AQ40" s="14" t="s">
        <v>99</v>
      </c>
      <c r="AR40" s="14" t="s">
        <v>1620</v>
      </c>
      <c r="AS40" s="14" t="s">
        <v>1621</v>
      </c>
      <c r="AT40" s="14" t="s">
        <v>935</v>
      </c>
      <c r="AU40" s="14">
        <v>2017.0</v>
      </c>
      <c r="AV40" s="14">
        <v>44.0</v>
      </c>
      <c r="AW40" s="14">
        <v>1.0</v>
      </c>
      <c r="AX40" s="14" t="s">
        <v>99</v>
      </c>
      <c r="AY40" s="14" t="s">
        <v>99</v>
      </c>
      <c r="AZ40" s="14" t="s">
        <v>99</v>
      </c>
      <c r="BA40" s="14" t="s">
        <v>99</v>
      </c>
      <c r="BB40" s="14">
        <v>111.0</v>
      </c>
      <c r="BC40" s="14">
        <v>121.0</v>
      </c>
      <c r="BD40" s="14" t="s">
        <v>99</v>
      </c>
      <c r="BE40" s="14" t="s">
        <v>1622</v>
      </c>
      <c r="BF40" s="15" t="str">
        <f>HYPERLINK("http://dx.doi.org/10.1111/jbi.12808","http://dx.doi.org/10.1111/jbi.12808")</f>
        <v>http://dx.doi.org/10.1111/jbi.12808</v>
      </c>
      <c r="BG40" s="14" t="s">
        <v>99</v>
      </c>
      <c r="BH40" s="14" t="s">
        <v>99</v>
      </c>
      <c r="BI40" s="14">
        <v>11.0</v>
      </c>
      <c r="BJ40" s="14" t="s">
        <v>869</v>
      </c>
      <c r="BK40" s="14" t="s">
        <v>122</v>
      </c>
      <c r="BL40" s="14" t="s">
        <v>870</v>
      </c>
      <c r="BM40" s="14" t="s">
        <v>1623</v>
      </c>
      <c r="BN40" s="14" t="s">
        <v>99</v>
      </c>
      <c r="BO40" s="14" t="s">
        <v>99</v>
      </c>
      <c r="BP40" s="14" t="s">
        <v>99</v>
      </c>
      <c r="BQ40" s="14" t="s">
        <v>99</v>
      </c>
      <c r="BR40" s="14" t="s">
        <v>124</v>
      </c>
      <c r="BS40" s="14" t="s">
        <v>1624</v>
      </c>
      <c r="BT40" s="14" t="str">
        <f>HYPERLINK("https%3A%2F%2Fwww.webofscience.com%2Fwos%2Fwoscc%2Ffull-record%2FWOS:000391956900011","View Full Record in Web of Science")</f>
        <v>View Full Record in Web of Science</v>
      </c>
    </row>
    <row r="41" ht="12.75" customHeight="1">
      <c r="A41" s="14" t="s">
        <v>97</v>
      </c>
      <c r="B41" s="14" t="s">
        <v>1664</v>
      </c>
      <c r="C41" s="14" t="s">
        <v>99</v>
      </c>
      <c r="D41" s="14" t="s">
        <v>99</v>
      </c>
      <c r="E41" s="14" t="s">
        <v>99</v>
      </c>
      <c r="F41" s="14" t="s">
        <v>1665</v>
      </c>
      <c r="G41" s="14" t="s">
        <v>99</v>
      </c>
      <c r="H41" s="14" t="s">
        <v>99</v>
      </c>
      <c r="I41" s="14" t="s">
        <v>1666</v>
      </c>
      <c r="J41" s="14" t="s">
        <v>1020</v>
      </c>
      <c r="K41" s="14" t="s">
        <v>99</v>
      </c>
      <c r="L41" s="14" t="s">
        <v>99</v>
      </c>
      <c r="M41" s="14" t="s">
        <v>103</v>
      </c>
      <c r="N41" s="14" t="s">
        <v>104</v>
      </c>
      <c r="O41" s="14" t="s">
        <v>99</v>
      </c>
      <c r="P41" s="14" t="s">
        <v>99</v>
      </c>
      <c r="Q41" s="14" t="s">
        <v>99</v>
      </c>
      <c r="R41" s="14" t="s">
        <v>99</v>
      </c>
      <c r="S41" s="14" t="s">
        <v>99</v>
      </c>
      <c r="T41" s="14" t="s">
        <v>1667</v>
      </c>
      <c r="U41" s="14" t="s">
        <v>1668</v>
      </c>
      <c r="V41" s="14" t="s">
        <v>1669</v>
      </c>
      <c r="W41" s="14" t="s">
        <v>1670</v>
      </c>
      <c r="X41" s="14" t="s">
        <v>1671</v>
      </c>
      <c r="Y41" s="14" t="s">
        <v>1672</v>
      </c>
      <c r="Z41" s="14" t="s">
        <v>1673</v>
      </c>
      <c r="AA41" s="14" t="s">
        <v>1674</v>
      </c>
      <c r="AB41" s="14" t="s">
        <v>1675</v>
      </c>
      <c r="AC41" s="14" t="s">
        <v>1676</v>
      </c>
      <c r="AD41" s="14" t="s">
        <v>1677</v>
      </c>
      <c r="AE41" s="14" t="s">
        <v>1678</v>
      </c>
      <c r="AF41" s="14" t="s">
        <v>99</v>
      </c>
      <c r="AG41" s="14">
        <v>40.0</v>
      </c>
      <c r="AH41" s="14">
        <v>13.0</v>
      </c>
      <c r="AI41" s="14">
        <v>13.0</v>
      </c>
      <c r="AJ41" s="14">
        <v>3.0</v>
      </c>
      <c r="AK41" s="14">
        <v>58.0</v>
      </c>
      <c r="AL41" s="14" t="s">
        <v>441</v>
      </c>
      <c r="AM41" s="14" t="s">
        <v>442</v>
      </c>
      <c r="AN41" s="14" t="s">
        <v>443</v>
      </c>
      <c r="AO41" s="14" t="s">
        <v>1035</v>
      </c>
      <c r="AP41" s="14" t="s">
        <v>1036</v>
      </c>
      <c r="AQ41" s="14" t="s">
        <v>99</v>
      </c>
      <c r="AR41" s="14" t="s">
        <v>1037</v>
      </c>
      <c r="AS41" s="14" t="s">
        <v>1038</v>
      </c>
      <c r="AT41" s="14" t="s">
        <v>1039</v>
      </c>
      <c r="AU41" s="14">
        <v>2016.0</v>
      </c>
      <c r="AV41" s="14">
        <v>572.0</v>
      </c>
      <c r="AW41" s="14" t="s">
        <v>99</v>
      </c>
      <c r="AX41" s="14" t="s">
        <v>99</v>
      </c>
      <c r="AY41" s="14" t="s">
        <v>99</v>
      </c>
      <c r="AZ41" s="14" t="s">
        <v>99</v>
      </c>
      <c r="BA41" s="14" t="s">
        <v>99</v>
      </c>
      <c r="BB41" s="14">
        <v>1485.0</v>
      </c>
      <c r="BC41" s="14">
        <v>1495.0</v>
      </c>
      <c r="BD41" s="14" t="s">
        <v>99</v>
      </c>
      <c r="BE41" s="14" t="s">
        <v>1679</v>
      </c>
      <c r="BF41" s="15" t="str">
        <f>HYPERLINK("http://dx.doi.org/10.1016/j.scitotenv.2016.03.055","http://dx.doi.org/10.1016/j.scitotenv.2016.03.055")</f>
        <v>http://dx.doi.org/10.1016/j.scitotenv.2016.03.055</v>
      </c>
      <c r="BG41" s="14" t="s">
        <v>99</v>
      </c>
      <c r="BH41" s="14" t="s">
        <v>99</v>
      </c>
      <c r="BI41" s="14">
        <v>11.0</v>
      </c>
      <c r="BJ41" s="14" t="s">
        <v>1041</v>
      </c>
      <c r="BK41" s="14" t="s">
        <v>122</v>
      </c>
      <c r="BL41" s="14" t="s">
        <v>260</v>
      </c>
      <c r="BM41" s="14" t="s">
        <v>1680</v>
      </c>
      <c r="BN41" s="14">
        <v>2.7012185E7</v>
      </c>
      <c r="BO41" s="14" t="s">
        <v>1043</v>
      </c>
      <c r="BP41" s="14" t="s">
        <v>99</v>
      </c>
      <c r="BQ41" s="14" t="s">
        <v>99</v>
      </c>
      <c r="BR41" s="14" t="s">
        <v>124</v>
      </c>
      <c r="BS41" s="14" t="s">
        <v>1681</v>
      </c>
      <c r="BT41" s="14" t="str">
        <f>HYPERLINK("https%3A%2F%2Fwww.webofscience.com%2Fwos%2Fwoscc%2Ffull-record%2FWOS:000387807200143","View Full Record in Web of Science")</f>
        <v>View Full Record in Web of Science</v>
      </c>
    </row>
    <row r="42" ht="12.75" customHeight="1">
      <c r="A42" s="14" t="s">
        <v>97</v>
      </c>
      <c r="B42" s="14" t="s">
        <v>1682</v>
      </c>
      <c r="C42" s="14" t="s">
        <v>99</v>
      </c>
      <c r="D42" s="14" t="s">
        <v>99</v>
      </c>
      <c r="E42" s="14" t="s">
        <v>99</v>
      </c>
      <c r="F42" s="14" t="s">
        <v>1683</v>
      </c>
      <c r="G42" s="14" t="s">
        <v>99</v>
      </c>
      <c r="H42" s="14" t="s">
        <v>99</v>
      </c>
      <c r="I42" s="14" t="s">
        <v>1684</v>
      </c>
      <c r="J42" s="14" t="s">
        <v>1685</v>
      </c>
      <c r="K42" s="14" t="s">
        <v>99</v>
      </c>
      <c r="L42" s="14" t="s">
        <v>99</v>
      </c>
      <c r="M42" s="14" t="s">
        <v>103</v>
      </c>
      <c r="N42" s="14" t="s">
        <v>104</v>
      </c>
      <c r="O42" s="14" t="s">
        <v>99</v>
      </c>
      <c r="P42" s="14" t="s">
        <v>99</v>
      </c>
      <c r="Q42" s="14" t="s">
        <v>99</v>
      </c>
      <c r="R42" s="14" t="s">
        <v>99</v>
      </c>
      <c r="S42" s="14" t="s">
        <v>99</v>
      </c>
      <c r="T42" s="14" t="s">
        <v>1686</v>
      </c>
      <c r="U42" s="14" t="s">
        <v>1687</v>
      </c>
      <c r="V42" s="14" t="s">
        <v>1688</v>
      </c>
      <c r="W42" s="14" t="s">
        <v>1689</v>
      </c>
      <c r="X42" s="14" t="s">
        <v>1690</v>
      </c>
      <c r="Y42" s="14" t="s">
        <v>1691</v>
      </c>
      <c r="Z42" s="14" t="s">
        <v>1692</v>
      </c>
      <c r="AA42" s="14" t="s">
        <v>1693</v>
      </c>
      <c r="AB42" s="14" t="s">
        <v>1694</v>
      </c>
      <c r="AC42" s="14" t="s">
        <v>99</v>
      </c>
      <c r="AD42" s="14" t="s">
        <v>99</v>
      </c>
      <c r="AE42" s="14" t="s">
        <v>99</v>
      </c>
      <c r="AF42" s="14" t="s">
        <v>99</v>
      </c>
      <c r="AG42" s="14">
        <v>70.0</v>
      </c>
      <c r="AH42" s="14">
        <v>81.0</v>
      </c>
      <c r="AI42" s="14">
        <v>87.0</v>
      </c>
      <c r="AJ42" s="14">
        <v>3.0</v>
      </c>
      <c r="AK42" s="14">
        <v>106.0</v>
      </c>
      <c r="AL42" s="14" t="s">
        <v>1347</v>
      </c>
      <c r="AM42" s="14" t="s">
        <v>1348</v>
      </c>
      <c r="AN42" s="14" t="s">
        <v>1349</v>
      </c>
      <c r="AO42" s="14" t="s">
        <v>99</v>
      </c>
      <c r="AP42" s="14" t="s">
        <v>1695</v>
      </c>
      <c r="AQ42" s="14" t="s">
        <v>99</v>
      </c>
      <c r="AR42" s="14" t="s">
        <v>1685</v>
      </c>
      <c r="AS42" s="14" t="s">
        <v>1696</v>
      </c>
      <c r="AT42" s="14" t="s">
        <v>1058</v>
      </c>
      <c r="AU42" s="14">
        <v>2016.0</v>
      </c>
      <c r="AV42" s="14">
        <v>7.0</v>
      </c>
      <c r="AW42" s="14">
        <v>12.0</v>
      </c>
      <c r="AX42" s="14" t="s">
        <v>99</v>
      </c>
      <c r="AY42" s="14" t="s">
        <v>99</v>
      </c>
      <c r="AZ42" s="14" t="s">
        <v>99</v>
      </c>
      <c r="BA42" s="14" t="s">
        <v>99</v>
      </c>
      <c r="BB42" s="14" t="s">
        <v>99</v>
      </c>
      <c r="BC42" s="14" t="s">
        <v>99</v>
      </c>
      <c r="BD42" s="14">
        <v>305.0</v>
      </c>
      <c r="BE42" s="14" t="s">
        <v>1697</v>
      </c>
      <c r="BF42" s="15" t="str">
        <f>HYPERLINK("http://dx.doi.org/10.3390/f7120305","http://dx.doi.org/10.3390/f7120305")</f>
        <v>http://dx.doi.org/10.3390/f7120305</v>
      </c>
      <c r="BG42" s="14" t="s">
        <v>99</v>
      </c>
      <c r="BH42" s="14" t="s">
        <v>99</v>
      </c>
      <c r="BI42" s="14">
        <v>17.0</v>
      </c>
      <c r="BJ42" s="14" t="s">
        <v>281</v>
      </c>
      <c r="BK42" s="14" t="s">
        <v>122</v>
      </c>
      <c r="BL42" s="14" t="s">
        <v>281</v>
      </c>
      <c r="BM42" s="14" t="s">
        <v>1698</v>
      </c>
      <c r="BN42" s="14" t="s">
        <v>99</v>
      </c>
      <c r="BO42" s="14" t="s">
        <v>1251</v>
      </c>
      <c r="BP42" s="14" t="s">
        <v>99</v>
      </c>
      <c r="BQ42" s="14" t="s">
        <v>99</v>
      </c>
      <c r="BR42" s="14" t="s">
        <v>124</v>
      </c>
      <c r="BS42" s="14" t="s">
        <v>1699</v>
      </c>
      <c r="BT42" s="14" t="str">
        <f>HYPERLINK("https%3A%2F%2Fwww.webofscience.com%2Fwos%2Fwoscc%2Ffull-record%2FWOS:000393327700005","View Full Record in Web of Science")</f>
        <v>View Full Record in Web of Science</v>
      </c>
    </row>
    <row r="43" ht="12.75" customHeight="1">
      <c r="A43" s="14" t="s">
        <v>97</v>
      </c>
      <c r="B43" s="14" t="s">
        <v>1718</v>
      </c>
      <c r="C43" s="14" t="s">
        <v>99</v>
      </c>
      <c r="D43" s="14" t="s">
        <v>99</v>
      </c>
      <c r="E43" s="14" t="s">
        <v>99</v>
      </c>
      <c r="F43" s="14" t="s">
        <v>1719</v>
      </c>
      <c r="G43" s="14" t="s">
        <v>99</v>
      </c>
      <c r="H43" s="14" t="s">
        <v>99</v>
      </c>
      <c r="I43" s="14" t="s">
        <v>1720</v>
      </c>
      <c r="J43" s="14" t="s">
        <v>1721</v>
      </c>
      <c r="K43" s="14" t="s">
        <v>99</v>
      </c>
      <c r="L43" s="14" t="s">
        <v>99</v>
      </c>
      <c r="M43" s="14" t="s">
        <v>103</v>
      </c>
      <c r="N43" s="14" t="s">
        <v>104</v>
      </c>
      <c r="O43" s="14" t="s">
        <v>99</v>
      </c>
      <c r="P43" s="14" t="s">
        <v>99</v>
      </c>
      <c r="Q43" s="14" t="s">
        <v>99</v>
      </c>
      <c r="R43" s="14" t="s">
        <v>99</v>
      </c>
      <c r="S43" s="14" t="s">
        <v>99</v>
      </c>
      <c r="T43" s="14" t="s">
        <v>1722</v>
      </c>
      <c r="U43" s="14" t="s">
        <v>1723</v>
      </c>
      <c r="V43" s="14" t="s">
        <v>1724</v>
      </c>
      <c r="W43" s="14" t="s">
        <v>1725</v>
      </c>
      <c r="X43" s="14" t="s">
        <v>1726</v>
      </c>
      <c r="Y43" s="14" t="s">
        <v>1727</v>
      </c>
      <c r="Z43" s="14" t="s">
        <v>1728</v>
      </c>
      <c r="AA43" s="14" t="s">
        <v>1729</v>
      </c>
      <c r="AB43" s="14" t="s">
        <v>1730</v>
      </c>
      <c r="AC43" s="14" t="s">
        <v>99</v>
      </c>
      <c r="AD43" s="14" t="s">
        <v>99</v>
      </c>
      <c r="AE43" s="14" t="s">
        <v>99</v>
      </c>
      <c r="AF43" s="14" t="s">
        <v>99</v>
      </c>
      <c r="AG43" s="14">
        <v>118.0</v>
      </c>
      <c r="AH43" s="14">
        <v>40.0</v>
      </c>
      <c r="AI43" s="14">
        <v>55.0</v>
      </c>
      <c r="AJ43" s="14">
        <v>5.0</v>
      </c>
      <c r="AK43" s="14">
        <v>70.0</v>
      </c>
      <c r="AL43" s="14" t="s">
        <v>1731</v>
      </c>
      <c r="AM43" s="14" t="s">
        <v>1732</v>
      </c>
      <c r="AN43" s="14" t="s">
        <v>1733</v>
      </c>
      <c r="AO43" s="14" t="s">
        <v>1734</v>
      </c>
      <c r="AP43" s="14" t="s">
        <v>1735</v>
      </c>
      <c r="AQ43" s="14" t="s">
        <v>99</v>
      </c>
      <c r="AR43" s="14" t="s">
        <v>1736</v>
      </c>
      <c r="AS43" s="14" t="s">
        <v>1737</v>
      </c>
      <c r="AT43" s="14" t="s">
        <v>348</v>
      </c>
      <c r="AU43" s="14">
        <v>2016.0</v>
      </c>
      <c r="AV43" s="14">
        <v>25.0</v>
      </c>
      <c r="AW43" s="14">
        <v>12.0</v>
      </c>
      <c r="AX43" s="14" t="s">
        <v>99</v>
      </c>
      <c r="AY43" s="14" t="s">
        <v>99</v>
      </c>
      <c r="AZ43" s="14" t="s">
        <v>1738</v>
      </c>
      <c r="BA43" s="14" t="s">
        <v>99</v>
      </c>
      <c r="BB43" s="14">
        <v>2491.0</v>
      </c>
      <c r="BC43" s="14">
        <v>2519.0</v>
      </c>
      <c r="BD43" s="14" t="s">
        <v>99</v>
      </c>
      <c r="BE43" s="14" t="s">
        <v>1739</v>
      </c>
      <c r="BF43" s="15" t="str">
        <f>HYPERLINK("http://dx.doi.org/10.1007/s10531-016-1172-0","http://dx.doi.org/10.1007/s10531-016-1172-0")</f>
        <v>http://dx.doi.org/10.1007/s10531-016-1172-0</v>
      </c>
      <c r="BG43" s="14" t="s">
        <v>99</v>
      </c>
      <c r="BH43" s="14" t="s">
        <v>99</v>
      </c>
      <c r="BI43" s="14">
        <v>29.0</v>
      </c>
      <c r="BJ43" s="14" t="s">
        <v>351</v>
      </c>
      <c r="BK43" s="14" t="s">
        <v>122</v>
      </c>
      <c r="BL43" s="14" t="s">
        <v>352</v>
      </c>
      <c r="BM43" s="14" t="s">
        <v>1740</v>
      </c>
      <c r="BN43" s="14" t="s">
        <v>99</v>
      </c>
      <c r="BO43" s="14" t="s">
        <v>425</v>
      </c>
      <c r="BP43" s="14" t="s">
        <v>99</v>
      </c>
      <c r="BQ43" s="14" t="s">
        <v>99</v>
      </c>
      <c r="BR43" s="14" t="s">
        <v>124</v>
      </c>
      <c r="BS43" s="14" t="s">
        <v>1741</v>
      </c>
      <c r="BT43" s="14" t="str">
        <f>HYPERLINK("https%3A%2F%2Fwww.webofscience.com%2Fwos%2Fwoscc%2Ffull-record%2FWOS:000386500700016","View Full Record in Web of Science")</f>
        <v>View Full Record in Web of Science</v>
      </c>
    </row>
    <row r="44" ht="12.75" customHeight="1">
      <c r="A44" s="14" t="s">
        <v>97</v>
      </c>
      <c r="B44" s="14" t="s">
        <v>1760</v>
      </c>
      <c r="C44" s="14" t="s">
        <v>99</v>
      </c>
      <c r="D44" s="14" t="s">
        <v>99</v>
      </c>
      <c r="E44" s="14" t="s">
        <v>99</v>
      </c>
      <c r="F44" s="14" t="s">
        <v>1761</v>
      </c>
      <c r="G44" s="14" t="s">
        <v>99</v>
      </c>
      <c r="H44" s="14" t="s">
        <v>99</v>
      </c>
      <c r="I44" s="14" t="s">
        <v>1762</v>
      </c>
      <c r="J44" s="14" t="s">
        <v>1763</v>
      </c>
      <c r="K44" s="14" t="s">
        <v>99</v>
      </c>
      <c r="L44" s="14" t="s">
        <v>99</v>
      </c>
      <c r="M44" s="14" t="s">
        <v>103</v>
      </c>
      <c r="N44" s="14" t="s">
        <v>104</v>
      </c>
      <c r="O44" s="14" t="s">
        <v>99</v>
      </c>
      <c r="P44" s="14" t="s">
        <v>99</v>
      </c>
      <c r="Q44" s="14" t="s">
        <v>99</v>
      </c>
      <c r="R44" s="14" t="s">
        <v>99</v>
      </c>
      <c r="S44" s="14" t="s">
        <v>99</v>
      </c>
      <c r="T44" s="14" t="s">
        <v>1764</v>
      </c>
      <c r="U44" s="14" t="s">
        <v>1765</v>
      </c>
      <c r="V44" s="14" t="s">
        <v>1766</v>
      </c>
      <c r="W44" s="14" t="s">
        <v>1767</v>
      </c>
      <c r="X44" s="14" t="s">
        <v>1768</v>
      </c>
      <c r="Y44" s="14" t="s">
        <v>1769</v>
      </c>
      <c r="Z44" s="14" t="s">
        <v>1770</v>
      </c>
      <c r="AA44" s="14" t="s">
        <v>1771</v>
      </c>
      <c r="AB44" s="14" t="s">
        <v>1772</v>
      </c>
      <c r="AC44" s="14" t="s">
        <v>1773</v>
      </c>
      <c r="AD44" s="14" t="s">
        <v>1774</v>
      </c>
      <c r="AE44" s="14" t="s">
        <v>1775</v>
      </c>
      <c r="AF44" s="14" t="s">
        <v>99</v>
      </c>
      <c r="AG44" s="14">
        <v>169.0</v>
      </c>
      <c r="AH44" s="14">
        <v>65.0</v>
      </c>
      <c r="AI44" s="14">
        <v>70.0</v>
      </c>
      <c r="AJ44" s="14">
        <v>9.0</v>
      </c>
      <c r="AK44" s="14">
        <v>91.0</v>
      </c>
      <c r="AL44" s="14" t="s">
        <v>1033</v>
      </c>
      <c r="AM44" s="14" t="s">
        <v>442</v>
      </c>
      <c r="AN44" s="14" t="s">
        <v>1034</v>
      </c>
      <c r="AO44" s="14" t="s">
        <v>1776</v>
      </c>
      <c r="AP44" s="14" t="s">
        <v>99</v>
      </c>
      <c r="AQ44" s="14" t="s">
        <v>99</v>
      </c>
      <c r="AR44" s="14" t="s">
        <v>1777</v>
      </c>
      <c r="AS44" s="14" t="s">
        <v>1778</v>
      </c>
      <c r="AT44" s="14" t="s">
        <v>348</v>
      </c>
      <c r="AU44" s="14">
        <v>2016.0</v>
      </c>
      <c r="AV44" s="14">
        <v>8.0</v>
      </c>
      <c r="AW44" s="14" t="s">
        <v>99</v>
      </c>
      <c r="AX44" s="14">
        <v>2.0</v>
      </c>
      <c r="AY44" s="14" t="s">
        <v>99</v>
      </c>
      <c r="AZ44" s="14" t="s">
        <v>99</v>
      </c>
      <c r="BA44" s="14" t="s">
        <v>99</v>
      </c>
      <c r="BB44" s="14">
        <v>259.0</v>
      </c>
      <c r="BC44" s="14">
        <v>273.0</v>
      </c>
      <c r="BD44" s="14" t="s">
        <v>99</v>
      </c>
      <c r="BE44" s="14" t="s">
        <v>1779</v>
      </c>
      <c r="BF44" s="15" t="str">
        <f>HYPERLINK("http://dx.doi.org/10.1016/j.rsma.2016.09.001","http://dx.doi.org/10.1016/j.rsma.2016.09.001")</f>
        <v>http://dx.doi.org/10.1016/j.rsma.2016.09.001</v>
      </c>
      <c r="BG44" s="14" t="s">
        <v>99</v>
      </c>
      <c r="BH44" s="14" t="s">
        <v>99</v>
      </c>
      <c r="BI44" s="14">
        <v>15.0</v>
      </c>
      <c r="BJ44" s="14" t="s">
        <v>1274</v>
      </c>
      <c r="BK44" s="14" t="s">
        <v>800</v>
      </c>
      <c r="BL44" s="14" t="s">
        <v>397</v>
      </c>
      <c r="BM44" s="14" t="s">
        <v>1780</v>
      </c>
      <c r="BN44" s="14" t="s">
        <v>99</v>
      </c>
      <c r="BO44" s="14" t="s">
        <v>1781</v>
      </c>
      <c r="BP44" s="14" t="s">
        <v>99</v>
      </c>
      <c r="BQ44" s="14" t="s">
        <v>99</v>
      </c>
      <c r="BR44" s="14" t="s">
        <v>124</v>
      </c>
      <c r="BS44" s="14" t="s">
        <v>1782</v>
      </c>
      <c r="BT44" s="14" t="str">
        <f>HYPERLINK("https%3A%2F%2Fwww.webofscience.com%2Fwos%2Fwoscc%2Ffull-record%2FWOS:000414771500005","View Full Record in Web of Science")</f>
        <v>View Full Record in Web of Science</v>
      </c>
    </row>
    <row r="45" ht="12.75" customHeight="1">
      <c r="A45" s="14" t="s">
        <v>97</v>
      </c>
      <c r="B45" s="14" t="s">
        <v>1852</v>
      </c>
      <c r="C45" s="14" t="s">
        <v>99</v>
      </c>
      <c r="D45" s="14" t="s">
        <v>99</v>
      </c>
      <c r="E45" s="14" t="s">
        <v>99</v>
      </c>
      <c r="F45" s="14" t="s">
        <v>1853</v>
      </c>
      <c r="G45" s="14" t="s">
        <v>99</v>
      </c>
      <c r="H45" s="14" t="s">
        <v>99</v>
      </c>
      <c r="I45" s="14" t="s">
        <v>1854</v>
      </c>
      <c r="J45" s="14" t="s">
        <v>1123</v>
      </c>
      <c r="K45" s="14" t="s">
        <v>99</v>
      </c>
      <c r="L45" s="14" t="s">
        <v>99</v>
      </c>
      <c r="M45" s="14" t="s">
        <v>103</v>
      </c>
      <c r="N45" s="14" t="s">
        <v>104</v>
      </c>
      <c r="O45" s="14" t="s">
        <v>99</v>
      </c>
      <c r="P45" s="14" t="s">
        <v>99</v>
      </c>
      <c r="Q45" s="14" t="s">
        <v>99</v>
      </c>
      <c r="R45" s="14" t="s">
        <v>99</v>
      </c>
      <c r="S45" s="14" t="s">
        <v>99</v>
      </c>
      <c r="T45" s="14" t="s">
        <v>1855</v>
      </c>
      <c r="U45" s="14" t="s">
        <v>1856</v>
      </c>
      <c r="V45" s="14" t="s">
        <v>1857</v>
      </c>
      <c r="W45" s="14" t="s">
        <v>1858</v>
      </c>
      <c r="X45" s="14" t="s">
        <v>333</v>
      </c>
      <c r="Y45" s="14" t="s">
        <v>1859</v>
      </c>
      <c r="Z45" s="14" t="s">
        <v>1860</v>
      </c>
      <c r="AA45" s="14" t="s">
        <v>1861</v>
      </c>
      <c r="AB45" s="14" t="s">
        <v>1862</v>
      </c>
      <c r="AC45" s="14" t="s">
        <v>99</v>
      </c>
      <c r="AD45" s="14" t="s">
        <v>99</v>
      </c>
      <c r="AE45" s="14" t="s">
        <v>99</v>
      </c>
      <c r="AF45" s="14" t="s">
        <v>99</v>
      </c>
      <c r="AG45" s="14">
        <v>47.0</v>
      </c>
      <c r="AH45" s="14">
        <v>23.0</v>
      </c>
      <c r="AI45" s="14">
        <v>26.0</v>
      </c>
      <c r="AJ45" s="14">
        <v>3.0</v>
      </c>
      <c r="AK45" s="14">
        <v>41.0</v>
      </c>
      <c r="AL45" s="14" t="s">
        <v>341</v>
      </c>
      <c r="AM45" s="14" t="s">
        <v>342</v>
      </c>
      <c r="AN45" s="14" t="s">
        <v>343</v>
      </c>
      <c r="AO45" s="14" t="s">
        <v>1136</v>
      </c>
      <c r="AP45" s="14" t="s">
        <v>1137</v>
      </c>
      <c r="AQ45" s="14" t="s">
        <v>99</v>
      </c>
      <c r="AR45" s="14" t="s">
        <v>1138</v>
      </c>
      <c r="AS45" s="14" t="s">
        <v>1139</v>
      </c>
      <c r="AT45" s="14" t="s">
        <v>421</v>
      </c>
      <c r="AU45" s="14">
        <v>2016.0</v>
      </c>
      <c r="AV45" s="14">
        <v>27.0</v>
      </c>
      <c r="AW45" s="14">
        <v>5.0</v>
      </c>
      <c r="AX45" s="14" t="s">
        <v>99</v>
      </c>
      <c r="AY45" s="14" t="s">
        <v>99</v>
      </c>
      <c r="AZ45" s="14" t="s">
        <v>99</v>
      </c>
      <c r="BA45" s="14" t="s">
        <v>99</v>
      </c>
      <c r="BB45" s="14">
        <v>948.0</v>
      </c>
      <c r="BC45" s="14">
        <v>957.0</v>
      </c>
      <c r="BD45" s="14" t="s">
        <v>99</v>
      </c>
      <c r="BE45" s="14" t="s">
        <v>1863</v>
      </c>
      <c r="BF45" s="15" t="str">
        <f>HYPERLINK("http://dx.doi.org/10.1111/jvs.12423","http://dx.doi.org/10.1111/jvs.12423")</f>
        <v>http://dx.doi.org/10.1111/jvs.12423</v>
      </c>
      <c r="BG45" s="14" t="s">
        <v>99</v>
      </c>
      <c r="BH45" s="14" t="s">
        <v>99</v>
      </c>
      <c r="BI45" s="14">
        <v>10.0</v>
      </c>
      <c r="BJ45" s="14" t="s">
        <v>1141</v>
      </c>
      <c r="BK45" s="14" t="s">
        <v>122</v>
      </c>
      <c r="BL45" s="14" t="s">
        <v>1142</v>
      </c>
      <c r="BM45" s="14" t="s">
        <v>1864</v>
      </c>
      <c r="BN45" s="14" t="s">
        <v>99</v>
      </c>
      <c r="BO45" s="14" t="s">
        <v>354</v>
      </c>
      <c r="BP45" s="14" t="s">
        <v>99</v>
      </c>
      <c r="BQ45" s="14" t="s">
        <v>99</v>
      </c>
      <c r="BR45" s="14" t="s">
        <v>124</v>
      </c>
      <c r="BS45" s="14" t="s">
        <v>1865</v>
      </c>
      <c r="BT45" s="14" t="str">
        <f>HYPERLINK("https%3A%2F%2Fwww.webofscience.com%2Fwos%2Fwoscc%2Ffull-record%2FWOS:000388439400009","View Full Record in Web of Science")</f>
        <v>View Full Record in Web of Science</v>
      </c>
    </row>
    <row r="46" ht="12.75" customHeight="1">
      <c r="A46" s="14" t="s">
        <v>97</v>
      </c>
      <c r="B46" s="14" t="s">
        <v>1921</v>
      </c>
      <c r="C46" s="14" t="s">
        <v>99</v>
      </c>
      <c r="D46" s="14" t="s">
        <v>99</v>
      </c>
      <c r="E46" s="14" t="s">
        <v>99</v>
      </c>
      <c r="F46" s="14" t="s">
        <v>1922</v>
      </c>
      <c r="G46" s="14" t="s">
        <v>99</v>
      </c>
      <c r="H46" s="14" t="s">
        <v>99</v>
      </c>
      <c r="I46" s="14" t="s">
        <v>1923</v>
      </c>
      <c r="J46" s="14" t="s">
        <v>1924</v>
      </c>
      <c r="K46" s="14" t="s">
        <v>99</v>
      </c>
      <c r="L46" s="14" t="s">
        <v>99</v>
      </c>
      <c r="M46" s="14" t="s">
        <v>103</v>
      </c>
      <c r="N46" s="14" t="s">
        <v>104</v>
      </c>
      <c r="O46" s="14" t="s">
        <v>99</v>
      </c>
      <c r="P46" s="14" t="s">
        <v>99</v>
      </c>
      <c r="Q46" s="14" t="s">
        <v>99</v>
      </c>
      <c r="R46" s="14" t="s">
        <v>99</v>
      </c>
      <c r="S46" s="14" t="s">
        <v>99</v>
      </c>
      <c r="T46" s="14" t="s">
        <v>1925</v>
      </c>
      <c r="U46" s="14" t="s">
        <v>1926</v>
      </c>
      <c r="V46" s="14" t="s">
        <v>1927</v>
      </c>
      <c r="W46" s="14" t="s">
        <v>1928</v>
      </c>
      <c r="X46" s="14" t="s">
        <v>1929</v>
      </c>
      <c r="Y46" s="14" t="s">
        <v>1930</v>
      </c>
      <c r="Z46" s="14" t="s">
        <v>1931</v>
      </c>
      <c r="AA46" s="14" t="s">
        <v>1932</v>
      </c>
      <c r="AB46" s="14" t="s">
        <v>1933</v>
      </c>
      <c r="AC46" s="14" t="s">
        <v>1934</v>
      </c>
      <c r="AD46" s="14" t="s">
        <v>1935</v>
      </c>
      <c r="AE46" s="14" t="s">
        <v>1936</v>
      </c>
      <c r="AF46" s="14" t="s">
        <v>99</v>
      </c>
      <c r="AG46" s="14">
        <v>52.0</v>
      </c>
      <c r="AH46" s="14">
        <v>47.0</v>
      </c>
      <c r="AI46" s="14">
        <v>55.0</v>
      </c>
      <c r="AJ46" s="14">
        <v>3.0</v>
      </c>
      <c r="AK46" s="14">
        <v>117.0</v>
      </c>
      <c r="AL46" s="14" t="s">
        <v>467</v>
      </c>
      <c r="AM46" s="14" t="s">
        <v>468</v>
      </c>
      <c r="AN46" s="14" t="s">
        <v>469</v>
      </c>
      <c r="AO46" s="14" t="s">
        <v>1937</v>
      </c>
      <c r="AP46" s="14" t="s">
        <v>1938</v>
      </c>
      <c r="AQ46" s="14" t="s">
        <v>99</v>
      </c>
      <c r="AR46" s="14" t="s">
        <v>1939</v>
      </c>
      <c r="AS46" s="14" t="s">
        <v>1940</v>
      </c>
      <c r="AT46" s="14" t="s">
        <v>474</v>
      </c>
      <c r="AU46" s="14">
        <v>2016.0</v>
      </c>
      <c r="AV46" s="14">
        <v>98.0</v>
      </c>
      <c r="AW46" s="14" t="s">
        <v>99</v>
      </c>
      <c r="AX46" s="14" t="s">
        <v>99</v>
      </c>
      <c r="AY46" s="14" t="s">
        <v>99</v>
      </c>
      <c r="AZ46" s="14" t="s">
        <v>99</v>
      </c>
      <c r="BA46" s="14" t="s">
        <v>99</v>
      </c>
      <c r="BB46" s="14">
        <v>166.0</v>
      </c>
      <c r="BC46" s="14">
        <v>175.0</v>
      </c>
      <c r="BD46" s="14" t="s">
        <v>99</v>
      </c>
      <c r="BE46" s="14" t="s">
        <v>1941</v>
      </c>
      <c r="BF46" s="15" t="str">
        <f>HYPERLINK("http://dx.doi.org/10.1016/j.orggeochem.2016.06.001","http://dx.doi.org/10.1016/j.orggeochem.2016.06.001")</f>
        <v>http://dx.doi.org/10.1016/j.orggeochem.2016.06.001</v>
      </c>
      <c r="BG46" s="14" t="s">
        <v>99</v>
      </c>
      <c r="BH46" s="14" t="s">
        <v>99</v>
      </c>
      <c r="BI46" s="14">
        <v>10.0</v>
      </c>
      <c r="BJ46" s="14" t="s">
        <v>1942</v>
      </c>
      <c r="BK46" s="14" t="s">
        <v>122</v>
      </c>
      <c r="BL46" s="14" t="s">
        <v>1942</v>
      </c>
      <c r="BM46" s="14" t="s">
        <v>1943</v>
      </c>
      <c r="BN46" s="14" t="s">
        <v>99</v>
      </c>
      <c r="BO46" s="14" t="s">
        <v>99</v>
      </c>
      <c r="BP46" s="14" t="s">
        <v>99</v>
      </c>
      <c r="BQ46" s="14" t="s">
        <v>99</v>
      </c>
      <c r="BR46" s="14" t="s">
        <v>124</v>
      </c>
      <c r="BS46" s="14" t="s">
        <v>1944</v>
      </c>
      <c r="BT46" s="14" t="str">
        <f>HYPERLINK("https%3A%2F%2Fwww.webofscience.com%2Fwos%2Fwoscc%2Ffull-record%2FWOS:000379782300014","View Full Record in Web of Science")</f>
        <v>View Full Record in Web of Science</v>
      </c>
    </row>
    <row r="47" ht="12.75" customHeight="1">
      <c r="A47" s="14" t="s">
        <v>97</v>
      </c>
      <c r="B47" s="14" t="s">
        <v>1963</v>
      </c>
      <c r="C47" s="14" t="s">
        <v>99</v>
      </c>
      <c r="D47" s="14" t="s">
        <v>99</v>
      </c>
      <c r="E47" s="14" t="s">
        <v>99</v>
      </c>
      <c r="F47" s="14" t="s">
        <v>1964</v>
      </c>
      <c r="G47" s="14" t="s">
        <v>99</v>
      </c>
      <c r="H47" s="14" t="s">
        <v>99</v>
      </c>
      <c r="I47" s="14" t="s">
        <v>1965</v>
      </c>
      <c r="J47" s="14" t="s">
        <v>1102</v>
      </c>
      <c r="K47" s="14" t="s">
        <v>99</v>
      </c>
      <c r="L47" s="14" t="s">
        <v>99</v>
      </c>
      <c r="M47" s="14" t="s">
        <v>103</v>
      </c>
      <c r="N47" s="14" t="s">
        <v>104</v>
      </c>
      <c r="O47" s="14" t="s">
        <v>99</v>
      </c>
      <c r="P47" s="14" t="s">
        <v>99</v>
      </c>
      <c r="Q47" s="14" t="s">
        <v>99</v>
      </c>
      <c r="R47" s="14" t="s">
        <v>99</v>
      </c>
      <c r="S47" s="14" t="s">
        <v>99</v>
      </c>
      <c r="T47" s="14" t="s">
        <v>1966</v>
      </c>
      <c r="U47" s="14" t="s">
        <v>1967</v>
      </c>
      <c r="V47" s="14" t="s">
        <v>1968</v>
      </c>
      <c r="W47" s="14" t="s">
        <v>1969</v>
      </c>
      <c r="X47" s="14" t="s">
        <v>1970</v>
      </c>
      <c r="Y47" s="14" t="s">
        <v>1971</v>
      </c>
      <c r="Z47" s="14" t="s">
        <v>1972</v>
      </c>
      <c r="AA47" s="14" t="s">
        <v>1973</v>
      </c>
      <c r="AB47" s="14" t="s">
        <v>1974</v>
      </c>
      <c r="AC47" s="14" t="s">
        <v>1975</v>
      </c>
      <c r="AD47" s="14" t="s">
        <v>1975</v>
      </c>
      <c r="AE47" s="14" t="s">
        <v>1976</v>
      </c>
      <c r="AF47" s="14" t="s">
        <v>99</v>
      </c>
      <c r="AG47" s="14">
        <v>40.0</v>
      </c>
      <c r="AH47" s="14">
        <v>52.0</v>
      </c>
      <c r="AI47" s="14">
        <v>55.0</v>
      </c>
      <c r="AJ47" s="14">
        <v>2.0</v>
      </c>
      <c r="AK47" s="14">
        <v>67.0</v>
      </c>
      <c r="AL47" s="14" t="s">
        <v>493</v>
      </c>
      <c r="AM47" s="14" t="s">
        <v>494</v>
      </c>
      <c r="AN47" s="14" t="s">
        <v>495</v>
      </c>
      <c r="AO47" s="14" t="s">
        <v>1112</v>
      </c>
      <c r="AP47" s="14" t="s">
        <v>1113</v>
      </c>
      <c r="AQ47" s="14" t="s">
        <v>99</v>
      </c>
      <c r="AR47" s="14" t="s">
        <v>1114</v>
      </c>
      <c r="AS47" s="14" t="s">
        <v>1115</v>
      </c>
      <c r="AT47" s="14" t="s">
        <v>474</v>
      </c>
      <c r="AU47" s="14">
        <v>2016.0</v>
      </c>
      <c r="AV47" s="14">
        <v>200.0</v>
      </c>
      <c r="AW47" s="14" t="s">
        <v>99</v>
      </c>
      <c r="AX47" s="14" t="s">
        <v>99</v>
      </c>
      <c r="AY47" s="14" t="s">
        <v>99</v>
      </c>
      <c r="AZ47" s="14" t="s">
        <v>99</v>
      </c>
      <c r="BA47" s="14" t="s">
        <v>99</v>
      </c>
      <c r="BB47" s="14">
        <v>44.0</v>
      </c>
      <c r="BC47" s="14">
        <v>50.0</v>
      </c>
      <c r="BD47" s="14" t="s">
        <v>99</v>
      </c>
      <c r="BE47" s="14" t="s">
        <v>1977</v>
      </c>
      <c r="BF47" s="15" t="str">
        <f>HYPERLINK("http://dx.doi.org/10.1016/j.biocon.2016.05.031","http://dx.doi.org/10.1016/j.biocon.2016.05.031")</f>
        <v>http://dx.doi.org/10.1016/j.biocon.2016.05.031</v>
      </c>
      <c r="BG47" s="14" t="s">
        <v>99</v>
      </c>
      <c r="BH47" s="14" t="s">
        <v>99</v>
      </c>
      <c r="BI47" s="14">
        <v>7.0</v>
      </c>
      <c r="BJ47" s="14" t="s">
        <v>351</v>
      </c>
      <c r="BK47" s="14" t="s">
        <v>122</v>
      </c>
      <c r="BL47" s="14" t="s">
        <v>352</v>
      </c>
      <c r="BM47" s="14" t="s">
        <v>1978</v>
      </c>
      <c r="BN47" s="14" t="s">
        <v>99</v>
      </c>
      <c r="BO47" s="14" t="s">
        <v>1118</v>
      </c>
      <c r="BP47" s="14" t="s">
        <v>99</v>
      </c>
      <c r="BQ47" s="14" t="s">
        <v>99</v>
      </c>
      <c r="BR47" s="14" t="s">
        <v>124</v>
      </c>
      <c r="BS47" s="14" t="s">
        <v>1979</v>
      </c>
      <c r="BT47" s="14" t="str">
        <f>HYPERLINK("https%3A%2F%2Fwww.webofscience.com%2Fwos%2Fwoscc%2Ffull-record%2FWOS:000381325300006","View Full Record in Web of Science")</f>
        <v>View Full Record in Web of Science</v>
      </c>
    </row>
    <row r="48" ht="12.75" customHeight="1">
      <c r="A48" s="14" t="s">
        <v>97</v>
      </c>
      <c r="B48" s="14" t="s">
        <v>1980</v>
      </c>
      <c r="C48" s="14" t="s">
        <v>99</v>
      </c>
      <c r="D48" s="14" t="s">
        <v>99</v>
      </c>
      <c r="E48" s="14" t="s">
        <v>99</v>
      </c>
      <c r="F48" s="14" t="s">
        <v>1981</v>
      </c>
      <c r="G48" s="14" t="s">
        <v>99</v>
      </c>
      <c r="H48" s="14" t="s">
        <v>99</v>
      </c>
      <c r="I48" s="14" t="s">
        <v>1982</v>
      </c>
      <c r="J48" s="14" t="s">
        <v>1102</v>
      </c>
      <c r="K48" s="14" t="s">
        <v>99</v>
      </c>
      <c r="L48" s="14" t="s">
        <v>99</v>
      </c>
      <c r="M48" s="14" t="s">
        <v>103</v>
      </c>
      <c r="N48" s="14" t="s">
        <v>104</v>
      </c>
      <c r="O48" s="14" t="s">
        <v>99</v>
      </c>
      <c r="P48" s="14" t="s">
        <v>99</v>
      </c>
      <c r="Q48" s="14" t="s">
        <v>99</v>
      </c>
      <c r="R48" s="14" t="s">
        <v>99</v>
      </c>
      <c r="S48" s="14" t="s">
        <v>99</v>
      </c>
      <c r="T48" s="14" t="s">
        <v>1983</v>
      </c>
      <c r="U48" s="14" t="s">
        <v>1984</v>
      </c>
      <c r="V48" s="14" t="s">
        <v>1985</v>
      </c>
      <c r="W48" s="14" t="s">
        <v>1986</v>
      </c>
      <c r="X48" s="14" t="s">
        <v>1987</v>
      </c>
      <c r="Y48" s="14" t="s">
        <v>1988</v>
      </c>
      <c r="Z48" s="14" t="s">
        <v>1989</v>
      </c>
      <c r="AA48" s="14" t="s">
        <v>1990</v>
      </c>
      <c r="AB48" s="14" t="s">
        <v>1991</v>
      </c>
      <c r="AC48" s="14" t="s">
        <v>1992</v>
      </c>
      <c r="AD48" s="14" t="s">
        <v>1992</v>
      </c>
      <c r="AE48" s="14" t="s">
        <v>1993</v>
      </c>
      <c r="AF48" s="14" t="s">
        <v>99</v>
      </c>
      <c r="AG48" s="14">
        <v>47.0</v>
      </c>
      <c r="AH48" s="14">
        <v>41.0</v>
      </c>
      <c r="AI48" s="14">
        <v>44.0</v>
      </c>
      <c r="AJ48" s="14">
        <v>0.0</v>
      </c>
      <c r="AK48" s="14">
        <v>103.0</v>
      </c>
      <c r="AL48" s="14" t="s">
        <v>493</v>
      </c>
      <c r="AM48" s="14" t="s">
        <v>468</v>
      </c>
      <c r="AN48" s="14" t="s">
        <v>635</v>
      </c>
      <c r="AO48" s="14" t="s">
        <v>1112</v>
      </c>
      <c r="AP48" s="14" t="s">
        <v>1113</v>
      </c>
      <c r="AQ48" s="14" t="s">
        <v>99</v>
      </c>
      <c r="AR48" s="14" t="s">
        <v>1114</v>
      </c>
      <c r="AS48" s="14" t="s">
        <v>1115</v>
      </c>
      <c r="AT48" s="14" t="s">
        <v>525</v>
      </c>
      <c r="AU48" s="14">
        <v>2016.0</v>
      </c>
      <c r="AV48" s="14">
        <v>199.0</v>
      </c>
      <c r="AW48" s="14" t="s">
        <v>99</v>
      </c>
      <c r="AX48" s="14" t="s">
        <v>99</v>
      </c>
      <c r="AY48" s="14" t="s">
        <v>99</v>
      </c>
      <c r="AZ48" s="14" t="s">
        <v>99</v>
      </c>
      <c r="BA48" s="14" t="s">
        <v>99</v>
      </c>
      <c r="BB48" s="14">
        <v>1.0</v>
      </c>
      <c r="BC48" s="14">
        <v>9.0</v>
      </c>
      <c r="BD48" s="14" t="s">
        <v>99</v>
      </c>
      <c r="BE48" s="14" t="s">
        <v>1994</v>
      </c>
      <c r="BF48" s="15" t="str">
        <f>HYPERLINK("http://dx.doi.org/10.1016/j.biocon.2016.04.013","http://dx.doi.org/10.1016/j.biocon.2016.04.013")</f>
        <v>http://dx.doi.org/10.1016/j.biocon.2016.04.013</v>
      </c>
      <c r="BG48" s="14" t="s">
        <v>99</v>
      </c>
      <c r="BH48" s="14" t="s">
        <v>99</v>
      </c>
      <c r="BI48" s="14">
        <v>9.0</v>
      </c>
      <c r="BJ48" s="14" t="s">
        <v>351</v>
      </c>
      <c r="BK48" s="14" t="s">
        <v>122</v>
      </c>
      <c r="BL48" s="14" t="s">
        <v>352</v>
      </c>
      <c r="BM48" s="14" t="s">
        <v>1995</v>
      </c>
      <c r="BN48" s="14" t="s">
        <v>99</v>
      </c>
      <c r="BO48" s="14" t="s">
        <v>99</v>
      </c>
      <c r="BP48" s="14" t="s">
        <v>99</v>
      </c>
      <c r="BQ48" s="14" t="s">
        <v>99</v>
      </c>
      <c r="BR48" s="14" t="s">
        <v>124</v>
      </c>
      <c r="BS48" s="14" t="s">
        <v>1996</v>
      </c>
      <c r="BT48" s="14" t="str">
        <f>HYPERLINK("https%3A%2F%2Fwww.webofscience.com%2Fwos%2Fwoscc%2Ffull-record%2FWOS:000379559600001","View Full Record in Web of Science")</f>
        <v>View Full Record in Web of Science</v>
      </c>
    </row>
    <row r="49" ht="12.75" customHeight="1">
      <c r="A49" s="14" t="s">
        <v>97</v>
      </c>
      <c r="B49" s="14" t="s">
        <v>1997</v>
      </c>
      <c r="C49" s="14" t="s">
        <v>99</v>
      </c>
      <c r="D49" s="14" t="s">
        <v>99</v>
      </c>
      <c r="E49" s="14" t="s">
        <v>99</v>
      </c>
      <c r="F49" s="14" t="s">
        <v>1998</v>
      </c>
      <c r="G49" s="14" t="s">
        <v>99</v>
      </c>
      <c r="H49" s="14" t="s">
        <v>99</v>
      </c>
      <c r="I49" s="14" t="s">
        <v>1999</v>
      </c>
      <c r="J49" s="14" t="s">
        <v>1721</v>
      </c>
      <c r="K49" s="14" t="s">
        <v>99</v>
      </c>
      <c r="L49" s="14" t="s">
        <v>99</v>
      </c>
      <c r="M49" s="14" t="s">
        <v>103</v>
      </c>
      <c r="N49" s="14" t="s">
        <v>104</v>
      </c>
      <c r="O49" s="14" t="s">
        <v>99</v>
      </c>
      <c r="P49" s="14" t="s">
        <v>99</v>
      </c>
      <c r="Q49" s="14" t="s">
        <v>99</v>
      </c>
      <c r="R49" s="14" t="s">
        <v>99</v>
      </c>
      <c r="S49" s="14" t="s">
        <v>99</v>
      </c>
      <c r="T49" s="14" t="s">
        <v>2000</v>
      </c>
      <c r="U49" s="14" t="s">
        <v>2001</v>
      </c>
      <c r="V49" s="14" t="s">
        <v>2002</v>
      </c>
      <c r="W49" s="14" t="s">
        <v>2003</v>
      </c>
      <c r="X49" s="14" t="s">
        <v>2004</v>
      </c>
      <c r="Y49" s="14" t="s">
        <v>2005</v>
      </c>
      <c r="Z49" s="14" t="s">
        <v>2006</v>
      </c>
      <c r="AA49" s="14" t="s">
        <v>2007</v>
      </c>
      <c r="AB49" s="14" t="s">
        <v>2008</v>
      </c>
      <c r="AC49" s="14" t="s">
        <v>2009</v>
      </c>
      <c r="AD49" s="14" t="s">
        <v>2010</v>
      </c>
      <c r="AE49" s="14" t="s">
        <v>2011</v>
      </c>
      <c r="AF49" s="14" t="s">
        <v>99</v>
      </c>
      <c r="AG49" s="14">
        <v>185.0</v>
      </c>
      <c r="AH49" s="14">
        <v>112.0</v>
      </c>
      <c r="AI49" s="14">
        <v>119.0</v>
      </c>
      <c r="AJ49" s="14">
        <v>1.0</v>
      </c>
      <c r="AK49" s="14">
        <v>152.0</v>
      </c>
      <c r="AL49" s="14" t="s">
        <v>1731</v>
      </c>
      <c r="AM49" s="14" t="s">
        <v>1732</v>
      </c>
      <c r="AN49" s="14" t="s">
        <v>1733</v>
      </c>
      <c r="AO49" s="14" t="s">
        <v>1734</v>
      </c>
      <c r="AP49" s="14" t="s">
        <v>1735</v>
      </c>
      <c r="AQ49" s="14" t="s">
        <v>99</v>
      </c>
      <c r="AR49" s="14" t="s">
        <v>1736</v>
      </c>
      <c r="AS49" s="14" t="s">
        <v>1737</v>
      </c>
      <c r="AT49" s="14" t="s">
        <v>616</v>
      </c>
      <c r="AU49" s="14">
        <v>2016.0</v>
      </c>
      <c r="AV49" s="14">
        <v>25.0</v>
      </c>
      <c r="AW49" s="14">
        <v>7.0</v>
      </c>
      <c r="AX49" s="14" t="s">
        <v>99</v>
      </c>
      <c r="AY49" s="14" t="s">
        <v>99</v>
      </c>
      <c r="AZ49" s="14" t="s">
        <v>1738</v>
      </c>
      <c r="BA49" s="14" t="s">
        <v>99</v>
      </c>
      <c r="BB49" s="14">
        <v>1319.0</v>
      </c>
      <c r="BC49" s="14">
        <v>1348.0</v>
      </c>
      <c r="BD49" s="14" t="s">
        <v>99</v>
      </c>
      <c r="BE49" s="14" t="s">
        <v>2012</v>
      </c>
      <c r="BF49" s="15" t="str">
        <f>HYPERLINK("http://dx.doi.org/10.1007/s10531-016-1141-7","http://dx.doi.org/10.1007/s10531-016-1141-7")</f>
        <v>http://dx.doi.org/10.1007/s10531-016-1141-7</v>
      </c>
      <c r="BG49" s="14" t="s">
        <v>99</v>
      </c>
      <c r="BH49" s="14" t="s">
        <v>99</v>
      </c>
      <c r="BI49" s="14">
        <v>30.0</v>
      </c>
      <c r="BJ49" s="14" t="s">
        <v>351</v>
      </c>
      <c r="BK49" s="14" t="s">
        <v>122</v>
      </c>
      <c r="BL49" s="14" t="s">
        <v>352</v>
      </c>
      <c r="BM49" s="14" t="s">
        <v>2013</v>
      </c>
      <c r="BN49" s="14" t="s">
        <v>99</v>
      </c>
      <c r="BO49" s="14" t="s">
        <v>373</v>
      </c>
      <c r="BP49" s="14" t="s">
        <v>99</v>
      </c>
      <c r="BQ49" s="14" t="s">
        <v>99</v>
      </c>
      <c r="BR49" s="14" t="s">
        <v>124</v>
      </c>
      <c r="BS49" s="14" t="s">
        <v>2014</v>
      </c>
      <c r="BT49" s="14" t="str">
        <f>HYPERLINK("https%3A%2F%2Fwww.webofscience.com%2Fwos%2Fwoscc%2Ffull-record%2FWOS:000379006400008","View Full Record in Web of Science")</f>
        <v>View Full Record in Web of Science</v>
      </c>
    </row>
    <row r="50" ht="12.75" customHeight="1">
      <c r="A50" s="14" t="s">
        <v>97</v>
      </c>
      <c r="B50" s="14" t="s">
        <v>2039</v>
      </c>
      <c r="C50" s="14" t="s">
        <v>99</v>
      </c>
      <c r="D50" s="14" t="s">
        <v>99</v>
      </c>
      <c r="E50" s="14" t="s">
        <v>99</v>
      </c>
      <c r="F50" s="14" t="s">
        <v>2040</v>
      </c>
      <c r="G50" s="14" t="s">
        <v>99</v>
      </c>
      <c r="H50" s="14" t="s">
        <v>99</v>
      </c>
      <c r="I50" s="14" t="s">
        <v>2041</v>
      </c>
      <c r="J50" s="14" t="s">
        <v>876</v>
      </c>
      <c r="K50" s="14" t="s">
        <v>99</v>
      </c>
      <c r="L50" s="14" t="s">
        <v>99</v>
      </c>
      <c r="M50" s="14" t="s">
        <v>103</v>
      </c>
      <c r="N50" s="14" t="s">
        <v>104</v>
      </c>
      <c r="O50" s="14" t="s">
        <v>99</v>
      </c>
      <c r="P50" s="14" t="s">
        <v>99</v>
      </c>
      <c r="Q50" s="14" t="s">
        <v>99</v>
      </c>
      <c r="R50" s="14" t="s">
        <v>99</v>
      </c>
      <c r="S50" s="14" t="s">
        <v>99</v>
      </c>
      <c r="T50" s="14" t="s">
        <v>2042</v>
      </c>
      <c r="U50" s="14" t="s">
        <v>2043</v>
      </c>
      <c r="V50" s="14" t="s">
        <v>2044</v>
      </c>
      <c r="W50" s="14" t="s">
        <v>2045</v>
      </c>
      <c r="X50" s="14" t="s">
        <v>2046</v>
      </c>
      <c r="Y50" s="14" t="s">
        <v>2047</v>
      </c>
      <c r="Z50" s="14" t="s">
        <v>2048</v>
      </c>
      <c r="AA50" s="14" t="s">
        <v>2049</v>
      </c>
      <c r="AB50" s="14" t="s">
        <v>2050</v>
      </c>
      <c r="AC50" s="14" t="s">
        <v>2051</v>
      </c>
      <c r="AD50" s="14" t="s">
        <v>2052</v>
      </c>
      <c r="AE50" s="14" t="s">
        <v>2053</v>
      </c>
      <c r="AF50" s="14" t="s">
        <v>99</v>
      </c>
      <c r="AG50" s="14">
        <v>52.0</v>
      </c>
      <c r="AH50" s="14">
        <v>12.0</v>
      </c>
      <c r="AI50" s="14">
        <v>14.0</v>
      </c>
      <c r="AJ50" s="14">
        <v>0.0</v>
      </c>
      <c r="AK50" s="14">
        <v>16.0</v>
      </c>
      <c r="AL50" s="14" t="s">
        <v>441</v>
      </c>
      <c r="AM50" s="14" t="s">
        <v>442</v>
      </c>
      <c r="AN50" s="14" t="s">
        <v>443</v>
      </c>
      <c r="AO50" s="14" t="s">
        <v>889</v>
      </c>
      <c r="AP50" s="14" t="s">
        <v>890</v>
      </c>
      <c r="AQ50" s="14" t="s">
        <v>99</v>
      </c>
      <c r="AR50" s="14" t="s">
        <v>891</v>
      </c>
      <c r="AS50" s="14" t="s">
        <v>892</v>
      </c>
      <c r="AT50" s="14" t="s">
        <v>640</v>
      </c>
      <c r="AU50" s="14">
        <v>2016.0</v>
      </c>
      <c r="AV50" s="14">
        <v>177.0</v>
      </c>
      <c r="AW50" s="14" t="s">
        <v>99</v>
      </c>
      <c r="AX50" s="14" t="s">
        <v>99</v>
      </c>
      <c r="AY50" s="14" t="s">
        <v>99</v>
      </c>
      <c r="AZ50" s="14" t="s">
        <v>99</v>
      </c>
      <c r="BA50" s="14" t="s">
        <v>99</v>
      </c>
      <c r="BB50" s="14">
        <v>71.0</v>
      </c>
      <c r="BC50" s="14">
        <v>81.0</v>
      </c>
      <c r="BD50" s="14" t="s">
        <v>99</v>
      </c>
      <c r="BE50" s="14" t="s">
        <v>2054</v>
      </c>
      <c r="BF50" s="15" t="str">
        <f>HYPERLINK("http://dx.doi.org/10.1016/j.fishres.2016.01.005","http://dx.doi.org/10.1016/j.fishres.2016.01.005")</f>
        <v>http://dx.doi.org/10.1016/j.fishres.2016.01.005</v>
      </c>
      <c r="BG50" s="14" t="s">
        <v>99</v>
      </c>
      <c r="BH50" s="14" t="s">
        <v>99</v>
      </c>
      <c r="BI50" s="14">
        <v>11.0</v>
      </c>
      <c r="BJ50" s="14" t="s">
        <v>894</v>
      </c>
      <c r="BK50" s="14" t="s">
        <v>122</v>
      </c>
      <c r="BL50" s="14" t="s">
        <v>894</v>
      </c>
      <c r="BM50" s="14" t="s">
        <v>2055</v>
      </c>
      <c r="BN50" s="14" t="s">
        <v>99</v>
      </c>
      <c r="BO50" s="14" t="s">
        <v>940</v>
      </c>
      <c r="BP50" s="14" t="s">
        <v>99</v>
      </c>
      <c r="BQ50" s="14" t="s">
        <v>99</v>
      </c>
      <c r="BR50" s="14" t="s">
        <v>124</v>
      </c>
      <c r="BS50" s="14" t="s">
        <v>2056</v>
      </c>
      <c r="BT50" s="14" t="str">
        <f>HYPERLINK("https%3A%2F%2Fwww.webofscience.com%2Fwos%2Fwoscc%2Ffull-record%2FWOS:000372378600009","View Full Record in Web of Science")</f>
        <v>View Full Record in Web of Science</v>
      </c>
    </row>
    <row r="51" ht="12.75" customHeight="1">
      <c r="A51" s="14" t="s">
        <v>97</v>
      </c>
      <c r="B51" s="14" t="s">
        <v>2101</v>
      </c>
      <c r="C51" s="14" t="s">
        <v>99</v>
      </c>
      <c r="D51" s="14" t="s">
        <v>99</v>
      </c>
      <c r="E51" s="14" t="s">
        <v>99</v>
      </c>
      <c r="F51" s="14" t="s">
        <v>2102</v>
      </c>
      <c r="G51" s="14" t="s">
        <v>99</v>
      </c>
      <c r="H51" s="14" t="s">
        <v>99</v>
      </c>
      <c r="I51" s="14" t="s">
        <v>2103</v>
      </c>
      <c r="J51" s="14" t="s">
        <v>2104</v>
      </c>
      <c r="K51" s="14" t="s">
        <v>99</v>
      </c>
      <c r="L51" s="14" t="s">
        <v>99</v>
      </c>
      <c r="M51" s="14" t="s">
        <v>103</v>
      </c>
      <c r="N51" s="14" t="s">
        <v>104</v>
      </c>
      <c r="O51" s="14" t="s">
        <v>99</v>
      </c>
      <c r="P51" s="14" t="s">
        <v>99</v>
      </c>
      <c r="Q51" s="14" t="s">
        <v>99</v>
      </c>
      <c r="R51" s="14" t="s">
        <v>99</v>
      </c>
      <c r="S51" s="14" t="s">
        <v>99</v>
      </c>
      <c r="T51" s="14" t="s">
        <v>2105</v>
      </c>
      <c r="U51" s="14" t="s">
        <v>2106</v>
      </c>
      <c r="V51" s="14" t="s">
        <v>2107</v>
      </c>
      <c r="W51" s="14" t="s">
        <v>2108</v>
      </c>
      <c r="X51" s="14" t="s">
        <v>2109</v>
      </c>
      <c r="Y51" s="14" t="s">
        <v>2110</v>
      </c>
      <c r="Z51" s="14" t="s">
        <v>2111</v>
      </c>
      <c r="AA51" s="14" t="s">
        <v>2112</v>
      </c>
      <c r="AB51" s="14" t="s">
        <v>2113</v>
      </c>
      <c r="AC51" s="14" t="s">
        <v>2114</v>
      </c>
      <c r="AD51" s="14" t="s">
        <v>2115</v>
      </c>
      <c r="AE51" s="14" t="s">
        <v>2116</v>
      </c>
      <c r="AF51" s="14" t="s">
        <v>99</v>
      </c>
      <c r="AG51" s="14">
        <v>60.0</v>
      </c>
      <c r="AH51" s="14">
        <v>93.0</v>
      </c>
      <c r="AI51" s="14">
        <v>101.0</v>
      </c>
      <c r="AJ51" s="14">
        <v>1.0</v>
      </c>
      <c r="AK51" s="14">
        <v>63.0</v>
      </c>
      <c r="AL51" s="14" t="s">
        <v>493</v>
      </c>
      <c r="AM51" s="14" t="s">
        <v>468</v>
      </c>
      <c r="AN51" s="14" t="s">
        <v>635</v>
      </c>
      <c r="AO51" s="14" t="s">
        <v>2117</v>
      </c>
      <c r="AP51" s="14" t="s">
        <v>99</v>
      </c>
      <c r="AQ51" s="14" t="s">
        <v>99</v>
      </c>
      <c r="AR51" s="14" t="s">
        <v>2118</v>
      </c>
      <c r="AS51" s="14" t="s">
        <v>2119</v>
      </c>
      <c r="AT51" s="14" t="s">
        <v>280</v>
      </c>
      <c r="AU51" s="14">
        <v>2016.0</v>
      </c>
      <c r="AV51" s="14">
        <v>42.0</v>
      </c>
      <c r="AW51" s="14">
        <v>1.0</v>
      </c>
      <c r="AX51" s="14" t="s">
        <v>99</v>
      </c>
      <c r="AY51" s="14" t="s">
        <v>99</v>
      </c>
      <c r="AZ51" s="14" t="s">
        <v>99</v>
      </c>
      <c r="BA51" s="14" t="s">
        <v>99</v>
      </c>
      <c r="BB51" s="14">
        <v>6.0</v>
      </c>
      <c r="BC51" s="14">
        <v>17.0</v>
      </c>
      <c r="BD51" s="14" t="s">
        <v>99</v>
      </c>
      <c r="BE51" s="14" t="s">
        <v>2120</v>
      </c>
      <c r="BF51" s="15" t="str">
        <f>HYPERLINK("http://dx.doi.org/10.1016/j.jglr.2015.11.006","http://dx.doi.org/10.1016/j.jglr.2015.11.006")</f>
        <v>http://dx.doi.org/10.1016/j.jglr.2015.11.006</v>
      </c>
      <c r="BG51" s="14" t="s">
        <v>99</v>
      </c>
      <c r="BH51" s="14" t="s">
        <v>99</v>
      </c>
      <c r="BI51" s="14">
        <v>12.0</v>
      </c>
      <c r="BJ51" s="14" t="s">
        <v>2121</v>
      </c>
      <c r="BK51" s="14" t="s">
        <v>122</v>
      </c>
      <c r="BL51" s="14" t="s">
        <v>397</v>
      </c>
      <c r="BM51" s="14" t="s">
        <v>2122</v>
      </c>
      <c r="BN51" s="14" t="s">
        <v>99</v>
      </c>
      <c r="BO51" s="14" t="s">
        <v>451</v>
      </c>
      <c r="BP51" s="14" t="s">
        <v>99</v>
      </c>
      <c r="BQ51" s="14" t="s">
        <v>99</v>
      </c>
      <c r="BR51" s="14" t="s">
        <v>124</v>
      </c>
      <c r="BS51" s="14" t="s">
        <v>2123</v>
      </c>
      <c r="BT51" s="14" t="str">
        <f>HYPERLINK("https%3A%2F%2Fwww.webofscience.com%2Fwos%2Fwoscc%2Ffull-record%2FWOS:000370115500002","View Full Record in Web of Science")</f>
        <v>View Full Record in Web of Science</v>
      </c>
    </row>
    <row r="52" ht="12.75" customHeight="1">
      <c r="A52" s="14" t="s">
        <v>97</v>
      </c>
      <c r="B52" s="14" t="s">
        <v>2124</v>
      </c>
      <c r="C52" s="14" t="s">
        <v>99</v>
      </c>
      <c r="D52" s="14" t="s">
        <v>99</v>
      </c>
      <c r="E52" s="14" t="s">
        <v>99</v>
      </c>
      <c r="F52" s="14" t="s">
        <v>2125</v>
      </c>
      <c r="G52" s="14" t="s">
        <v>99</v>
      </c>
      <c r="H52" s="14" t="s">
        <v>99</v>
      </c>
      <c r="I52" s="14" t="s">
        <v>2126</v>
      </c>
      <c r="J52" s="14" t="s">
        <v>1721</v>
      </c>
      <c r="K52" s="14" t="s">
        <v>99</v>
      </c>
      <c r="L52" s="14" t="s">
        <v>99</v>
      </c>
      <c r="M52" s="14" t="s">
        <v>103</v>
      </c>
      <c r="N52" s="14" t="s">
        <v>104</v>
      </c>
      <c r="O52" s="14" t="s">
        <v>99</v>
      </c>
      <c r="P52" s="14" t="s">
        <v>99</v>
      </c>
      <c r="Q52" s="14" t="s">
        <v>99</v>
      </c>
      <c r="R52" s="14" t="s">
        <v>99</v>
      </c>
      <c r="S52" s="14" t="s">
        <v>99</v>
      </c>
      <c r="T52" s="14" t="s">
        <v>2127</v>
      </c>
      <c r="U52" s="14" t="s">
        <v>2128</v>
      </c>
      <c r="V52" s="14" t="s">
        <v>2129</v>
      </c>
      <c r="W52" s="14" t="s">
        <v>2130</v>
      </c>
      <c r="X52" s="14" t="s">
        <v>2131</v>
      </c>
      <c r="Y52" s="14" t="s">
        <v>2132</v>
      </c>
      <c r="Z52" s="14" t="s">
        <v>2133</v>
      </c>
      <c r="AA52" s="14" t="s">
        <v>2134</v>
      </c>
      <c r="AB52" s="14" t="s">
        <v>2135</v>
      </c>
      <c r="AC52" s="14" t="s">
        <v>99</v>
      </c>
      <c r="AD52" s="14" t="s">
        <v>99</v>
      </c>
      <c r="AE52" s="14" t="s">
        <v>99</v>
      </c>
      <c r="AF52" s="14" t="s">
        <v>99</v>
      </c>
      <c r="AG52" s="14">
        <v>77.0</v>
      </c>
      <c r="AH52" s="14">
        <v>164.0</v>
      </c>
      <c r="AI52" s="14">
        <v>183.0</v>
      </c>
      <c r="AJ52" s="14">
        <v>2.0</v>
      </c>
      <c r="AK52" s="14">
        <v>127.0</v>
      </c>
      <c r="AL52" s="14" t="s">
        <v>1731</v>
      </c>
      <c r="AM52" s="14" t="s">
        <v>1732</v>
      </c>
      <c r="AN52" s="14" t="s">
        <v>1733</v>
      </c>
      <c r="AO52" s="14" t="s">
        <v>1734</v>
      </c>
      <c r="AP52" s="14" t="s">
        <v>1735</v>
      </c>
      <c r="AQ52" s="14" t="s">
        <v>99</v>
      </c>
      <c r="AR52" s="14" t="s">
        <v>1736</v>
      </c>
      <c r="AS52" s="14" t="s">
        <v>1737</v>
      </c>
      <c r="AT52" s="14" t="s">
        <v>280</v>
      </c>
      <c r="AU52" s="14">
        <v>2016.0</v>
      </c>
      <c r="AV52" s="14">
        <v>25.0</v>
      </c>
      <c r="AW52" s="14">
        <v>2.0</v>
      </c>
      <c r="AX52" s="14" t="s">
        <v>99</v>
      </c>
      <c r="AY52" s="14" t="s">
        <v>99</v>
      </c>
      <c r="AZ52" s="14" t="s">
        <v>99</v>
      </c>
      <c r="BA52" s="14" t="s">
        <v>99</v>
      </c>
      <c r="BB52" s="14">
        <v>205.0</v>
      </c>
      <c r="BC52" s="14">
        <v>223.0</v>
      </c>
      <c r="BD52" s="14" t="s">
        <v>99</v>
      </c>
      <c r="BE52" s="14" t="s">
        <v>2136</v>
      </c>
      <c r="BF52" s="15" t="str">
        <f>HYPERLINK("http://dx.doi.org/10.1007/s10531-015-1036-z","http://dx.doi.org/10.1007/s10531-015-1036-z")</f>
        <v>http://dx.doi.org/10.1007/s10531-015-1036-z</v>
      </c>
      <c r="BG52" s="14" t="s">
        <v>99</v>
      </c>
      <c r="BH52" s="14" t="s">
        <v>99</v>
      </c>
      <c r="BI52" s="14">
        <v>19.0</v>
      </c>
      <c r="BJ52" s="14" t="s">
        <v>351</v>
      </c>
      <c r="BK52" s="14" t="s">
        <v>800</v>
      </c>
      <c r="BL52" s="14" t="s">
        <v>352</v>
      </c>
      <c r="BM52" s="14" t="s">
        <v>2137</v>
      </c>
      <c r="BN52" s="14" t="s">
        <v>99</v>
      </c>
      <c r="BO52" s="14" t="s">
        <v>99</v>
      </c>
      <c r="BP52" s="14" t="s">
        <v>99</v>
      </c>
      <c r="BQ52" s="14" t="s">
        <v>99</v>
      </c>
      <c r="BR52" s="14" t="s">
        <v>124</v>
      </c>
      <c r="BS52" s="14" t="s">
        <v>2138</v>
      </c>
      <c r="BT52" s="14" t="str">
        <f>HYPERLINK("https%3A%2F%2Fwww.webofscience.com%2Fwos%2Fwoscc%2Ffull-record%2FWOS:000370137100001","View Full Record in Web of Science")</f>
        <v>View Full Record in Web of Science</v>
      </c>
    </row>
    <row r="53" ht="12.75" customHeight="1">
      <c r="A53" s="14" t="s">
        <v>97</v>
      </c>
      <c r="B53" s="14" t="s">
        <v>2139</v>
      </c>
      <c r="C53" s="14" t="s">
        <v>99</v>
      </c>
      <c r="D53" s="14" t="s">
        <v>99</v>
      </c>
      <c r="E53" s="14" t="s">
        <v>99</v>
      </c>
      <c r="F53" s="14" t="s">
        <v>2140</v>
      </c>
      <c r="G53" s="14" t="s">
        <v>99</v>
      </c>
      <c r="H53" s="14" t="s">
        <v>99</v>
      </c>
      <c r="I53" s="14" t="s">
        <v>2141</v>
      </c>
      <c r="J53" s="14" t="s">
        <v>2142</v>
      </c>
      <c r="K53" s="14" t="s">
        <v>99</v>
      </c>
      <c r="L53" s="14" t="s">
        <v>99</v>
      </c>
      <c r="M53" s="14" t="s">
        <v>103</v>
      </c>
      <c r="N53" s="14" t="s">
        <v>104</v>
      </c>
      <c r="O53" s="14" t="s">
        <v>99</v>
      </c>
      <c r="P53" s="14" t="s">
        <v>99</v>
      </c>
      <c r="Q53" s="14" t="s">
        <v>99</v>
      </c>
      <c r="R53" s="14" t="s">
        <v>99</v>
      </c>
      <c r="S53" s="14" t="s">
        <v>99</v>
      </c>
      <c r="T53" s="14" t="s">
        <v>2143</v>
      </c>
      <c r="U53" s="14" t="s">
        <v>2144</v>
      </c>
      <c r="V53" s="14" t="s">
        <v>2145</v>
      </c>
      <c r="W53" s="14" t="s">
        <v>2146</v>
      </c>
      <c r="X53" s="14" t="s">
        <v>2147</v>
      </c>
      <c r="Y53" s="14" t="s">
        <v>2148</v>
      </c>
      <c r="Z53" s="14" t="s">
        <v>2149</v>
      </c>
      <c r="AA53" s="14" t="s">
        <v>2150</v>
      </c>
      <c r="AB53" s="14" t="s">
        <v>2151</v>
      </c>
      <c r="AC53" s="14" t="s">
        <v>2152</v>
      </c>
      <c r="AD53" s="14" t="s">
        <v>2153</v>
      </c>
      <c r="AE53" s="14" t="s">
        <v>2154</v>
      </c>
      <c r="AF53" s="14" t="s">
        <v>99</v>
      </c>
      <c r="AG53" s="14">
        <v>55.0</v>
      </c>
      <c r="AH53" s="14">
        <v>80.0</v>
      </c>
      <c r="AI53" s="14">
        <v>90.0</v>
      </c>
      <c r="AJ53" s="14">
        <v>1.0</v>
      </c>
      <c r="AK53" s="14">
        <v>113.0</v>
      </c>
      <c r="AL53" s="14" t="s">
        <v>341</v>
      </c>
      <c r="AM53" s="14" t="s">
        <v>342</v>
      </c>
      <c r="AN53" s="14" t="s">
        <v>343</v>
      </c>
      <c r="AO53" s="14" t="s">
        <v>2155</v>
      </c>
      <c r="AP53" s="14" t="s">
        <v>2156</v>
      </c>
      <c r="AQ53" s="14" t="s">
        <v>99</v>
      </c>
      <c r="AR53" s="14" t="s">
        <v>2157</v>
      </c>
      <c r="AS53" s="14" t="s">
        <v>2158</v>
      </c>
      <c r="AT53" s="14" t="s">
        <v>280</v>
      </c>
      <c r="AU53" s="14">
        <v>2016.0</v>
      </c>
      <c r="AV53" s="14">
        <v>30.0</v>
      </c>
      <c r="AW53" s="14">
        <v>1.0</v>
      </c>
      <c r="AX53" s="14" t="s">
        <v>99</v>
      </c>
      <c r="AY53" s="14" t="s">
        <v>99</v>
      </c>
      <c r="AZ53" s="14" t="s">
        <v>99</v>
      </c>
      <c r="BA53" s="14" t="s">
        <v>99</v>
      </c>
      <c r="BB53" s="14">
        <v>142.0</v>
      </c>
      <c r="BC53" s="14">
        <v>153.0</v>
      </c>
      <c r="BD53" s="14" t="s">
        <v>99</v>
      </c>
      <c r="BE53" s="14" t="s">
        <v>2159</v>
      </c>
      <c r="BF53" s="15" t="str">
        <f>HYPERLINK("http://dx.doi.org/10.1111/cobi.12576","http://dx.doi.org/10.1111/cobi.12576")</f>
        <v>http://dx.doi.org/10.1111/cobi.12576</v>
      </c>
      <c r="BG53" s="14" t="s">
        <v>99</v>
      </c>
      <c r="BH53" s="14" t="s">
        <v>99</v>
      </c>
      <c r="BI53" s="14">
        <v>12.0</v>
      </c>
      <c r="BJ53" s="14" t="s">
        <v>351</v>
      </c>
      <c r="BK53" s="14" t="s">
        <v>122</v>
      </c>
      <c r="BL53" s="14" t="s">
        <v>352</v>
      </c>
      <c r="BM53" s="14" t="s">
        <v>2160</v>
      </c>
      <c r="BN53" s="14">
        <v>2.613281E7</v>
      </c>
      <c r="BO53" s="14" t="s">
        <v>238</v>
      </c>
      <c r="BP53" s="14" t="s">
        <v>99</v>
      </c>
      <c r="BQ53" s="14" t="s">
        <v>99</v>
      </c>
      <c r="BR53" s="14" t="s">
        <v>124</v>
      </c>
      <c r="BS53" s="14" t="s">
        <v>2161</v>
      </c>
      <c r="BT53" s="14" t="str">
        <f>HYPERLINK("https%3A%2F%2Fwww.webofscience.com%2Fwos%2Fwoscc%2Ffull-record%2FWOS:000368938000016","View Full Record in Web of Science")</f>
        <v>View Full Record in Web of Science</v>
      </c>
    </row>
    <row r="54" ht="12.75" customHeight="1">
      <c r="A54" s="14" t="s">
        <v>97</v>
      </c>
      <c r="B54" s="14" t="s">
        <v>2162</v>
      </c>
      <c r="C54" s="14" t="s">
        <v>99</v>
      </c>
      <c r="D54" s="14" t="s">
        <v>99</v>
      </c>
      <c r="E54" s="14" t="s">
        <v>99</v>
      </c>
      <c r="F54" s="14" t="s">
        <v>2163</v>
      </c>
      <c r="G54" s="14" t="s">
        <v>99</v>
      </c>
      <c r="H54" s="14" t="s">
        <v>99</v>
      </c>
      <c r="I54" s="14" t="s">
        <v>2164</v>
      </c>
      <c r="J54" s="14" t="s">
        <v>1763</v>
      </c>
      <c r="K54" s="14" t="s">
        <v>99</v>
      </c>
      <c r="L54" s="14" t="s">
        <v>99</v>
      </c>
      <c r="M54" s="14" t="s">
        <v>103</v>
      </c>
      <c r="N54" s="14" t="s">
        <v>104</v>
      </c>
      <c r="O54" s="14" t="s">
        <v>99</v>
      </c>
      <c r="P54" s="14" t="s">
        <v>99</v>
      </c>
      <c r="Q54" s="14" t="s">
        <v>99</v>
      </c>
      <c r="R54" s="14" t="s">
        <v>99</v>
      </c>
      <c r="S54" s="14" t="s">
        <v>99</v>
      </c>
      <c r="T54" s="14" t="s">
        <v>2165</v>
      </c>
      <c r="U54" s="14" t="s">
        <v>2166</v>
      </c>
      <c r="V54" s="14" t="s">
        <v>2167</v>
      </c>
      <c r="W54" s="14" t="s">
        <v>2168</v>
      </c>
      <c r="X54" s="14" t="s">
        <v>2169</v>
      </c>
      <c r="Y54" s="14" t="s">
        <v>2170</v>
      </c>
      <c r="Z54" s="14" t="s">
        <v>2171</v>
      </c>
      <c r="AA54" s="14" t="s">
        <v>2172</v>
      </c>
      <c r="AB54" s="14" t="s">
        <v>2173</v>
      </c>
      <c r="AC54" s="14" t="s">
        <v>2174</v>
      </c>
      <c r="AD54" s="14" t="s">
        <v>2175</v>
      </c>
      <c r="AE54" s="14" t="s">
        <v>2176</v>
      </c>
      <c r="AF54" s="14" t="s">
        <v>99</v>
      </c>
      <c r="AG54" s="14">
        <v>86.0</v>
      </c>
      <c r="AH54" s="14">
        <v>49.0</v>
      </c>
      <c r="AI54" s="14">
        <v>53.0</v>
      </c>
      <c r="AJ54" s="14">
        <v>1.0</v>
      </c>
      <c r="AK54" s="14">
        <v>21.0</v>
      </c>
      <c r="AL54" s="14" t="s">
        <v>441</v>
      </c>
      <c r="AM54" s="14" t="s">
        <v>442</v>
      </c>
      <c r="AN54" s="14" t="s">
        <v>443</v>
      </c>
      <c r="AO54" s="14" t="s">
        <v>1776</v>
      </c>
      <c r="AP54" s="14" t="s">
        <v>99</v>
      </c>
      <c r="AQ54" s="14" t="s">
        <v>99</v>
      </c>
      <c r="AR54" s="14" t="s">
        <v>1777</v>
      </c>
      <c r="AS54" s="14" t="s">
        <v>1778</v>
      </c>
      <c r="AT54" s="14" t="s">
        <v>935</v>
      </c>
      <c r="AU54" s="14">
        <v>2016.0</v>
      </c>
      <c r="AV54" s="14">
        <v>3.0</v>
      </c>
      <c r="AW54" s="14" t="s">
        <v>99</v>
      </c>
      <c r="AX54" s="14" t="s">
        <v>99</v>
      </c>
      <c r="AY54" s="14" t="s">
        <v>99</v>
      </c>
      <c r="AZ54" s="14" t="s">
        <v>99</v>
      </c>
      <c r="BA54" s="14" t="s">
        <v>99</v>
      </c>
      <c r="BB54" s="14">
        <v>107.0</v>
      </c>
      <c r="BC54" s="14">
        <v>118.0</v>
      </c>
      <c r="BD54" s="14" t="s">
        <v>99</v>
      </c>
      <c r="BE54" s="14" t="s">
        <v>2177</v>
      </c>
      <c r="BF54" s="15" t="str">
        <f>HYPERLINK("http://dx.doi.org/10.1016/j.rsma.2015.06.001","http://dx.doi.org/10.1016/j.rsma.2015.06.001")</f>
        <v>http://dx.doi.org/10.1016/j.rsma.2015.06.001</v>
      </c>
      <c r="BG54" s="14" t="s">
        <v>99</v>
      </c>
      <c r="BH54" s="14" t="s">
        <v>99</v>
      </c>
      <c r="BI54" s="14">
        <v>12.0</v>
      </c>
      <c r="BJ54" s="14" t="s">
        <v>1274</v>
      </c>
      <c r="BK54" s="14" t="s">
        <v>122</v>
      </c>
      <c r="BL54" s="14" t="s">
        <v>397</v>
      </c>
      <c r="BM54" s="14" t="s">
        <v>2178</v>
      </c>
      <c r="BN54" s="14" t="s">
        <v>99</v>
      </c>
      <c r="BO54" s="14" t="s">
        <v>99</v>
      </c>
      <c r="BP54" s="14" t="s">
        <v>99</v>
      </c>
      <c r="BQ54" s="14" t="s">
        <v>99</v>
      </c>
      <c r="BR54" s="14" t="s">
        <v>124</v>
      </c>
      <c r="BS54" s="14" t="s">
        <v>2179</v>
      </c>
      <c r="BT54" s="14" t="str">
        <f>HYPERLINK("https%3A%2F%2Fwww.webofscience.com%2Fwos%2Fwoscc%2Ffull-record%2FWOS:000414755500014","View Full Record in Web of Science")</f>
        <v>View Full Record in Web of Science</v>
      </c>
    </row>
    <row r="55" ht="12.75" customHeight="1">
      <c r="A55" s="14" t="s">
        <v>284</v>
      </c>
      <c r="B55" s="14" t="s">
        <v>2180</v>
      </c>
      <c r="C55" s="14" t="s">
        <v>99</v>
      </c>
      <c r="D55" s="14" t="s">
        <v>2181</v>
      </c>
      <c r="E55" s="14" t="s">
        <v>99</v>
      </c>
      <c r="F55" s="14" t="s">
        <v>2182</v>
      </c>
      <c r="G55" s="14" t="s">
        <v>99</v>
      </c>
      <c r="H55" s="14" t="s">
        <v>99</v>
      </c>
      <c r="I55" s="14" t="s">
        <v>2183</v>
      </c>
      <c r="J55" s="14" t="s">
        <v>2184</v>
      </c>
      <c r="K55" s="14" t="s">
        <v>99</v>
      </c>
      <c r="L55" s="14" t="s">
        <v>99</v>
      </c>
      <c r="M55" s="14" t="s">
        <v>103</v>
      </c>
      <c r="N55" s="14" t="s">
        <v>291</v>
      </c>
      <c r="O55" s="14" t="s">
        <v>99</v>
      </c>
      <c r="P55" s="14" t="s">
        <v>99</v>
      </c>
      <c r="Q55" s="14" t="s">
        <v>99</v>
      </c>
      <c r="R55" s="14" t="s">
        <v>99</v>
      </c>
      <c r="S55" s="14" t="s">
        <v>99</v>
      </c>
      <c r="T55" s="14" t="s">
        <v>99</v>
      </c>
      <c r="U55" s="14" t="s">
        <v>2185</v>
      </c>
      <c r="V55" s="14" t="s">
        <v>99</v>
      </c>
      <c r="W55" s="14" t="s">
        <v>2186</v>
      </c>
      <c r="X55" s="14" t="s">
        <v>2187</v>
      </c>
      <c r="Y55" s="14" t="s">
        <v>2188</v>
      </c>
      <c r="Z55" s="14" t="s">
        <v>2189</v>
      </c>
      <c r="AA55" s="14" t="s">
        <v>2190</v>
      </c>
      <c r="AB55" s="14" t="s">
        <v>99</v>
      </c>
      <c r="AC55" s="14" t="s">
        <v>99</v>
      </c>
      <c r="AD55" s="14" t="s">
        <v>99</v>
      </c>
      <c r="AE55" s="14" t="s">
        <v>99</v>
      </c>
      <c r="AF55" s="14" t="s">
        <v>99</v>
      </c>
      <c r="AG55" s="14">
        <v>157.0</v>
      </c>
      <c r="AH55" s="14">
        <v>1.0</v>
      </c>
      <c r="AI55" s="14">
        <v>1.0</v>
      </c>
      <c r="AJ55" s="14">
        <v>0.0</v>
      </c>
      <c r="AK55" s="14">
        <v>11.0</v>
      </c>
      <c r="AL55" s="14" t="s">
        <v>2191</v>
      </c>
      <c r="AM55" s="14" t="s">
        <v>2192</v>
      </c>
      <c r="AN55" s="14" t="s">
        <v>2193</v>
      </c>
      <c r="AO55" s="14" t="s">
        <v>99</v>
      </c>
      <c r="AP55" s="14" t="s">
        <v>99</v>
      </c>
      <c r="AQ55" s="14" t="s">
        <v>2194</v>
      </c>
      <c r="AR55" s="14" t="s">
        <v>99</v>
      </c>
      <c r="AS55" s="14" t="s">
        <v>99</v>
      </c>
      <c r="AT55" s="14" t="s">
        <v>99</v>
      </c>
      <c r="AU55" s="14">
        <v>2016.0</v>
      </c>
      <c r="AV55" s="14" t="s">
        <v>99</v>
      </c>
      <c r="AW55" s="14" t="s">
        <v>99</v>
      </c>
      <c r="AX55" s="14" t="s">
        <v>99</v>
      </c>
      <c r="AY55" s="14" t="s">
        <v>99</v>
      </c>
      <c r="AZ55" s="14" t="s">
        <v>99</v>
      </c>
      <c r="BA55" s="14" t="s">
        <v>99</v>
      </c>
      <c r="BB55" s="14">
        <v>251.0</v>
      </c>
      <c r="BC55" s="14">
        <v>271.0</v>
      </c>
      <c r="BD55" s="14" t="s">
        <v>99</v>
      </c>
      <c r="BE55" s="14" t="s">
        <v>2195</v>
      </c>
      <c r="BF55" s="15" t="str">
        <f>HYPERLINK("http://dx.doi.org/10.1002/wene.41","http://dx.doi.org/10.1002/wene.41")</f>
        <v>http://dx.doi.org/10.1002/wene.41</v>
      </c>
      <c r="BG55" s="14" t="s">
        <v>2196</v>
      </c>
      <c r="BH55" s="14" t="s">
        <v>99</v>
      </c>
      <c r="BI55" s="14">
        <v>21.0</v>
      </c>
      <c r="BJ55" s="14" t="s">
        <v>2197</v>
      </c>
      <c r="BK55" s="14" t="s">
        <v>302</v>
      </c>
      <c r="BL55" s="14" t="s">
        <v>2198</v>
      </c>
      <c r="BM55" s="14" t="s">
        <v>2199</v>
      </c>
      <c r="BN55" s="14" t="s">
        <v>99</v>
      </c>
      <c r="BO55" s="14" t="s">
        <v>99</v>
      </c>
      <c r="BP55" s="14" t="s">
        <v>99</v>
      </c>
      <c r="BQ55" s="14" t="s">
        <v>99</v>
      </c>
      <c r="BR55" s="14" t="s">
        <v>124</v>
      </c>
      <c r="BS55" s="14" t="s">
        <v>2200</v>
      </c>
      <c r="BT55" s="14" t="str">
        <f>HYPERLINK("https%3A%2F%2Fwww.webofscience.com%2Fwos%2Fwoscc%2Ffull-record%2FWOS:000385226400017","View Full Record in Web of Science")</f>
        <v>View Full Record in Web of Science</v>
      </c>
    </row>
    <row r="56" ht="12.75" customHeight="1">
      <c r="A56" s="14" t="s">
        <v>97</v>
      </c>
      <c r="B56" s="14" t="s">
        <v>2218</v>
      </c>
      <c r="C56" s="14" t="s">
        <v>99</v>
      </c>
      <c r="D56" s="14" t="s">
        <v>99</v>
      </c>
      <c r="E56" s="14" t="s">
        <v>99</v>
      </c>
      <c r="F56" s="14" t="s">
        <v>2219</v>
      </c>
      <c r="G56" s="14" t="s">
        <v>99</v>
      </c>
      <c r="H56" s="14" t="s">
        <v>99</v>
      </c>
      <c r="I56" s="14" t="s">
        <v>2220</v>
      </c>
      <c r="J56" s="14" t="s">
        <v>2221</v>
      </c>
      <c r="K56" s="14" t="s">
        <v>99</v>
      </c>
      <c r="L56" s="14" t="s">
        <v>99</v>
      </c>
      <c r="M56" s="14" t="s">
        <v>103</v>
      </c>
      <c r="N56" s="14" t="s">
        <v>104</v>
      </c>
      <c r="O56" s="14" t="s">
        <v>99</v>
      </c>
      <c r="P56" s="14" t="s">
        <v>99</v>
      </c>
      <c r="Q56" s="14" t="s">
        <v>99</v>
      </c>
      <c r="R56" s="14" t="s">
        <v>99</v>
      </c>
      <c r="S56" s="14" t="s">
        <v>99</v>
      </c>
      <c r="T56" s="14" t="s">
        <v>2222</v>
      </c>
      <c r="U56" s="14" t="s">
        <v>2223</v>
      </c>
      <c r="V56" s="14" t="s">
        <v>2224</v>
      </c>
      <c r="W56" s="14" t="s">
        <v>2225</v>
      </c>
      <c r="X56" s="14" t="s">
        <v>2226</v>
      </c>
      <c r="Y56" s="14" t="s">
        <v>2227</v>
      </c>
      <c r="Z56" s="14" t="s">
        <v>2228</v>
      </c>
      <c r="AA56" s="14" t="s">
        <v>2229</v>
      </c>
      <c r="AB56" s="14" t="s">
        <v>2230</v>
      </c>
      <c r="AC56" s="14" t="s">
        <v>2231</v>
      </c>
      <c r="AD56" s="14" t="s">
        <v>2232</v>
      </c>
      <c r="AE56" s="14" t="s">
        <v>2233</v>
      </c>
      <c r="AF56" s="14" t="s">
        <v>99</v>
      </c>
      <c r="AG56" s="14">
        <v>48.0</v>
      </c>
      <c r="AH56" s="14">
        <v>12.0</v>
      </c>
      <c r="AI56" s="14">
        <v>16.0</v>
      </c>
      <c r="AJ56" s="14">
        <v>2.0</v>
      </c>
      <c r="AK56" s="14">
        <v>79.0</v>
      </c>
      <c r="AL56" s="14" t="s">
        <v>2234</v>
      </c>
      <c r="AM56" s="14" t="s">
        <v>2235</v>
      </c>
      <c r="AN56" s="14" t="s">
        <v>2236</v>
      </c>
      <c r="AO56" s="14" t="s">
        <v>2237</v>
      </c>
      <c r="AP56" s="14" t="s">
        <v>2238</v>
      </c>
      <c r="AQ56" s="14" t="s">
        <v>99</v>
      </c>
      <c r="AR56" s="14" t="s">
        <v>2239</v>
      </c>
      <c r="AS56" s="14" t="s">
        <v>2240</v>
      </c>
      <c r="AT56" s="14" t="s">
        <v>935</v>
      </c>
      <c r="AU56" s="14">
        <v>2016.0</v>
      </c>
      <c r="AV56" s="14">
        <v>144.0</v>
      </c>
      <c r="AW56" s="14" t="s">
        <v>99</v>
      </c>
      <c r="AX56" s="14" t="s">
        <v>284</v>
      </c>
      <c r="AY56" s="14" t="s">
        <v>99</v>
      </c>
      <c r="AZ56" s="14" t="s">
        <v>1738</v>
      </c>
      <c r="BA56" s="14" t="s">
        <v>99</v>
      </c>
      <c r="BB56" s="14">
        <v>64.0</v>
      </c>
      <c r="BC56" s="14">
        <v>71.0</v>
      </c>
      <c r="BD56" s="14" t="s">
        <v>99</v>
      </c>
      <c r="BE56" s="14" t="s">
        <v>2241</v>
      </c>
      <c r="BF56" s="15" t="str">
        <f>HYPERLINK("http://dx.doi.org/10.1016/j.envres.2015.09.002","http://dx.doi.org/10.1016/j.envres.2015.09.002")</f>
        <v>http://dx.doi.org/10.1016/j.envres.2015.09.002</v>
      </c>
      <c r="BG56" s="14" t="s">
        <v>99</v>
      </c>
      <c r="BH56" s="14" t="s">
        <v>99</v>
      </c>
      <c r="BI56" s="14">
        <v>8.0</v>
      </c>
      <c r="BJ56" s="14" t="s">
        <v>2242</v>
      </c>
      <c r="BK56" s="14" t="s">
        <v>122</v>
      </c>
      <c r="BL56" s="14" t="s">
        <v>2243</v>
      </c>
      <c r="BM56" s="14" t="s">
        <v>2244</v>
      </c>
      <c r="BN56" s="14">
        <v>2.6386629E7</v>
      </c>
      <c r="BO56" s="14" t="s">
        <v>99</v>
      </c>
      <c r="BP56" s="14" t="s">
        <v>99</v>
      </c>
      <c r="BQ56" s="14" t="s">
        <v>99</v>
      </c>
      <c r="BR56" s="14" t="s">
        <v>124</v>
      </c>
      <c r="BS56" s="14" t="s">
        <v>2245</v>
      </c>
      <c r="BT56" s="14" t="str">
        <f>HYPERLINK("https%3A%2F%2Fwww.webofscience.com%2Fwos%2Fwoscc%2Ffull-record%2FWOS:000366443200007","View Full Record in Web of Science")</f>
        <v>View Full Record in Web of Science</v>
      </c>
    </row>
    <row r="57" ht="12.75" customHeight="1">
      <c r="A57" s="14" t="s">
        <v>97</v>
      </c>
      <c r="B57" s="14" t="s">
        <v>2246</v>
      </c>
      <c r="C57" s="14" t="s">
        <v>99</v>
      </c>
      <c r="D57" s="14" t="s">
        <v>99</v>
      </c>
      <c r="E57" s="14" t="s">
        <v>99</v>
      </c>
      <c r="F57" s="14" t="s">
        <v>2247</v>
      </c>
      <c r="G57" s="14" t="s">
        <v>99</v>
      </c>
      <c r="H57" s="14" t="s">
        <v>99</v>
      </c>
      <c r="I57" s="14" t="s">
        <v>2248</v>
      </c>
      <c r="J57" s="14" t="s">
        <v>328</v>
      </c>
      <c r="K57" s="14" t="s">
        <v>99</v>
      </c>
      <c r="L57" s="14" t="s">
        <v>99</v>
      </c>
      <c r="M57" s="14" t="s">
        <v>103</v>
      </c>
      <c r="N57" s="14" t="s">
        <v>104</v>
      </c>
      <c r="O57" s="14" t="s">
        <v>99</v>
      </c>
      <c r="P57" s="14" t="s">
        <v>99</v>
      </c>
      <c r="Q57" s="14" t="s">
        <v>99</v>
      </c>
      <c r="R57" s="14" t="s">
        <v>99</v>
      </c>
      <c r="S57" s="14" t="s">
        <v>99</v>
      </c>
      <c r="T57" s="14" t="s">
        <v>2249</v>
      </c>
      <c r="U57" s="14" t="s">
        <v>2250</v>
      </c>
      <c r="V57" s="14" t="s">
        <v>2251</v>
      </c>
      <c r="W57" s="14" t="s">
        <v>2252</v>
      </c>
      <c r="X57" s="14" t="s">
        <v>2253</v>
      </c>
      <c r="Y57" s="14" t="s">
        <v>2254</v>
      </c>
      <c r="Z57" s="14" t="s">
        <v>2255</v>
      </c>
      <c r="AA57" s="14" t="s">
        <v>2256</v>
      </c>
      <c r="AB57" s="14" t="s">
        <v>2257</v>
      </c>
      <c r="AC57" s="14" t="s">
        <v>99</v>
      </c>
      <c r="AD57" s="14" t="s">
        <v>99</v>
      </c>
      <c r="AE57" s="14" t="s">
        <v>99</v>
      </c>
      <c r="AF57" s="14" t="s">
        <v>99</v>
      </c>
      <c r="AG57" s="14">
        <v>57.0</v>
      </c>
      <c r="AH57" s="14">
        <v>157.0</v>
      </c>
      <c r="AI57" s="14">
        <v>171.0</v>
      </c>
      <c r="AJ57" s="14">
        <v>2.0</v>
      </c>
      <c r="AK57" s="14">
        <v>225.0</v>
      </c>
      <c r="AL57" s="14" t="s">
        <v>341</v>
      </c>
      <c r="AM57" s="14" t="s">
        <v>342</v>
      </c>
      <c r="AN57" s="14" t="s">
        <v>343</v>
      </c>
      <c r="AO57" s="14" t="s">
        <v>344</v>
      </c>
      <c r="AP57" s="14" t="s">
        <v>345</v>
      </c>
      <c r="AQ57" s="14" t="s">
        <v>99</v>
      </c>
      <c r="AR57" s="14" t="s">
        <v>346</v>
      </c>
      <c r="AS57" s="14" t="s">
        <v>347</v>
      </c>
      <c r="AT57" s="14" t="s">
        <v>935</v>
      </c>
      <c r="AU57" s="14">
        <v>2016.0</v>
      </c>
      <c r="AV57" s="14">
        <v>22.0</v>
      </c>
      <c r="AW57" s="14">
        <v>1.0</v>
      </c>
      <c r="AX57" s="14" t="s">
        <v>99</v>
      </c>
      <c r="AY57" s="14" t="s">
        <v>99</v>
      </c>
      <c r="AZ57" s="14" t="s">
        <v>99</v>
      </c>
      <c r="BA57" s="14" t="s">
        <v>99</v>
      </c>
      <c r="BB57" s="14">
        <v>228.0</v>
      </c>
      <c r="BC57" s="14">
        <v>236.0</v>
      </c>
      <c r="BD57" s="14" t="s">
        <v>99</v>
      </c>
      <c r="BE57" s="14" t="s">
        <v>2258</v>
      </c>
      <c r="BF57" s="15" t="str">
        <f>HYPERLINK("http://dx.doi.org/10.1111/gcb.13091","http://dx.doi.org/10.1111/gcb.13091")</f>
        <v>http://dx.doi.org/10.1111/gcb.13091</v>
      </c>
      <c r="BG57" s="14" t="s">
        <v>99</v>
      </c>
      <c r="BH57" s="14" t="s">
        <v>99</v>
      </c>
      <c r="BI57" s="14">
        <v>9.0</v>
      </c>
      <c r="BJ57" s="14" t="s">
        <v>351</v>
      </c>
      <c r="BK57" s="14" t="s">
        <v>122</v>
      </c>
      <c r="BL57" s="14" t="s">
        <v>352</v>
      </c>
      <c r="BM57" s="14" t="s">
        <v>2259</v>
      </c>
      <c r="BN57" s="14">
        <v>2.6367396E7</v>
      </c>
      <c r="BO57" s="14" t="s">
        <v>99</v>
      </c>
      <c r="BP57" s="14" t="s">
        <v>99</v>
      </c>
      <c r="BQ57" s="14" t="s">
        <v>99</v>
      </c>
      <c r="BR57" s="14" t="s">
        <v>124</v>
      </c>
      <c r="BS57" s="14" t="s">
        <v>2260</v>
      </c>
      <c r="BT57" s="14" t="str">
        <f>HYPERLINK("https%3A%2F%2Fwww.webofscience.com%2Fwos%2Fwoscc%2Ffull-record%2FWOS:000367982900018","View Full Record in Web of Science")</f>
        <v>View Full Record in Web of Science</v>
      </c>
    </row>
    <row r="58" ht="12.75" customHeight="1">
      <c r="A58" s="14" t="s">
        <v>97</v>
      </c>
      <c r="B58" s="14" t="s">
        <v>2354</v>
      </c>
      <c r="C58" s="14" t="s">
        <v>99</v>
      </c>
      <c r="D58" s="14" t="s">
        <v>99</v>
      </c>
      <c r="E58" s="14" t="s">
        <v>99</v>
      </c>
      <c r="F58" s="14" t="s">
        <v>2355</v>
      </c>
      <c r="G58" s="14" t="s">
        <v>99</v>
      </c>
      <c r="H58" s="14" t="s">
        <v>99</v>
      </c>
      <c r="I58" s="14" t="s">
        <v>2356</v>
      </c>
      <c r="J58" s="14" t="s">
        <v>2357</v>
      </c>
      <c r="K58" s="14" t="s">
        <v>99</v>
      </c>
      <c r="L58" s="14" t="s">
        <v>99</v>
      </c>
      <c r="M58" s="14" t="s">
        <v>103</v>
      </c>
      <c r="N58" s="14" t="s">
        <v>104</v>
      </c>
      <c r="O58" s="14" t="s">
        <v>99</v>
      </c>
      <c r="P58" s="14" t="s">
        <v>99</v>
      </c>
      <c r="Q58" s="14" t="s">
        <v>99</v>
      </c>
      <c r="R58" s="14" t="s">
        <v>99</v>
      </c>
      <c r="S58" s="14" t="s">
        <v>99</v>
      </c>
      <c r="T58" s="14" t="s">
        <v>99</v>
      </c>
      <c r="U58" s="14" t="s">
        <v>2358</v>
      </c>
      <c r="V58" s="14" t="s">
        <v>2359</v>
      </c>
      <c r="W58" s="14" t="s">
        <v>2360</v>
      </c>
      <c r="X58" s="14" t="s">
        <v>2361</v>
      </c>
      <c r="Y58" s="14" t="s">
        <v>2362</v>
      </c>
      <c r="Z58" s="14" t="s">
        <v>2363</v>
      </c>
      <c r="AA58" s="14" t="s">
        <v>2364</v>
      </c>
      <c r="AB58" s="14" t="s">
        <v>2365</v>
      </c>
      <c r="AC58" s="14" t="s">
        <v>2366</v>
      </c>
      <c r="AD58" s="14" t="s">
        <v>2367</v>
      </c>
      <c r="AE58" s="14" t="s">
        <v>2368</v>
      </c>
      <c r="AF58" s="14" t="s">
        <v>99</v>
      </c>
      <c r="AG58" s="14">
        <v>58.0</v>
      </c>
      <c r="AH58" s="14">
        <v>22.0</v>
      </c>
      <c r="AI58" s="14">
        <v>26.0</v>
      </c>
      <c r="AJ58" s="14">
        <v>0.0</v>
      </c>
      <c r="AK58" s="14">
        <v>64.0</v>
      </c>
      <c r="AL58" s="14" t="s">
        <v>1731</v>
      </c>
      <c r="AM58" s="14" t="s">
        <v>1732</v>
      </c>
      <c r="AN58" s="14" t="s">
        <v>1733</v>
      </c>
      <c r="AO58" s="14" t="s">
        <v>2369</v>
      </c>
      <c r="AP58" s="14" t="s">
        <v>2370</v>
      </c>
      <c r="AQ58" s="14" t="s">
        <v>99</v>
      </c>
      <c r="AR58" s="14" t="s">
        <v>2357</v>
      </c>
      <c r="AS58" s="14" t="s">
        <v>2371</v>
      </c>
      <c r="AT58" s="14" t="s">
        <v>2372</v>
      </c>
      <c r="AU58" s="14">
        <v>2015.0</v>
      </c>
      <c r="AV58" s="14">
        <v>132.0</v>
      </c>
      <c r="AW58" s="14">
        <v>4.0</v>
      </c>
      <c r="AX58" s="14" t="s">
        <v>99</v>
      </c>
      <c r="AY58" s="14" t="s">
        <v>99</v>
      </c>
      <c r="AZ58" s="14" t="s">
        <v>99</v>
      </c>
      <c r="BA58" s="14" t="s">
        <v>99</v>
      </c>
      <c r="BB58" s="14">
        <v>575.0</v>
      </c>
      <c r="BC58" s="14">
        <v>588.0</v>
      </c>
      <c r="BD58" s="14" t="s">
        <v>99</v>
      </c>
      <c r="BE58" s="14" t="s">
        <v>2373</v>
      </c>
      <c r="BF58" s="15" t="str">
        <f>HYPERLINK("http://dx.doi.org/10.1007/s10584-015-1448-5","http://dx.doi.org/10.1007/s10584-015-1448-5")</f>
        <v>http://dx.doi.org/10.1007/s10584-015-1448-5</v>
      </c>
      <c r="BG58" s="14" t="s">
        <v>99</v>
      </c>
      <c r="BH58" s="14" t="s">
        <v>99</v>
      </c>
      <c r="BI58" s="14">
        <v>14.0</v>
      </c>
      <c r="BJ58" s="14" t="s">
        <v>573</v>
      </c>
      <c r="BK58" s="14" t="s">
        <v>122</v>
      </c>
      <c r="BL58" s="14" t="s">
        <v>574</v>
      </c>
      <c r="BM58" s="14" t="s">
        <v>2374</v>
      </c>
      <c r="BN58" s="14" t="s">
        <v>99</v>
      </c>
      <c r="BO58" s="14" t="s">
        <v>99</v>
      </c>
      <c r="BP58" s="14" t="s">
        <v>99</v>
      </c>
      <c r="BQ58" s="14" t="s">
        <v>99</v>
      </c>
      <c r="BR58" s="14" t="s">
        <v>124</v>
      </c>
      <c r="BS58" s="14" t="s">
        <v>2375</v>
      </c>
      <c r="BT58" s="14" t="str">
        <f>HYPERLINK("https%3A%2F%2Fwww.webofscience.com%2Fwos%2Fwoscc%2Ffull-record%2FWOS:000361799100009","View Full Record in Web of Science")</f>
        <v>View Full Record in Web of Science</v>
      </c>
    </row>
    <row r="59" ht="12.75" customHeight="1">
      <c r="A59" s="14" t="s">
        <v>97</v>
      </c>
      <c r="B59" s="14" t="s">
        <v>2376</v>
      </c>
      <c r="C59" s="14" t="s">
        <v>99</v>
      </c>
      <c r="D59" s="14" t="s">
        <v>99</v>
      </c>
      <c r="E59" s="14" t="s">
        <v>99</v>
      </c>
      <c r="F59" s="14" t="s">
        <v>2377</v>
      </c>
      <c r="G59" s="14" t="s">
        <v>99</v>
      </c>
      <c r="H59" s="14" t="s">
        <v>99</v>
      </c>
      <c r="I59" s="14" t="s">
        <v>2378</v>
      </c>
      <c r="J59" s="14" t="s">
        <v>328</v>
      </c>
      <c r="K59" s="14" t="s">
        <v>99</v>
      </c>
      <c r="L59" s="14" t="s">
        <v>99</v>
      </c>
      <c r="M59" s="14" t="s">
        <v>103</v>
      </c>
      <c r="N59" s="14" t="s">
        <v>104</v>
      </c>
      <c r="O59" s="14" t="s">
        <v>99</v>
      </c>
      <c r="P59" s="14" t="s">
        <v>99</v>
      </c>
      <c r="Q59" s="14" t="s">
        <v>99</v>
      </c>
      <c r="R59" s="14" t="s">
        <v>99</v>
      </c>
      <c r="S59" s="14" t="s">
        <v>99</v>
      </c>
      <c r="T59" s="14" t="s">
        <v>2379</v>
      </c>
      <c r="U59" s="14" t="s">
        <v>2380</v>
      </c>
      <c r="V59" s="14" t="s">
        <v>2381</v>
      </c>
      <c r="W59" s="14" t="s">
        <v>2382</v>
      </c>
      <c r="X59" s="14" t="s">
        <v>2383</v>
      </c>
      <c r="Y59" s="14" t="s">
        <v>2384</v>
      </c>
      <c r="Z59" s="14" t="s">
        <v>2385</v>
      </c>
      <c r="AA59" s="14" t="s">
        <v>2386</v>
      </c>
      <c r="AB59" s="14" t="s">
        <v>2387</v>
      </c>
      <c r="AC59" s="14" t="s">
        <v>2388</v>
      </c>
      <c r="AD59" s="14" t="s">
        <v>2389</v>
      </c>
      <c r="AE59" s="14" t="s">
        <v>2390</v>
      </c>
      <c r="AF59" s="14" t="s">
        <v>99</v>
      </c>
      <c r="AG59" s="14">
        <v>50.0</v>
      </c>
      <c r="AH59" s="14">
        <v>140.0</v>
      </c>
      <c r="AI59" s="14">
        <v>144.0</v>
      </c>
      <c r="AJ59" s="14">
        <v>4.0</v>
      </c>
      <c r="AK59" s="14">
        <v>222.0</v>
      </c>
      <c r="AL59" s="14" t="s">
        <v>341</v>
      </c>
      <c r="AM59" s="14" t="s">
        <v>342</v>
      </c>
      <c r="AN59" s="14" t="s">
        <v>343</v>
      </c>
      <c r="AO59" s="14" t="s">
        <v>344</v>
      </c>
      <c r="AP59" s="14" t="s">
        <v>345</v>
      </c>
      <c r="AQ59" s="14" t="s">
        <v>99</v>
      </c>
      <c r="AR59" s="14" t="s">
        <v>346</v>
      </c>
      <c r="AS59" s="14" t="s">
        <v>347</v>
      </c>
      <c r="AT59" s="14" t="s">
        <v>2372</v>
      </c>
      <c r="AU59" s="14">
        <v>2015.0</v>
      </c>
      <c r="AV59" s="14">
        <v>21.0</v>
      </c>
      <c r="AW59" s="14">
        <v>10.0</v>
      </c>
      <c r="AX59" s="14" t="s">
        <v>99</v>
      </c>
      <c r="AY59" s="14" t="s">
        <v>99</v>
      </c>
      <c r="AZ59" s="14" t="s">
        <v>99</v>
      </c>
      <c r="BA59" s="14" t="s">
        <v>99</v>
      </c>
      <c r="BB59" s="14">
        <v>3726.0</v>
      </c>
      <c r="BC59" s="14">
        <v>3737.0</v>
      </c>
      <c r="BD59" s="14" t="s">
        <v>99</v>
      </c>
      <c r="BE59" s="14" t="s">
        <v>2391</v>
      </c>
      <c r="BF59" s="15" t="str">
        <f>HYPERLINK("http://dx.doi.org/10.1111/gcb.12993","http://dx.doi.org/10.1111/gcb.12993")</f>
        <v>http://dx.doi.org/10.1111/gcb.12993</v>
      </c>
      <c r="BG59" s="14" t="s">
        <v>99</v>
      </c>
      <c r="BH59" s="14" t="s">
        <v>99</v>
      </c>
      <c r="BI59" s="14">
        <v>12.0</v>
      </c>
      <c r="BJ59" s="14" t="s">
        <v>351</v>
      </c>
      <c r="BK59" s="14" t="s">
        <v>122</v>
      </c>
      <c r="BL59" s="14" t="s">
        <v>352</v>
      </c>
      <c r="BM59" s="14" t="s">
        <v>2392</v>
      </c>
      <c r="BN59" s="14">
        <v>2.6212787E7</v>
      </c>
      <c r="BO59" s="14" t="s">
        <v>373</v>
      </c>
      <c r="BP59" s="14" t="s">
        <v>99</v>
      </c>
      <c r="BQ59" s="14" t="s">
        <v>99</v>
      </c>
      <c r="BR59" s="14" t="s">
        <v>124</v>
      </c>
      <c r="BS59" s="14" t="s">
        <v>2393</v>
      </c>
      <c r="BT59" s="14" t="str">
        <f>HYPERLINK("https%3A%2F%2Fwww.webofscience.com%2Fwos%2Fwoscc%2Ffull-record%2FWOS:000360994500014","View Full Record in Web of Science")</f>
        <v>View Full Record in Web of Science</v>
      </c>
    </row>
    <row r="60" ht="12.75" customHeight="1">
      <c r="A60" s="14" t="s">
        <v>97</v>
      </c>
      <c r="B60" s="14" t="s">
        <v>2497</v>
      </c>
      <c r="C60" s="14" t="s">
        <v>99</v>
      </c>
      <c r="D60" s="14" t="s">
        <v>99</v>
      </c>
      <c r="E60" s="14" t="s">
        <v>99</v>
      </c>
      <c r="F60" s="14" t="s">
        <v>2498</v>
      </c>
      <c r="G60" s="14" t="s">
        <v>99</v>
      </c>
      <c r="H60" s="14" t="s">
        <v>99</v>
      </c>
      <c r="I60" s="14" t="s">
        <v>2499</v>
      </c>
      <c r="J60" s="14" t="s">
        <v>2500</v>
      </c>
      <c r="K60" s="14" t="s">
        <v>99</v>
      </c>
      <c r="L60" s="14" t="s">
        <v>99</v>
      </c>
      <c r="M60" s="14" t="s">
        <v>103</v>
      </c>
      <c r="N60" s="14" t="s">
        <v>104</v>
      </c>
      <c r="O60" s="14" t="s">
        <v>99</v>
      </c>
      <c r="P60" s="14" t="s">
        <v>99</v>
      </c>
      <c r="Q60" s="14" t="s">
        <v>99</v>
      </c>
      <c r="R60" s="14" t="s">
        <v>99</v>
      </c>
      <c r="S60" s="14" t="s">
        <v>99</v>
      </c>
      <c r="T60" s="14" t="s">
        <v>99</v>
      </c>
      <c r="U60" s="14" t="s">
        <v>2501</v>
      </c>
      <c r="V60" s="14" t="s">
        <v>2502</v>
      </c>
      <c r="W60" s="14" t="s">
        <v>2503</v>
      </c>
      <c r="X60" s="14" t="s">
        <v>2504</v>
      </c>
      <c r="Y60" s="14" t="s">
        <v>2505</v>
      </c>
      <c r="Z60" s="14" t="s">
        <v>2506</v>
      </c>
      <c r="AA60" s="14" t="s">
        <v>2507</v>
      </c>
      <c r="AB60" s="14" t="s">
        <v>2508</v>
      </c>
      <c r="AC60" s="14" t="s">
        <v>2509</v>
      </c>
      <c r="AD60" s="14" t="s">
        <v>2510</v>
      </c>
      <c r="AE60" s="14" t="s">
        <v>2511</v>
      </c>
      <c r="AF60" s="14" t="s">
        <v>99</v>
      </c>
      <c r="AG60" s="14">
        <v>74.0</v>
      </c>
      <c r="AH60" s="14">
        <v>253.0</v>
      </c>
      <c r="AI60" s="14">
        <v>288.0</v>
      </c>
      <c r="AJ60" s="14">
        <v>1.0</v>
      </c>
      <c r="AK60" s="14">
        <v>108.0</v>
      </c>
      <c r="AL60" s="14" t="s">
        <v>2512</v>
      </c>
      <c r="AM60" s="14" t="s">
        <v>2513</v>
      </c>
      <c r="AN60" s="14" t="s">
        <v>2514</v>
      </c>
      <c r="AO60" s="14" t="s">
        <v>2515</v>
      </c>
      <c r="AP60" s="14" t="s">
        <v>99</v>
      </c>
      <c r="AQ60" s="14" t="s">
        <v>99</v>
      </c>
      <c r="AR60" s="14" t="s">
        <v>2500</v>
      </c>
      <c r="AS60" s="14" t="s">
        <v>2516</v>
      </c>
      <c r="AT60" s="14" t="s">
        <v>2517</v>
      </c>
      <c r="AU60" s="14">
        <v>2015.0</v>
      </c>
      <c r="AV60" s="14">
        <v>10.0</v>
      </c>
      <c r="AW60" s="14">
        <v>8.0</v>
      </c>
      <c r="AX60" s="14" t="s">
        <v>99</v>
      </c>
      <c r="AY60" s="14" t="s">
        <v>99</v>
      </c>
      <c r="AZ60" s="14" t="s">
        <v>99</v>
      </c>
      <c r="BA60" s="14" t="s">
        <v>99</v>
      </c>
      <c r="BB60" s="14" t="s">
        <v>99</v>
      </c>
      <c r="BC60" s="14" t="s">
        <v>99</v>
      </c>
      <c r="BD60" s="14" t="s">
        <v>2518</v>
      </c>
      <c r="BE60" s="14" t="s">
        <v>2519</v>
      </c>
      <c r="BF60" s="15" t="str">
        <f>HYPERLINK("http://dx.doi.org/10.1371/journal.pone.0135152","http://dx.doi.org/10.1371/journal.pone.0135152")</f>
        <v>http://dx.doi.org/10.1371/journal.pone.0135152</v>
      </c>
      <c r="BG60" s="14" t="s">
        <v>99</v>
      </c>
      <c r="BH60" s="14" t="s">
        <v>99</v>
      </c>
      <c r="BI60" s="14">
        <v>22.0</v>
      </c>
      <c r="BJ60" s="14" t="s">
        <v>799</v>
      </c>
      <c r="BK60" s="14" t="s">
        <v>122</v>
      </c>
      <c r="BL60" s="14" t="s">
        <v>801</v>
      </c>
      <c r="BM60" s="14" t="s">
        <v>2520</v>
      </c>
      <c r="BN60" s="14">
        <v>2.6252495E7</v>
      </c>
      <c r="BO60" s="14" t="s">
        <v>1251</v>
      </c>
      <c r="BP60" s="14" t="s">
        <v>99</v>
      </c>
      <c r="BQ60" s="14" t="s">
        <v>99</v>
      </c>
      <c r="BR60" s="14" t="s">
        <v>124</v>
      </c>
      <c r="BS60" s="14" t="s">
        <v>2521</v>
      </c>
      <c r="BT60" s="14" t="str">
        <f>HYPERLINK("https%3A%2F%2Fwww.webofscience.com%2Fwos%2Fwoscc%2Ffull-record%2FWOS:000359121100125","View Full Record in Web of Science")</f>
        <v>View Full Record in Web of Science</v>
      </c>
    </row>
    <row r="61" ht="12.75" customHeight="1">
      <c r="A61" s="14" t="s">
        <v>97</v>
      </c>
      <c r="B61" s="14" t="s">
        <v>2639</v>
      </c>
      <c r="C61" s="14" t="s">
        <v>99</v>
      </c>
      <c r="D61" s="14" t="s">
        <v>99</v>
      </c>
      <c r="E61" s="14" t="s">
        <v>99</v>
      </c>
      <c r="F61" s="14" t="s">
        <v>2640</v>
      </c>
      <c r="G61" s="14" t="s">
        <v>99</v>
      </c>
      <c r="H61" s="14" t="s">
        <v>99</v>
      </c>
      <c r="I61" s="14" t="s">
        <v>2641</v>
      </c>
      <c r="J61" s="14" t="s">
        <v>876</v>
      </c>
      <c r="K61" s="14" t="s">
        <v>99</v>
      </c>
      <c r="L61" s="14" t="s">
        <v>99</v>
      </c>
      <c r="M61" s="14" t="s">
        <v>103</v>
      </c>
      <c r="N61" s="14" t="s">
        <v>104</v>
      </c>
      <c r="O61" s="14" t="s">
        <v>99</v>
      </c>
      <c r="P61" s="14" t="s">
        <v>99</v>
      </c>
      <c r="Q61" s="14" t="s">
        <v>99</v>
      </c>
      <c r="R61" s="14" t="s">
        <v>99</v>
      </c>
      <c r="S61" s="14" t="s">
        <v>99</v>
      </c>
      <c r="T61" s="14" t="s">
        <v>2642</v>
      </c>
      <c r="U61" s="14" t="s">
        <v>2643</v>
      </c>
      <c r="V61" s="14" t="s">
        <v>2644</v>
      </c>
      <c r="W61" s="14" t="s">
        <v>2645</v>
      </c>
      <c r="X61" s="14" t="s">
        <v>2646</v>
      </c>
      <c r="Y61" s="14" t="s">
        <v>2647</v>
      </c>
      <c r="Z61" s="14" t="s">
        <v>2648</v>
      </c>
      <c r="AA61" s="14" t="s">
        <v>2649</v>
      </c>
      <c r="AB61" s="14" t="s">
        <v>2650</v>
      </c>
      <c r="AC61" s="14" t="s">
        <v>2651</v>
      </c>
      <c r="AD61" s="14" t="s">
        <v>2652</v>
      </c>
      <c r="AE61" s="14" t="s">
        <v>2653</v>
      </c>
      <c r="AF61" s="14" t="s">
        <v>99</v>
      </c>
      <c r="AG61" s="14">
        <v>61.0</v>
      </c>
      <c r="AH61" s="14">
        <v>11.0</v>
      </c>
      <c r="AI61" s="14">
        <v>11.0</v>
      </c>
      <c r="AJ61" s="14">
        <v>0.0</v>
      </c>
      <c r="AK61" s="14">
        <v>37.0</v>
      </c>
      <c r="AL61" s="14" t="s">
        <v>441</v>
      </c>
      <c r="AM61" s="14" t="s">
        <v>442</v>
      </c>
      <c r="AN61" s="14" t="s">
        <v>443</v>
      </c>
      <c r="AO61" s="14" t="s">
        <v>889</v>
      </c>
      <c r="AP61" s="14" t="s">
        <v>890</v>
      </c>
      <c r="AQ61" s="14" t="s">
        <v>99</v>
      </c>
      <c r="AR61" s="14" t="s">
        <v>891</v>
      </c>
      <c r="AS61" s="14" t="s">
        <v>892</v>
      </c>
      <c r="AT61" s="14" t="s">
        <v>640</v>
      </c>
      <c r="AU61" s="14">
        <v>2015.0</v>
      </c>
      <c r="AV61" s="14">
        <v>165.0</v>
      </c>
      <c r="AW61" s="14" t="s">
        <v>99</v>
      </c>
      <c r="AX61" s="14" t="s">
        <v>99</v>
      </c>
      <c r="AY61" s="14" t="s">
        <v>99</v>
      </c>
      <c r="AZ61" s="14" t="s">
        <v>99</v>
      </c>
      <c r="BA61" s="14" t="s">
        <v>99</v>
      </c>
      <c r="BB61" s="14">
        <v>63.0</v>
      </c>
      <c r="BC61" s="14">
        <v>70.0</v>
      </c>
      <c r="BD61" s="14" t="s">
        <v>99</v>
      </c>
      <c r="BE61" s="14" t="s">
        <v>2654</v>
      </c>
      <c r="BF61" s="15" t="str">
        <f>HYPERLINK("http://dx.doi.org/10.1016/j.fishres.2014.12.016","http://dx.doi.org/10.1016/j.fishres.2014.12.016")</f>
        <v>http://dx.doi.org/10.1016/j.fishres.2014.12.016</v>
      </c>
      <c r="BG61" s="14" t="s">
        <v>99</v>
      </c>
      <c r="BH61" s="14" t="s">
        <v>99</v>
      </c>
      <c r="BI61" s="14">
        <v>8.0</v>
      </c>
      <c r="BJ61" s="14" t="s">
        <v>894</v>
      </c>
      <c r="BK61" s="14" t="s">
        <v>122</v>
      </c>
      <c r="BL61" s="14" t="s">
        <v>894</v>
      </c>
      <c r="BM61" s="14" t="s">
        <v>2655</v>
      </c>
      <c r="BN61" s="14" t="s">
        <v>99</v>
      </c>
      <c r="BO61" s="14" t="s">
        <v>99</v>
      </c>
      <c r="BP61" s="14" t="s">
        <v>99</v>
      </c>
      <c r="BQ61" s="14" t="s">
        <v>99</v>
      </c>
      <c r="BR61" s="14" t="s">
        <v>124</v>
      </c>
      <c r="BS61" s="14" t="s">
        <v>2656</v>
      </c>
      <c r="BT61" s="14" t="str">
        <f>HYPERLINK("https%3A%2F%2Fwww.webofscience.com%2Fwos%2Fwoscc%2Ffull-record%2FWOS:000352748800007","View Full Record in Web of Science")</f>
        <v>View Full Record in Web of Science</v>
      </c>
    </row>
    <row r="62" ht="12.75" customHeight="1">
      <c r="A62" s="14" t="s">
        <v>97</v>
      </c>
      <c r="B62" s="14" t="s">
        <v>2676</v>
      </c>
      <c r="C62" s="14" t="s">
        <v>99</v>
      </c>
      <c r="D62" s="14" t="s">
        <v>99</v>
      </c>
      <c r="E62" s="14" t="s">
        <v>99</v>
      </c>
      <c r="F62" s="14" t="s">
        <v>2677</v>
      </c>
      <c r="G62" s="14" t="s">
        <v>99</v>
      </c>
      <c r="H62" s="14" t="s">
        <v>99</v>
      </c>
      <c r="I62" s="14" t="s">
        <v>2678</v>
      </c>
      <c r="J62" s="14" t="s">
        <v>328</v>
      </c>
      <c r="K62" s="14" t="s">
        <v>99</v>
      </c>
      <c r="L62" s="14" t="s">
        <v>99</v>
      </c>
      <c r="M62" s="14" t="s">
        <v>103</v>
      </c>
      <c r="N62" s="14" t="s">
        <v>104</v>
      </c>
      <c r="O62" s="14" t="s">
        <v>99</v>
      </c>
      <c r="P62" s="14" t="s">
        <v>99</v>
      </c>
      <c r="Q62" s="14" t="s">
        <v>99</v>
      </c>
      <c r="R62" s="14" t="s">
        <v>99</v>
      </c>
      <c r="S62" s="14" t="s">
        <v>99</v>
      </c>
      <c r="T62" s="14" t="s">
        <v>2679</v>
      </c>
      <c r="U62" s="14" t="s">
        <v>2680</v>
      </c>
      <c r="V62" s="14" t="s">
        <v>2681</v>
      </c>
      <c r="W62" s="14" t="s">
        <v>2682</v>
      </c>
      <c r="X62" s="14" t="s">
        <v>2683</v>
      </c>
      <c r="Y62" s="14" t="s">
        <v>2684</v>
      </c>
      <c r="Z62" s="14" t="s">
        <v>2685</v>
      </c>
      <c r="AA62" s="14" t="s">
        <v>2686</v>
      </c>
      <c r="AB62" s="14" t="s">
        <v>2687</v>
      </c>
      <c r="AC62" s="14" t="s">
        <v>2688</v>
      </c>
      <c r="AD62" s="14" t="s">
        <v>2689</v>
      </c>
      <c r="AE62" s="14" t="s">
        <v>2690</v>
      </c>
      <c r="AF62" s="14" t="s">
        <v>99</v>
      </c>
      <c r="AG62" s="14">
        <v>65.0</v>
      </c>
      <c r="AH62" s="14">
        <v>735.0</v>
      </c>
      <c r="AI62" s="14">
        <v>850.0</v>
      </c>
      <c r="AJ62" s="14">
        <v>43.0</v>
      </c>
      <c r="AK62" s="14">
        <v>957.0</v>
      </c>
      <c r="AL62" s="14" t="s">
        <v>341</v>
      </c>
      <c r="AM62" s="14" t="s">
        <v>342</v>
      </c>
      <c r="AN62" s="14" t="s">
        <v>343</v>
      </c>
      <c r="AO62" s="14" t="s">
        <v>344</v>
      </c>
      <c r="AP62" s="14" t="s">
        <v>345</v>
      </c>
      <c r="AQ62" s="14" t="s">
        <v>99</v>
      </c>
      <c r="AR62" s="14" t="s">
        <v>346</v>
      </c>
      <c r="AS62" s="14" t="s">
        <v>347</v>
      </c>
      <c r="AT62" s="14" t="s">
        <v>718</v>
      </c>
      <c r="AU62" s="14">
        <v>2015.0</v>
      </c>
      <c r="AV62" s="14">
        <v>21.0</v>
      </c>
      <c r="AW62" s="14">
        <v>4.0</v>
      </c>
      <c r="AX62" s="14" t="s">
        <v>99</v>
      </c>
      <c r="AY62" s="14" t="s">
        <v>99</v>
      </c>
      <c r="AZ62" s="14" t="s">
        <v>99</v>
      </c>
      <c r="BA62" s="14" t="s">
        <v>99</v>
      </c>
      <c r="BB62" s="14">
        <v>1601.0</v>
      </c>
      <c r="BC62" s="14">
        <v>1609.0</v>
      </c>
      <c r="BD62" s="14" t="s">
        <v>99</v>
      </c>
      <c r="BE62" s="14" t="s">
        <v>2691</v>
      </c>
      <c r="BF62" s="15" t="str">
        <f>HYPERLINK("http://dx.doi.org/10.1111/gcb.12795","http://dx.doi.org/10.1111/gcb.12795")</f>
        <v>http://dx.doi.org/10.1111/gcb.12795</v>
      </c>
      <c r="BG62" s="14" t="s">
        <v>99</v>
      </c>
      <c r="BH62" s="14" t="s">
        <v>99</v>
      </c>
      <c r="BI62" s="14">
        <v>9.0</v>
      </c>
      <c r="BJ62" s="14" t="s">
        <v>351</v>
      </c>
      <c r="BK62" s="14" t="s">
        <v>122</v>
      </c>
      <c r="BL62" s="14" t="s">
        <v>352</v>
      </c>
      <c r="BM62" s="14" t="s">
        <v>2692</v>
      </c>
      <c r="BN62" s="14">
        <v>2.5369401E7</v>
      </c>
      <c r="BO62" s="14" t="s">
        <v>1251</v>
      </c>
      <c r="BP62" s="14" t="s">
        <v>99</v>
      </c>
      <c r="BQ62" s="14" t="s">
        <v>99</v>
      </c>
      <c r="BR62" s="14" t="s">
        <v>124</v>
      </c>
      <c r="BS62" s="14" t="s">
        <v>2693</v>
      </c>
      <c r="BT62" s="14" t="str">
        <f>HYPERLINK("https%3A%2F%2Fwww.webofscience.com%2Fwos%2Fwoscc%2Ffull-record%2FWOS:000351214100022","View Full Record in Web of Science")</f>
        <v>View Full Record in Web of Science</v>
      </c>
    </row>
    <row r="63" ht="12.75" customHeight="1">
      <c r="A63" s="14" t="s">
        <v>97</v>
      </c>
      <c r="B63" s="14" t="s">
        <v>2694</v>
      </c>
      <c r="C63" s="14" t="s">
        <v>99</v>
      </c>
      <c r="D63" s="14" t="s">
        <v>99</v>
      </c>
      <c r="E63" s="14" t="s">
        <v>99</v>
      </c>
      <c r="F63" s="14" t="s">
        <v>2695</v>
      </c>
      <c r="G63" s="14" t="s">
        <v>99</v>
      </c>
      <c r="H63" s="14" t="s">
        <v>99</v>
      </c>
      <c r="I63" s="14" t="s">
        <v>2696</v>
      </c>
      <c r="J63" s="14" t="s">
        <v>2500</v>
      </c>
      <c r="K63" s="14" t="s">
        <v>99</v>
      </c>
      <c r="L63" s="14" t="s">
        <v>99</v>
      </c>
      <c r="M63" s="14" t="s">
        <v>103</v>
      </c>
      <c r="N63" s="14" t="s">
        <v>104</v>
      </c>
      <c r="O63" s="14" t="s">
        <v>99</v>
      </c>
      <c r="P63" s="14" t="s">
        <v>99</v>
      </c>
      <c r="Q63" s="14" t="s">
        <v>99</v>
      </c>
      <c r="R63" s="14" t="s">
        <v>99</v>
      </c>
      <c r="S63" s="14" t="s">
        <v>99</v>
      </c>
      <c r="T63" s="14" t="s">
        <v>99</v>
      </c>
      <c r="U63" s="14" t="s">
        <v>2697</v>
      </c>
      <c r="V63" s="14" t="s">
        <v>2698</v>
      </c>
      <c r="W63" s="14" t="s">
        <v>2699</v>
      </c>
      <c r="X63" s="14" t="s">
        <v>2700</v>
      </c>
      <c r="Y63" s="14" t="s">
        <v>2701</v>
      </c>
      <c r="Z63" s="14" t="s">
        <v>2702</v>
      </c>
      <c r="AA63" s="14" t="s">
        <v>2703</v>
      </c>
      <c r="AB63" s="14" t="s">
        <v>2704</v>
      </c>
      <c r="AC63" s="14" t="s">
        <v>2705</v>
      </c>
      <c r="AD63" s="14" t="s">
        <v>2705</v>
      </c>
      <c r="AE63" s="14" t="s">
        <v>2706</v>
      </c>
      <c r="AF63" s="14" t="s">
        <v>99</v>
      </c>
      <c r="AG63" s="14">
        <v>35.0</v>
      </c>
      <c r="AH63" s="14">
        <v>76.0</v>
      </c>
      <c r="AI63" s="14">
        <v>89.0</v>
      </c>
      <c r="AJ63" s="14">
        <v>1.0</v>
      </c>
      <c r="AK63" s="14">
        <v>45.0</v>
      </c>
      <c r="AL63" s="14" t="s">
        <v>2512</v>
      </c>
      <c r="AM63" s="14" t="s">
        <v>2513</v>
      </c>
      <c r="AN63" s="14" t="s">
        <v>2514</v>
      </c>
      <c r="AO63" s="14" t="s">
        <v>2515</v>
      </c>
      <c r="AP63" s="14" t="s">
        <v>99</v>
      </c>
      <c r="AQ63" s="14" t="s">
        <v>99</v>
      </c>
      <c r="AR63" s="14" t="s">
        <v>2500</v>
      </c>
      <c r="AS63" s="14" t="s">
        <v>2516</v>
      </c>
      <c r="AT63" s="14" t="s">
        <v>2707</v>
      </c>
      <c r="AU63" s="14">
        <v>2015.0</v>
      </c>
      <c r="AV63" s="14">
        <v>10.0</v>
      </c>
      <c r="AW63" s="14">
        <v>3.0</v>
      </c>
      <c r="AX63" s="14" t="s">
        <v>99</v>
      </c>
      <c r="AY63" s="14" t="s">
        <v>99</v>
      </c>
      <c r="AZ63" s="14" t="s">
        <v>99</v>
      </c>
      <c r="BA63" s="14" t="s">
        <v>99</v>
      </c>
      <c r="BB63" s="14" t="s">
        <v>99</v>
      </c>
      <c r="BC63" s="14" t="s">
        <v>99</v>
      </c>
      <c r="BD63" s="14" t="s">
        <v>2708</v>
      </c>
      <c r="BE63" s="14" t="s">
        <v>2709</v>
      </c>
      <c r="BF63" s="15" t="str">
        <f>HYPERLINK("http://dx.doi.org/10.1371/journal.pone.0120198","http://dx.doi.org/10.1371/journal.pone.0120198")</f>
        <v>http://dx.doi.org/10.1371/journal.pone.0120198</v>
      </c>
      <c r="BG63" s="14" t="s">
        <v>99</v>
      </c>
      <c r="BH63" s="14" t="s">
        <v>99</v>
      </c>
      <c r="BI63" s="14">
        <v>14.0</v>
      </c>
      <c r="BJ63" s="14" t="s">
        <v>799</v>
      </c>
      <c r="BK63" s="14" t="s">
        <v>122</v>
      </c>
      <c r="BL63" s="14" t="s">
        <v>801</v>
      </c>
      <c r="BM63" s="14" t="s">
        <v>2710</v>
      </c>
      <c r="BN63" s="14">
        <v>2.5807292E7</v>
      </c>
      <c r="BO63" s="14" t="s">
        <v>1251</v>
      </c>
      <c r="BP63" s="14" t="s">
        <v>99</v>
      </c>
      <c r="BQ63" s="14" t="s">
        <v>99</v>
      </c>
      <c r="BR63" s="14" t="s">
        <v>124</v>
      </c>
      <c r="BS63" s="14" t="s">
        <v>2711</v>
      </c>
      <c r="BT63" s="14" t="str">
        <f>HYPERLINK("https%3A%2F%2Fwww.webofscience.com%2Fwos%2Fwoscc%2Ffull-record%2FWOS:000351880000071","View Full Record in Web of Science")</f>
        <v>View Full Record in Web of Science</v>
      </c>
    </row>
    <row r="64" ht="12.75" customHeight="1">
      <c r="A64" s="14" t="s">
        <v>97</v>
      </c>
      <c r="B64" s="14" t="s">
        <v>2840</v>
      </c>
      <c r="C64" s="14" t="s">
        <v>99</v>
      </c>
      <c r="D64" s="14" t="s">
        <v>99</v>
      </c>
      <c r="E64" s="14" t="s">
        <v>99</v>
      </c>
      <c r="F64" s="14" t="s">
        <v>2841</v>
      </c>
      <c r="G64" s="14" t="s">
        <v>99</v>
      </c>
      <c r="H64" s="14" t="s">
        <v>99</v>
      </c>
      <c r="I64" s="14" t="s">
        <v>2842</v>
      </c>
      <c r="J64" s="14" t="s">
        <v>2843</v>
      </c>
      <c r="K64" s="14" t="s">
        <v>99</v>
      </c>
      <c r="L64" s="14" t="s">
        <v>99</v>
      </c>
      <c r="M64" s="14" t="s">
        <v>103</v>
      </c>
      <c r="N64" s="14" t="s">
        <v>104</v>
      </c>
      <c r="O64" s="14" t="s">
        <v>99</v>
      </c>
      <c r="P64" s="14" t="s">
        <v>99</v>
      </c>
      <c r="Q64" s="14" t="s">
        <v>99</v>
      </c>
      <c r="R64" s="14" t="s">
        <v>99</v>
      </c>
      <c r="S64" s="14" t="s">
        <v>99</v>
      </c>
      <c r="T64" s="14" t="s">
        <v>2844</v>
      </c>
      <c r="U64" s="14" t="s">
        <v>2845</v>
      </c>
      <c r="V64" s="14" t="s">
        <v>2846</v>
      </c>
      <c r="W64" s="14" t="s">
        <v>2847</v>
      </c>
      <c r="X64" s="14" t="s">
        <v>2848</v>
      </c>
      <c r="Y64" s="14" t="s">
        <v>2849</v>
      </c>
      <c r="Z64" s="14" t="s">
        <v>2850</v>
      </c>
      <c r="AA64" s="14" t="s">
        <v>2851</v>
      </c>
      <c r="AB64" s="14" t="s">
        <v>2852</v>
      </c>
      <c r="AC64" s="14" t="s">
        <v>99</v>
      </c>
      <c r="AD64" s="14" t="s">
        <v>99</v>
      </c>
      <c r="AE64" s="14" t="s">
        <v>99</v>
      </c>
      <c r="AF64" s="14" t="s">
        <v>99</v>
      </c>
      <c r="AG64" s="14">
        <v>38.0</v>
      </c>
      <c r="AH64" s="14">
        <v>248.0</v>
      </c>
      <c r="AI64" s="14">
        <v>301.0</v>
      </c>
      <c r="AJ64" s="14">
        <v>7.0</v>
      </c>
      <c r="AK64" s="14">
        <v>258.0</v>
      </c>
      <c r="AL64" s="14" t="s">
        <v>2073</v>
      </c>
      <c r="AM64" s="14" t="s">
        <v>274</v>
      </c>
      <c r="AN64" s="14" t="s">
        <v>2074</v>
      </c>
      <c r="AO64" s="14" t="s">
        <v>2853</v>
      </c>
      <c r="AP64" s="14" t="s">
        <v>2854</v>
      </c>
      <c r="AQ64" s="14" t="s">
        <v>99</v>
      </c>
      <c r="AR64" s="14" t="s">
        <v>2855</v>
      </c>
      <c r="AS64" s="14" t="s">
        <v>2856</v>
      </c>
      <c r="AT64" s="14" t="s">
        <v>2857</v>
      </c>
      <c r="AU64" s="14">
        <v>2015.0</v>
      </c>
      <c r="AV64" s="14">
        <v>148.0</v>
      </c>
      <c r="AW64" s="14" t="s">
        <v>99</v>
      </c>
      <c r="AX64" s="14" t="s">
        <v>99</v>
      </c>
      <c r="AY64" s="14" t="s">
        <v>99</v>
      </c>
      <c r="AZ64" s="14" t="s">
        <v>1738</v>
      </c>
      <c r="BA64" s="14" t="s">
        <v>99</v>
      </c>
      <c r="BB64" s="14">
        <v>101.0</v>
      </c>
      <c r="BC64" s="14">
        <v>111.0</v>
      </c>
      <c r="BD64" s="14" t="s">
        <v>99</v>
      </c>
      <c r="BE64" s="14" t="s">
        <v>2858</v>
      </c>
      <c r="BF64" s="15" t="str">
        <f>HYPERLINK("http://dx.doi.org/10.1016/j.jenvman.2014.01.020","http://dx.doi.org/10.1016/j.jenvman.2014.01.020")</f>
        <v>http://dx.doi.org/10.1016/j.jenvman.2014.01.020</v>
      </c>
      <c r="BG64" s="14" t="s">
        <v>99</v>
      </c>
      <c r="BH64" s="14" t="s">
        <v>99</v>
      </c>
      <c r="BI64" s="14">
        <v>11.0</v>
      </c>
      <c r="BJ64" s="14" t="s">
        <v>1041</v>
      </c>
      <c r="BK64" s="14" t="s">
        <v>122</v>
      </c>
      <c r="BL64" s="14" t="s">
        <v>260</v>
      </c>
      <c r="BM64" s="14" t="s">
        <v>2859</v>
      </c>
      <c r="BN64" s="14">
        <v>2.4735705E7</v>
      </c>
      <c r="BO64" s="14" t="s">
        <v>99</v>
      </c>
      <c r="BP64" s="14" t="s">
        <v>99</v>
      </c>
      <c r="BQ64" s="14" t="s">
        <v>99</v>
      </c>
      <c r="BR64" s="14" t="s">
        <v>124</v>
      </c>
      <c r="BS64" s="14" t="s">
        <v>2860</v>
      </c>
      <c r="BT64" s="14" t="str">
        <f>HYPERLINK("https%3A%2F%2Fwww.webofscience.com%2Fwos%2Fwoscc%2Ffull-record%2FWOS:000348016400011","View Full Record in Web of Science")</f>
        <v>View Full Record in Web of Science</v>
      </c>
    </row>
    <row r="65" ht="12.75" customHeight="1">
      <c r="A65" s="14" t="s">
        <v>97</v>
      </c>
      <c r="B65" s="14" t="s">
        <v>2905</v>
      </c>
      <c r="C65" s="14" t="s">
        <v>99</v>
      </c>
      <c r="D65" s="14" t="s">
        <v>99</v>
      </c>
      <c r="E65" s="14" t="s">
        <v>99</v>
      </c>
      <c r="F65" s="14" t="s">
        <v>2906</v>
      </c>
      <c r="G65" s="14" t="s">
        <v>99</v>
      </c>
      <c r="H65" s="14" t="s">
        <v>99</v>
      </c>
      <c r="I65" s="14" t="s">
        <v>2907</v>
      </c>
      <c r="J65" s="14" t="s">
        <v>2908</v>
      </c>
      <c r="K65" s="14" t="s">
        <v>99</v>
      </c>
      <c r="L65" s="14" t="s">
        <v>99</v>
      </c>
      <c r="M65" s="14" t="s">
        <v>103</v>
      </c>
      <c r="N65" s="14" t="s">
        <v>104</v>
      </c>
      <c r="O65" s="14" t="s">
        <v>99</v>
      </c>
      <c r="P65" s="14" t="s">
        <v>99</v>
      </c>
      <c r="Q65" s="14" t="s">
        <v>99</v>
      </c>
      <c r="R65" s="14" t="s">
        <v>99</v>
      </c>
      <c r="S65" s="14" t="s">
        <v>99</v>
      </c>
      <c r="T65" s="14" t="s">
        <v>2909</v>
      </c>
      <c r="U65" s="14" t="s">
        <v>2910</v>
      </c>
      <c r="V65" s="14" t="s">
        <v>2911</v>
      </c>
      <c r="W65" s="14" t="s">
        <v>2912</v>
      </c>
      <c r="X65" s="14" t="s">
        <v>99</v>
      </c>
      <c r="Y65" s="14" t="s">
        <v>2913</v>
      </c>
      <c r="Z65" s="14" t="s">
        <v>2914</v>
      </c>
      <c r="AA65" s="14" t="s">
        <v>99</v>
      </c>
      <c r="AB65" s="14" t="s">
        <v>99</v>
      </c>
      <c r="AC65" s="14" t="s">
        <v>2915</v>
      </c>
      <c r="AD65" s="14" t="s">
        <v>2915</v>
      </c>
      <c r="AE65" s="14" t="s">
        <v>2916</v>
      </c>
      <c r="AF65" s="14" t="s">
        <v>99</v>
      </c>
      <c r="AG65" s="14">
        <v>65.0</v>
      </c>
      <c r="AH65" s="14">
        <v>6.0</v>
      </c>
      <c r="AI65" s="14">
        <v>9.0</v>
      </c>
      <c r="AJ65" s="14">
        <v>1.0</v>
      </c>
      <c r="AK65" s="14">
        <v>20.0</v>
      </c>
      <c r="AL65" s="14" t="s">
        <v>2917</v>
      </c>
      <c r="AM65" s="14" t="s">
        <v>2918</v>
      </c>
      <c r="AN65" s="14" t="s">
        <v>2919</v>
      </c>
      <c r="AO65" s="14" t="s">
        <v>2920</v>
      </c>
      <c r="AP65" s="14" t="s">
        <v>2921</v>
      </c>
      <c r="AQ65" s="14" t="s">
        <v>99</v>
      </c>
      <c r="AR65" s="14" t="s">
        <v>2908</v>
      </c>
      <c r="AS65" s="14" t="s">
        <v>2922</v>
      </c>
      <c r="AT65" s="14" t="s">
        <v>99</v>
      </c>
      <c r="AU65" s="14">
        <v>2015.0</v>
      </c>
      <c r="AV65" s="14">
        <v>217.0</v>
      </c>
      <c r="AW65" s="14" t="s">
        <v>99</v>
      </c>
      <c r="AX65" s="14" t="s">
        <v>99</v>
      </c>
      <c r="AY65" s="14" t="s">
        <v>99</v>
      </c>
      <c r="AZ65" s="14" t="s">
        <v>99</v>
      </c>
      <c r="BA65" s="14" t="s">
        <v>99</v>
      </c>
      <c r="BB65" s="14">
        <v>99.0</v>
      </c>
      <c r="BC65" s="14">
        <v>108.0</v>
      </c>
      <c r="BD65" s="14" t="s">
        <v>99</v>
      </c>
      <c r="BE65" s="14" t="s">
        <v>2923</v>
      </c>
      <c r="BF65" s="15" t="str">
        <f>HYPERLINK("http://dx.doi.org/10.1016/j.flora.2015.09.013","http://dx.doi.org/10.1016/j.flora.2015.09.013")</f>
        <v>http://dx.doi.org/10.1016/j.flora.2015.09.013</v>
      </c>
      <c r="BG65" s="14" t="s">
        <v>99</v>
      </c>
      <c r="BH65" s="14" t="s">
        <v>99</v>
      </c>
      <c r="BI65" s="14">
        <v>10.0</v>
      </c>
      <c r="BJ65" s="14" t="s">
        <v>2924</v>
      </c>
      <c r="BK65" s="14" t="s">
        <v>122</v>
      </c>
      <c r="BL65" s="14" t="s">
        <v>2925</v>
      </c>
      <c r="BM65" s="14" t="s">
        <v>2926</v>
      </c>
      <c r="BN65" s="14" t="s">
        <v>99</v>
      </c>
      <c r="BO65" s="14" t="s">
        <v>99</v>
      </c>
      <c r="BP65" s="14" t="s">
        <v>99</v>
      </c>
      <c r="BQ65" s="14" t="s">
        <v>99</v>
      </c>
      <c r="BR65" s="14" t="s">
        <v>124</v>
      </c>
      <c r="BS65" s="14" t="s">
        <v>2927</v>
      </c>
      <c r="BT65" s="14" t="str">
        <f>HYPERLINK("https%3A%2F%2Fwww.webofscience.com%2Fwos%2Fwoscc%2Ffull-record%2FWOS:000367110300012","View Full Record in Web of Science")</f>
        <v>View Full Record in Web of Science</v>
      </c>
    </row>
    <row r="66" ht="12.75" customHeight="1">
      <c r="A66" s="14" t="s">
        <v>97</v>
      </c>
      <c r="B66" s="14" t="s">
        <v>2947</v>
      </c>
      <c r="C66" s="14" t="s">
        <v>99</v>
      </c>
      <c r="D66" s="14" t="s">
        <v>99</v>
      </c>
      <c r="E66" s="14" t="s">
        <v>99</v>
      </c>
      <c r="F66" s="14" t="s">
        <v>2948</v>
      </c>
      <c r="G66" s="14" t="s">
        <v>99</v>
      </c>
      <c r="H66" s="14" t="s">
        <v>99</v>
      </c>
      <c r="I66" s="14" t="s">
        <v>2949</v>
      </c>
      <c r="J66" s="14" t="s">
        <v>2950</v>
      </c>
      <c r="K66" s="14" t="s">
        <v>99</v>
      </c>
      <c r="L66" s="14" t="s">
        <v>99</v>
      </c>
      <c r="M66" s="14" t="s">
        <v>103</v>
      </c>
      <c r="N66" s="14" t="s">
        <v>104</v>
      </c>
      <c r="O66" s="14" t="s">
        <v>99</v>
      </c>
      <c r="P66" s="14" t="s">
        <v>99</v>
      </c>
      <c r="Q66" s="14" t="s">
        <v>99</v>
      </c>
      <c r="R66" s="14" t="s">
        <v>99</v>
      </c>
      <c r="S66" s="14" t="s">
        <v>99</v>
      </c>
      <c r="T66" s="14" t="s">
        <v>2951</v>
      </c>
      <c r="U66" s="14" t="s">
        <v>2952</v>
      </c>
      <c r="V66" s="14" t="s">
        <v>2953</v>
      </c>
      <c r="W66" s="14" t="s">
        <v>2954</v>
      </c>
      <c r="X66" s="14" t="s">
        <v>2955</v>
      </c>
      <c r="Y66" s="14" t="s">
        <v>2956</v>
      </c>
      <c r="Z66" s="14" t="s">
        <v>2957</v>
      </c>
      <c r="AA66" s="14" t="s">
        <v>2958</v>
      </c>
      <c r="AB66" s="14" t="s">
        <v>2959</v>
      </c>
      <c r="AC66" s="14" t="s">
        <v>2960</v>
      </c>
      <c r="AD66" s="14" t="s">
        <v>2961</v>
      </c>
      <c r="AE66" s="14" t="s">
        <v>2962</v>
      </c>
      <c r="AF66" s="14" t="s">
        <v>99</v>
      </c>
      <c r="AG66" s="14">
        <v>64.0</v>
      </c>
      <c r="AH66" s="14">
        <v>21.0</v>
      </c>
      <c r="AI66" s="14">
        <v>25.0</v>
      </c>
      <c r="AJ66" s="14">
        <v>2.0</v>
      </c>
      <c r="AK66" s="14">
        <v>158.0</v>
      </c>
      <c r="AL66" s="14" t="s">
        <v>341</v>
      </c>
      <c r="AM66" s="14" t="s">
        <v>342</v>
      </c>
      <c r="AN66" s="14" t="s">
        <v>343</v>
      </c>
      <c r="AO66" s="14" t="s">
        <v>2963</v>
      </c>
      <c r="AP66" s="14" t="s">
        <v>2964</v>
      </c>
      <c r="AQ66" s="14" t="s">
        <v>99</v>
      </c>
      <c r="AR66" s="14" t="s">
        <v>2965</v>
      </c>
      <c r="AS66" s="14" t="s">
        <v>2966</v>
      </c>
      <c r="AT66" s="14" t="s">
        <v>1058</v>
      </c>
      <c r="AU66" s="14">
        <v>2014.0</v>
      </c>
      <c r="AV66" s="14">
        <v>69.0</v>
      </c>
      <c r="AW66" s="14">
        <v>4.0</v>
      </c>
      <c r="AX66" s="14" t="s">
        <v>99</v>
      </c>
      <c r="AY66" s="14" t="s">
        <v>99</v>
      </c>
      <c r="AZ66" s="14" t="s">
        <v>99</v>
      </c>
      <c r="BA66" s="14" t="s">
        <v>99</v>
      </c>
      <c r="BB66" s="14">
        <v>596.0</v>
      </c>
      <c r="BC66" s="14">
        <v>610.0</v>
      </c>
      <c r="BD66" s="14" t="s">
        <v>99</v>
      </c>
      <c r="BE66" s="14" t="s">
        <v>2967</v>
      </c>
      <c r="BF66" s="15" t="str">
        <f>HYPERLINK("http://dx.doi.org/10.1111/gfs.12073","http://dx.doi.org/10.1111/gfs.12073")</f>
        <v>http://dx.doi.org/10.1111/gfs.12073</v>
      </c>
      <c r="BG66" s="14" t="s">
        <v>99</v>
      </c>
      <c r="BH66" s="14" t="s">
        <v>99</v>
      </c>
      <c r="BI66" s="14">
        <v>15.0</v>
      </c>
      <c r="BJ66" s="14" t="s">
        <v>2968</v>
      </c>
      <c r="BK66" s="14" t="s">
        <v>122</v>
      </c>
      <c r="BL66" s="14" t="s">
        <v>2969</v>
      </c>
      <c r="BM66" s="14" t="s">
        <v>2970</v>
      </c>
      <c r="BN66" s="14" t="s">
        <v>99</v>
      </c>
      <c r="BO66" s="14" t="s">
        <v>99</v>
      </c>
      <c r="BP66" s="14" t="s">
        <v>99</v>
      </c>
      <c r="BQ66" s="14" t="s">
        <v>99</v>
      </c>
      <c r="BR66" s="14" t="s">
        <v>124</v>
      </c>
      <c r="BS66" s="14" t="s">
        <v>2971</v>
      </c>
      <c r="BT66" s="14" t="str">
        <f>HYPERLINK("https%3A%2F%2Fwww.webofscience.com%2Fwos%2Fwoscc%2Ffull-record%2FWOS:000343754300004","View Full Record in Web of Science")</f>
        <v>View Full Record in Web of Science</v>
      </c>
    </row>
    <row r="67" ht="12.75" customHeight="1">
      <c r="A67" s="14" t="s">
        <v>97</v>
      </c>
      <c r="B67" s="14" t="s">
        <v>2972</v>
      </c>
      <c r="C67" s="14" t="s">
        <v>99</v>
      </c>
      <c r="D67" s="14" t="s">
        <v>99</v>
      </c>
      <c r="E67" s="14" t="s">
        <v>99</v>
      </c>
      <c r="F67" s="14" t="s">
        <v>2973</v>
      </c>
      <c r="G67" s="14" t="s">
        <v>99</v>
      </c>
      <c r="H67" s="14" t="s">
        <v>99</v>
      </c>
      <c r="I67" s="14" t="s">
        <v>2974</v>
      </c>
      <c r="J67" s="14" t="s">
        <v>2500</v>
      </c>
      <c r="K67" s="14" t="s">
        <v>99</v>
      </c>
      <c r="L67" s="14" t="s">
        <v>99</v>
      </c>
      <c r="M67" s="14" t="s">
        <v>103</v>
      </c>
      <c r="N67" s="14" t="s">
        <v>104</v>
      </c>
      <c r="O67" s="14" t="s">
        <v>99</v>
      </c>
      <c r="P67" s="14" t="s">
        <v>99</v>
      </c>
      <c r="Q67" s="14" t="s">
        <v>99</v>
      </c>
      <c r="R67" s="14" t="s">
        <v>99</v>
      </c>
      <c r="S67" s="14" t="s">
        <v>99</v>
      </c>
      <c r="T67" s="14" t="s">
        <v>99</v>
      </c>
      <c r="U67" s="14" t="s">
        <v>2975</v>
      </c>
      <c r="V67" s="14" t="s">
        <v>2976</v>
      </c>
      <c r="W67" s="14" t="s">
        <v>2977</v>
      </c>
      <c r="X67" s="14" t="s">
        <v>2978</v>
      </c>
      <c r="Y67" s="14" t="s">
        <v>2979</v>
      </c>
      <c r="Z67" s="14" t="s">
        <v>2980</v>
      </c>
      <c r="AA67" s="14" t="s">
        <v>2981</v>
      </c>
      <c r="AB67" s="14" t="s">
        <v>2982</v>
      </c>
      <c r="AC67" s="14" t="s">
        <v>2983</v>
      </c>
      <c r="AD67" s="14" t="s">
        <v>2984</v>
      </c>
      <c r="AE67" s="14" t="s">
        <v>2985</v>
      </c>
      <c r="AF67" s="14" t="s">
        <v>99</v>
      </c>
      <c r="AG67" s="14">
        <v>38.0</v>
      </c>
      <c r="AH67" s="14">
        <v>72.0</v>
      </c>
      <c r="AI67" s="14">
        <v>79.0</v>
      </c>
      <c r="AJ67" s="14">
        <v>0.0</v>
      </c>
      <c r="AK67" s="14">
        <v>71.0</v>
      </c>
      <c r="AL67" s="14" t="s">
        <v>2512</v>
      </c>
      <c r="AM67" s="14" t="s">
        <v>2513</v>
      </c>
      <c r="AN67" s="14" t="s">
        <v>2514</v>
      </c>
      <c r="AO67" s="14" t="s">
        <v>2515</v>
      </c>
      <c r="AP67" s="14" t="s">
        <v>99</v>
      </c>
      <c r="AQ67" s="14" t="s">
        <v>99</v>
      </c>
      <c r="AR67" s="14" t="s">
        <v>2500</v>
      </c>
      <c r="AS67" s="14" t="s">
        <v>2516</v>
      </c>
      <c r="AT67" s="14" t="s">
        <v>2986</v>
      </c>
      <c r="AU67" s="14">
        <v>2014.0</v>
      </c>
      <c r="AV67" s="14">
        <v>9.0</v>
      </c>
      <c r="AW67" s="14">
        <v>11.0</v>
      </c>
      <c r="AX67" s="14" t="s">
        <v>99</v>
      </c>
      <c r="AY67" s="14" t="s">
        <v>99</v>
      </c>
      <c r="AZ67" s="14" t="s">
        <v>99</v>
      </c>
      <c r="BA67" s="14" t="s">
        <v>99</v>
      </c>
      <c r="BB67" s="14" t="s">
        <v>99</v>
      </c>
      <c r="BC67" s="14" t="s">
        <v>99</v>
      </c>
      <c r="BD67" s="14" t="s">
        <v>2987</v>
      </c>
      <c r="BE67" s="14" t="s">
        <v>2988</v>
      </c>
      <c r="BF67" s="15" t="str">
        <f>HYPERLINK("http://dx.doi.org/10.1371/journal.pone.0113934","http://dx.doi.org/10.1371/journal.pone.0113934")</f>
        <v>http://dx.doi.org/10.1371/journal.pone.0113934</v>
      </c>
      <c r="BG67" s="14" t="s">
        <v>99</v>
      </c>
      <c r="BH67" s="14" t="s">
        <v>99</v>
      </c>
      <c r="BI67" s="14">
        <v>17.0</v>
      </c>
      <c r="BJ67" s="14" t="s">
        <v>799</v>
      </c>
      <c r="BK67" s="14" t="s">
        <v>122</v>
      </c>
      <c r="BL67" s="14" t="s">
        <v>801</v>
      </c>
      <c r="BM67" s="14" t="s">
        <v>2989</v>
      </c>
      <c r="BN67" s="14">
        <v>2.5426636E7</v>
      </c>
      <c r="BO67" s="14" t="s">
        <v>1251</v>
      </c>
      <c r="BP67" s="14" t="s">
        <v>99</v>
      </c>
      <c r="BQ67" s="14" t="s">
        <v>99</v>
      </c>
      <c r="BR67" s="14" t="s">
        <v>124</v>
      </c>
      <c r="BS67" s="14" t="s">
        <v>2990</v>
      </c>
      <c r="BT67" s="14" t="str">
        <f>HYPERLINK("https%3A%2F%2Fwww.webofscience.com%2Fwos%2Fwoscc%2Ffull-record%2FWOS:000349145400104","View Full Record in Web of Science")</f>
        <v>View Full Record in Web of Science</v>
      </c>
    </row>
    <row r="68" ht="12.75" customHeight="1">
      <c r="A68" s="14" t="s">
        <v>97</v>
      </c>
      <c r="B68" s="14" t="s">
        <v>3015</v>
      </c>
      <c r="C68" s="14" t="s">
        <v>99</v>
      </c>
      <c r="D68" s="14" t="s">
        <v>99</v>
      </c>
      <c r="E68" s="14" t="s">
        <v>99</v>
      </c>
      <c r="F68" s="14" t="s">
        <v>3016</v>
      </c>
      <c r="G68" s="14" t="s">
        <v>99</v>
      </c>
      <c r="H68" s="14" t="s">
        <v>99</v>
      </c>
      <c r="I68" s="14" t="s">
        <v>3017</v>
      </c>
      <c r="J68" s="14" t="s">
        <v>3018</v>
      </c>
      <c r="K68" s="14" t="s">
        <v>99</v>
      </c>
      <c r="L68" s="14" t="s">
        <v>99</v>
      </c>
      <c r="M68" s="14" t="s">
        <v>103</v>
      </c>
      <c r="N68" s="14" t="s">
        <v>104</v>
      </c>
      <c r="O68" s="14" t="s">
        <v>99</v>
      </c>
      <c r="P68" s="14" t="s">
        <v>99</v>
      </c>
      <c r="Q68" s="14" t="s">
        <v>99</v>
      </c>
      <c r="R68" s="14" t="s">
        <v>99</v>
      </c>
      <c r="S68" s="14" t="s">
        <v>99</v>
      </c>
      <c r="T68" s="14" t="s">
        <v>3019</v>
      </c>
      <c r="U68" s="14" t="s">
        <v>3020</v>
      </c>
      <c r="V68" s="14" t="s">
        <v>3021</v>
      </c>
      <c r="W68" s="14" t="s">
        <v>3022</v>
      </c>
      <c r="X68" s="14" t="s">
        <v>3023</v>
      </c>
      <c r="Y68" s="14" t="s">
        <v>3024</v>
      </c>
      <c r="Z68" s="14" t="s">
        <v>3025</v>
      </c>
      <c r="AA68" s="14" t="s">
        <v>3026</v>
      </c>
      <c r="AB68" s="14" t="s">
        <v>3027</v>
      </c>
      <c r="AC68" s="14" t="s">
        <v>3028</v>
      </c>
      <c r="AD68" s="14" t="s">
        <v>3028</v>
      </c>
      <c r="AE68" s="14" t="s">
        <v>3029</v>
      </c>
      <c r="AF68" s="14" t="s">
        <v>99</v>
      </c>
      <c r="AG68" s="14">
        <v>85.0</v>
      </c>
      <c r="AH68" s="14">
        <v>25.0</v>
      </c>
      <c r="AI68" s="14">
        <v>27.0</v>
      </c>
      <c r="AJ68" s="14">
        <v>0.0</v>
      </c>
      <c r="AK68" s="14">
        <v>34.0</v>
      </c>
      <c r="AL68" s="14" t="s">
        <v>1033</v>
      </c>
      <c r="AM68" s="14" t="s">
        <v>442</v>
      </c>
      <c r="AN68" s="14" t="s">
        <v>1034</v>
      </c>
      <c r="AO68" s="14" t="s">
        <v>3030</v>
      </c>
      <c r="AP68" s="14" t="s">
        <v>3031</v>
      </c>
      <c r="AQ68" s="14" t="s">
        <v>99</v>
      </c>
      <c r="AR68" s="14" t="s">
        <v>3032</v>
      </c>
      <c r="AS68" s="14" t="s">
        <v>3033</v>
      </c>
      <c r="AT68" s="14" t="s">
        <v>2372</v>
      </c>
      <c r="AU68" s="14">
        <v>2014.0</v>
      </c>
      <c r="AV68" s="14">
        <v>121.0</v>
      </c>
      <c r="AW68" s="14" t="s">
        <v>99</v>
      </c>
      <c r="AX68" s="14" t="s">
        <v>99</v>
      </c>
      <c r="AY68" s="14" t="s">
        <v>99</v>
      </c>
      <c r="AZ68" s="14" t="s">
        <v>99</v>
      </c>
      <c r="BA68" s="14" t="s">
        <v>99</v>
      </c>
      <c r="BB68" s="14">
        <v>64.0</v>
      </c>
      <c r="BC68" s="14">
        <v>77.0</v>
      </c>
      <c r="BD68" s="14" t="s">
        <v>99</v>
      </c>
      <c r="BE68" s="14" t="s">
        <v>3034</v>
      </c>
      <c r="BF68" s="15" t="str">
        <f>HYPERLINK("http://dx.doi.org/10.1016/j.gloplacha.2014.07.007","http://dx.doi.org/10.1016/j.gloplacha.2014.07.007")</f>
        <v>http://dx.doi.org/10.1016/j.gloplacha.2014.07.007</v>
      </c>
      <c r="BG68" s="14" t="s">
        <v>99</v>
      </c>
      <c r="BH68" s="14" t="s">
        <v>99</v>
      </c>
      <c r="BI68" s="14">
        <v>14.0</v>
      </c>
      <c r="BJ68" s="14" t="s">
        <v>3035</v>
      </c>
      <c r="BK68" s="14" t="s">
        <v>800</v>
      </c>
      <c r="BL68" s="14" t="s">
        <v>3036</v>
      </c>
      <c r="BM68" s="14" t="s">
        <v>3037</v>
      </c>
      <c r="BN68" s="14" t="s">
        <v>99</v>
      </c>
      <c r="BO68" s="14" t="s">
        <v>99</v>
      </c>
      <c r="BP68" s="14" t="s">
        <v>99</v>
      </c>
      <c r="BQ68" s="14" t="s">
        <v>99</v>
      </c>
      <c r="BR68" s="14" t="s">
        <v>124</v>
      </c>
      <c r="BS68" s="14" t="s">
        <v>3038</v>
      </c>
      <c r="BT68" s="14" t="str">
        <f>HYPERLINK("https%3A%2F%2Fwww.webofscience.com%2Fwos%2Fwoscc%2Ffull-record%2FWOS:000341558700007","View Full Record in Web of Science")</f>
        <v>View Full Record in Web of Science</v>
      </c>
    </row>
    <row r="69" ht="12.75" customHeight="1">
      <c r="A69" s="14" t="s">
        <v>97</v>
      </c>
      <c r="B69" s="14" t="s">
        <v>3039</v>
      </c>
      <c r="C69" s="14" t="s">
        <v>99</v>
      </c>
      <c r="D69" s="14" t="s">
        <v>99</v>
      </c>
      <c r="E69" s="14" t="s">
        <v>99</v>
      </c>
      <c r="F69" s="14" t="s">
        <v>3040</v>
      </c>
      <c r="G69" s="14" t="s">
        <v>99</v>
      </c>
      <c r="H69" s="14" t="s">
        <v>99</v>
      </c>
      <c r="I69" s="14" t="s">
        <v>3041</v>
      </c>
      <c r="J69" s="14" t="s">
        <v>3042</v>
      </c>
      <c r="K69" s="14" t="s">
        <v>99</v>
      </c>
      <c r="L69" s="14" t="s">
        <v>99</v>
      </c>
      <c r="M69" s="14" t="s">
        <v>103</v>
      </c>
      <c r="N69" s="14" t="s">
        <v>104</v>
      </c>
      <c r="O69" s="14" t="s">
        <v>99</v>
      </c>
      <c r="P69" s="14" t="s">
        <v>99</v>
      </c>
      <c r="Q69" s="14" t="s">
        <v>99</v>
      </c>
      <c r="R69" s="14" t="s">
        <v>99</v>
      </c>
      <c r="S69" s="14" t="s">
        <v>99</v>
      </c>
      <c r="T69" s="14" t="s">
        <v>3043</v>
      </c>
      <c r="U69" s="14" t="s">
        <v>3044</v>
      </c>
      <c r="V69" s="14" t="s">
        <v>3045</v>
      </c>
      <c r="W69" s="14" t="s">
        <v>3046</v>
      </c>
      <c r="X69" s="14" t="s">
        <v>3047</v>
      </c>
      <c r="Y69" s="14" t="s">
        <v>3048</v>
      </c>
      <c r="Z69" s="14" t="s">
        <v>3049</v>
      </c>
      <c r="AA69" s="14" t="s">
        <v>99</v>
      </c>
      <c r="AB69" s="14" t="s">
        <v>3050</v>
      </c>
      <c r="AC69" s="14" t="s">
        <v>3051</v>
      </c>
      <c r="AD69" s="14" t="s">
        <v>3051</v>
      </c>
      <c r="AE69" s="14" t="s">
        <v>3052</v>
      </c>
      <c r="AF69" s="14" t="s">
        <v>99</v>
      </c>
      <c r="AG69" s="14">
        <v>36.0</v>
      </c>
      <c r="AH69" s="14">
        <v>6.0</v>
      </c>
      <c r="AI69" s="14">
        <v>7.0</v>
      </c>
      <c r="AJ69" s="14">
        <v>0.0</v>
      </c>
      <c r="AK69" s="14">
        <v>36.0</v>
      </c>
      <c r="AL69" s="14" t="s">
        <v>3042</v>
      </c>
      <c r="AM69" s="14" t="s">
        <v>3053</v>
      </c>
      <c r="AN69" s="14" t="s">
        <v>3054</v>
      </c>
      <c r="AO69" s="14" t="s">
        <v>3055</v>
      </c>
      <c r="AP69" s="14" t="s">
        <v>3056</v>
      </c>
      <c r="AQ69" s="14" t="s">
        <v>99</v>
      </c>
      <c r="AR69" s="14" t="s">
        <v>3057</v>
      </c>
      <c r="AS69" s="14" t="s">
        <v>3058</v>
      </c>
      <c r="AT69" s="14" t="s">
        <v>421</v>
      </c>
      <c r="AU69" s="14">
        <v>2014.0</v>
      </c>
      <c r="AV69" s="14">
        <v>62.0</v>
      </c>
      <c r="AW69" s="14" t="s">
        <v>99</v>
      </c>
      <c r="AX69" s="14" t="s">
        <v>99</v>
      </c>
      <c r="AY69" s="14">
        <v>3.0</v>
      </c>
      <c r="AZ69" s="14" t="s">
        <v>99</v>
      </c>
      <c r="BA69" s="14" t="s">
        <v>99</v>
      </c>
      <c r="BB69" s="14">
        <v>273.0</v>
      </c>
      <c r="BC69" s="14">
        <v>286.0</v>
      </c>
      <c r="BD69" s="14" t="s">
        <v>99</v>
      </c>
      <c r="BE69" s="14" t="s">
        <v>3059</v>
      </c>
      <c r="BF69" s="15" t="str">
        <f>HYPERLINK("http://dx.doi.org/10.15517/rbt.v62i0.15922","http://dx.doi.org/10.15517/rbt.v62i0.15922")</f>
        <v>http://dx.doi.org/10.15517/rbt.v62i0.15922</v>
      </c>
      <c r="BG69" s="14" t="s">
        <v>99</v>
      </c>
      <c r="BH69" s="14" t="s">
        <v>99</v>
      </c>
      <c r="BI69" s="14">
        <v>14.0</v>
      </c>
      <c r="BJ69" s="14" t="s">
        <v>1803</v>
      </c>
      <c r="BK69" s="14" t="s">
        <v>122</v>
      </c>
      <c r="BL69" s="14" t="s">
        <v>1804</v>
      </c>
      <c r="BM69" s="14" t="s">
        <v>3060</v>
      </c>
      <c r="BN69" s="14" t="s">
        <v>99</v>
      </c>
      <c r="BO69" s="14" t="s">
        <v>2037</v>
      </c>
      <c r="BP69" s="14" t="s">
        <v>99</v>
      </c>
      <c r="BQ69" s="14" t="s">
        <v>99</v>
      </c>
      <c r="BR69" s="14" t="s">
        <v>124</v>
      </c>
      <c r="BS69" s="14" t="s">
        <v>3061</v>
      </c>
      <c r="BT69" s="14" t="str">
        <f>HYPERLINK("https%3A%2F%2Fwww.webofscience.com%2Fwos%2Fwoscc%2Ffull-record%2FWOS:000209580800026","View Full Record in Web of Science")</f>
        <v>View Full Record in Web of Science</v>
      </c>
    </row>
    <row r="70" ht="12.75" customHeight="1">
      <c r="A70" s="14" t="s">
        <v>97</v>
      </c>
      <c r="B70" s="14" t="s">
        <v>3062</v>
      </c>
      <c r="C70" s="14" t="s">
        <v>99</v>
      </c>
      <c r="D70" s="14" t="s">
        <v>99</v>
      </c>
      <c r="E70" s="14" t="s">
        <v>99</v>
      </c>
      <c r="F70" s="14" t="s">
        <v>3063</v>
      </c>
      <c r="G70" s="14" t="s">
        <v>99</v>
      </c>
      <c r="H70" s="14" t="s">
        <v>99</v>
      </c>
      <c r="I70" s="14" t="s">
        <v>3064</v>
      </c>
      <c r="J70" s="14" t="s">
        <v>3065</v>
      </c>
      <c r="K70" s="14" t="s">
        <v>99</v>
      </c>
      <c r="L70" s="14" t="s">
        <v>99</v>
      </c>
      <c r="M70" s="14" t="s">
        <v>103</v>
      </c>
      <c r="N70" s="14" t="s">
        <v>104</v>
      </c>
      <c r="O70" s="14" t="s">
        <v>99</v>
      </c>
      <c r="P70" s="14" t="s">
        <v>99</v>
      </c>
      <c r="Q70" s="14" t="s">
        <v>99</v>
      </c>
      <c r="R70" s="14" t="s">
        <v>99</v>
      </c>
      <c r="S70" s="14" t="s">
        <v>99</v>
      </c>
      <c r="T70" s="14" t="s">
        <v>3066</v>
      </c>
      <c r="U70" s="14" t="s">
        <v>3067</v>
      </c>
      <c r="V70" s="14" t="s">
        <v>3068</v>
      </c>
      <c r="W70" s="14" t="s">
        <v>3069</v>
      </c>
      <c r="X70" s="14" t="s">
        <v>3070</v>
      </c>
      <c r="Y70" s="14" t="s">
        <v>3071</v>
      </c>
      <c r="Z70" s="14" t="s">
        <v>3072</v>
      </c>
      <c r="AA70" s="14" t="s">
        <v>3073</v>
      </c>
      <c r="AB70" s="14" t="s">
        <v>3074</v>
      </c>
      <c r="AC70" s="14" t="s">
        <v>3075</v>
      </c>
      <c r="AD70" s="14" t="s">
        <v>3076</v>
      </c>
      <c r="AE70" s="14" t="s">
        <v>3077</v>
      </c>
      <c r="AF70" s="14" t="s">
        <v>99</v>
      </c>
      <c r="AG70" s="14">
        <v>58.0</v>
      </c>
      <c r="AH70" s="14">
        <v>93.0</v>
      </c>
      <c r="AI70" s="14">
        <v>104.0</v>
      </c>
      <c r="AJ70" s="14">
        <v>0.0</v>
      </c>
      <c r="AK70" s="14">
        <v>48.0</v>
      </c>
      <c r="AL70" s="14" t="s">
        <v>3078</v>
      </c>
      <c r="AM70" s="14" t="s">
        <v>468</v>
      </c>
      <c r="AN70" s="14" t="s">
        <v>3079</v>
      </c>
      <c r="AO70" s="14" t="s">
        <v>3080</v>
      </c>
      <c r="AP70" s="14" t="s">
        <v>3081</v>
      </c>
      <c r="AQ70" s="14" t="s">
        <v>99</v>
      </c>
      <c r="AR70" s="14" t="s">
        <v>3082</v>
      </c>
      <c r="AS70" s="14" t="s">
        <v>3083</v>
      </c>
      <c r="AT70" s="14" t="s">
        <v>3084</v>
      </c>
      <c r="AU70" s="14">
        <v>2014.0</v>
      </c>
      <c r="AV70" s="14">
        <v>71.0</v>
      </c>
      <c r="AW70" s="14">
        <v>7.0</v>
      </c>
      <c r="AX70" s="14" t="s">
        <v>99</v>
      </c>
      <c r="AY70" s="14" t="s">
        <v>99</v>
      </c>
      <c r="AZ70" s="14" t="s">
        <v>99</v>
      </c>
      <c r="BA70" s="14" t="s">
        <v>99</v>
      </c>
      <c r="BB70" s="14">
        <v>1593.0</v>
      </c>
      <c r="BC70" s="14">
        <v>1603.0</v>
      </c>
      <c r="BD70" s="14" t="s">
        <v>99</v>
      </c>
      <c r="BE70" s="14" t="s">
        <v>3085</v>
      </c>
      <c r="BF70" s="15" t="str">
        <f>HYPERLINK("http://dx.doi.org/10.1093/icesjms/fst222","http://dx.doi.org/10.1093/icesjms/fst222")</f>
        <v>http://dx.doi.org/10.1093/icesjms/fst222</v>
      </c>
      <c r="BG70" s="14" t="s">
        <v>99</v>
      </c>
      <c r="BH70" s="14" t="s">
        <v>99</v>
      </c>
      <c r="BI70" s="14">
        <v>11.0</v>
      </c>
      <c r="BJ70" s="14" t="s">
        <v>3086</v>
      </c>
      <c r="BK70" s="14" t="s">
        <v>122</v>
      </c>
      <c r="BL70" s="14" t="s">
        <v>3086</v>
      </c>
      <c r="BM70" s="14" t="s">
        <v>3087</v>
      </c>
      <c r="BN70" s="14" t="s">
        <v>99</v>
      </c>
      <c r="BO70" s="14" t="s">
        <v>373</v>
      </c>
      <c r="BP70" s="14" t="s">
        <v>99</v>
      </c>
      <c r="BQ70" s="14" t="s">
        <v>99</v>
      </c>
      <c r="BR70" s="14" t="s">
        <v>124</v>
      </c>
      <c r="BS70" s="14" t="s">
        <v>3088</v>
      </c>
      <c r="BT70" s="14" t="str">
        <f>HYPERLINK("https%3A%2F%2Fwww.webofscience.com%2Fwos%2Fwoscc%2Ffull-record%2FWOS:000343315900008","View Full Record in Web of Science")</f>
        <v>View Full Record in Web of Science</v>
      </c>
    </row>
    <row r="71" ht="12.75" customHeight="1">
      <c r="A71" s="14" t="s">
        <v>97</v>
      </c>
      <c r="B71" s="14" t="s">
        <v>3113</v>
      </c>
      <c r="C71" s="14" t="s">
        <v>99</v>
      </c>
      <c r="D71" s="14" t="s">
        <v>99</v>
      </c>
      <c r="E71" s="14" t="s">
        <v>99</v>
      </c>
      <c r="F71" s="14" t="s">
        <v>3114</v>
      </c>
      <c r="G71" s="14" t="s">
        <v>99</v>
      </c>
      <c r="H71" s="14" t="s">
        <v>99</v>
      </c>
      <c r="I71" s="14" t="s">
        <v>3115</v>
      </c>
      <c r="J71" s="14" t="s">
        <v>1256</v>
      </c>
      <c r="K71" s="14" t="s">
        <v>99</v>
      </c>
      <c r="L71" s="14" t="s">
        <v>99</v>
      </c>
      <c r="M71" s="14" t="s">
        <v>103</v>
      </c>
      <c r="N71" s="14" t="s">
        <v>104</v>
      </c>
      <c r="O71" s="14" t="s">
        <v>99</v>
      </c>
      <c r="P71" s="14" t="s">
        <v>99</v>
      </c>
      <c r="Q71" s="14" t="s">
        <v>99</v>
      </c>
      <c r="R71" s="14" t="s">
        <v>99</v>
      </c>
      <c r="S71" s="14" t="s">
        <v>99</v>
      </c>
      <c r="T71" s="14" t="s">
        <v>3116</v>
      </c>
      <c r="U71" s="14" t="s">
        <v>3117</v>
      </c>
      <c r="V71" s="14" t="s">
        <v>3118</v>
      </c>
      <c r="W71" s="14" t="s">
        <v>3119</v>
      </c>
      <c r="X71" s="14" t="s">
        <v>3120</v>
      </c>
      <c r="Y71" s="14" t="s">
        <v>3121</v>
      </c>
      <c r="Z71" s="14" t="s">
        <v>3122</v>
      </c>
      <c r="AA71" s="14" t="s">
        <v>3123</v>
      </c>
      <c r="AB71" s="14" t="s">
        <v>3124</v>
      </c>
      <c r="AC71" s="14" t="s">
        <v>3125</v>
      </c>
      <c r="AD71" s="14" t="s">
        <v>3126</v>
      </c>
      <c r="AE71" s="14" t="s">
        <v>3127</v>
      </c>
      <c r="AF71" s="14" t="s">
        <v>99</v>
      </c>
      <c r="AG71" s="14">
        <v>65.0</v>
      </c>
      <c r="AH71" s="14">
        <v>41.0</v>
      </c>
      <c r="AI71" s="14">
        <v>46.0</v>
      </c>
      <c r="AJ71" s="14">
        <v>4.0</v>
      </c>
      <c r="AK71" s="14">
        <v>128.0</v>
      </c>
      <c r="AL71" s="14" t="s">
        <v>341</v>
      </c>
      <c r="AM71" s="14" t="s">
        <v>342</v>
      </c>
      <c r="AN71" s="14" t="s">
        <v>343</v>
      </c>
      <c r="AO71" s="14" t="s">
        <v>1269</v>
      </c>
      <c r="AP71" s="14" t="s">
        <v>1270</v>
      </c>
      <c r="AQ71" s="14" t="s">
        <v>99</v>
      </c>
      <c r="AR71" s="14" t="s">
        <v>1271</v>
      </c>
      <c r="AS71" s="14" t="s">
        <v>1272</v>
      </c>
      <c r="AT71" s="14" t="s">
        <v>474</v>
      </c>
      <c r="AU71" s="14">
        <v>2014.0</v>
      </c>
      <c r="AV71" s="14">
        <v>59.0</v>
      </c>
      <c r="AW71" s="14">
        <v>8.0</v>
      </c>
      <c r="AX71" s="14" t="s">
        <v>99</v>
      </c>
      <c r="AY71" s="14" t="s">
        <v>99</v>
      </c>
      <c r="AZ71" s="14" t="s">
        <v>99</v>
      </c>
      <c r="BA71" s="14" t="s">
        <v>99</v>
      </c>
      <c r="BB71" s="14">
        <v>1755.0</v>
      </c>
      <c r="BC71" s="14">
        <v>1767.0</v>
      </c>
      <c r="BD71" s="14" t="s">
        <v>99</v>
      </c>
      <c r="BE71" s="14" t="s">
        <v>3128</v>
      </c>
      <c r="BF71" s="15" t="str">
        <f>HYPERLINK("http://dx.doi.org/10.1111/fwb.12380","http://dx.doi.org/10.1111/fwb.12380")</f>
        <v>http://dx.doi.org/10.1111/fwb.12380</v>
      </c>
      <c r="BG71" s="14" t="s">
        <v>99</v>
      </c>
      <c r="BH71" s="14" t="s">
        <v>99</v>
      </c>
      <c r="BI71" s="14">
        <v>13.0</v>
      </c>
      <c r="BJ71" s="14" t="s">
        <v>1274</v>
      </c>
      <c r="BK71" s="14" t="s">
        <v>122</v>
      </c>
      <c r="BL71" s="14" t="s">
        <v>397</v>
      </c>
      <c r="BM71" s="14" t="s">
        <v>3129</v>
      </c>
      <c r="BN71" s="14" t="s">
        <v>99</v>
      </c>
      <c r="BO71" s="14" t="s">
        <v>99</v>
      </c>
      <c r="BP71" s="14" t="s">
        <v>99</v>
      </c>
      <c r="BQ71" s="14" t="s">
        <v>99</v>
      </c>
      <c r="BR71" s="14" t="s">
        <v>124</v>
      </c>
      <c r="BS71" s="14" t="s">
        <v>3130</v>
      </c>
      <c r="BT71" s="14" t="str">
        <f>HYPERLINK("https%3A%2F%2Fwww.webofscience.com%2Fwos%2Fwoscc%2Ffull-record%2FWOS:000339385100016","View Full Record in Web of Science")</f>
        <v>View Full Record in Web of Science</v>
      </c>
    </row>
    <row r="72" ht="12.75" customHeight="1">
      <c r="A72" s="14" t="s">
        <v>97</v>
      </c>
      <c r="B72" s="14" t="s">
        <v>3147</v>
      </c>
      <c r="C72" s="14" t="s">
        <v>99</v>
      </c>
      <c r="D72" s="14" t="s">
        <v>99</v>
      </c>
      <c r="E72" s="14" t="s">
        <v>99</v>
      </c>
      <c r="F72" s="14" t="s">
        <v>3148</v>
      </c>
      <c r="G72" s="14" t="s">
        <v>99</v>
      </c>
      <c r="H72" s="14" t="s">
        <v>99</v>
      </c>
      <c r="I72" s="14" t="s">
        <v>3149</v>
      </c>
      <c r="J72" s="14" t="s">
        <v>328</v>
      </c>
      <c r="K72" s="14" t="s">
        <v>99</v>
      </c>
      <c r="L72" s="14" t="s">
        <v>99</v>
      </c>
      <c r="M72" s="14" t="s">
        <v>103</v>
      </c>
      <c r="N72" s="14" t="s">
        <v>104</v>
      </c>
      <c r="O72" s="14" t="s">
        <v>99</v>
      </c>
      <c r="P72" s="14" t="s">
        <v>99</v>
      </c>
      <c r="Q72" s="14" t="s">
        <v>99</v>
      </c>
      <c r="R72" s="14" t="s">
        <v>99</v>
      </c>
      <c r="S72" s="14" t="s">
        <v>99</v>
      </c>
      <c r="T72" s="14" t="s">
        <v>3150</v>
      </c>
      <c r="U72" s="14" t="s">
        <v>3151</v>
      </c>
      <c r="V72" s="14" t="s">
        <v>3152</v>
      </c>
      <c r="W72" s="14" t="s">
        <v>3153</v>
      </c>
      <c r="X72" s="14" t="s">
        <v>3154</v>
      </c>
      <c r="Y72" s="14" t="s">
        <v>3155</v>
      </c>
      <c r="Z72" s="14" t="s">
        <v>3156</v>
      </c>
      <c r="AA72" s="14" t="s">
        <v>3157</v>
      </c>
      <c r="AB72" s="14" t="s">
        <v>99</v>
      </c>
      <c r="AC72" s="14" t="s">
        <v>3158</v>
      </c>
      <c r="AD72" s="14" t="s">
        <v>99</v>
      </c>
      <c r="AE72" s="14" t="s">
        <v>3159</v>
      </c>
      <c r="AF72" s="14" t="s">
        <v>99</v>
      </c>
      <c r="AG72" s="14">
        <v>88.0</v>
      </c>
      <c r="AH72" s="14">
        <v>85.0</v>
      </c>
      <c r="AI72" s="14">
        <v>94.0</v>
      </c>
      <c r="AJ72" s="14">
        <v>5.0</v>
      </c>
      <c r="AK72" s="14">
        <v>204.0</v>
      </c>
      <c r="AL72" s="14" t="s">
        <v>341</v>
      </c>
      <c r="AM72" s="14" t="s">
        <v>342</v>
      </c>
      <c r="AN72" s="14" t="s">
        <v>343</v>
      </c>
      <c r="AO72" s="14" t="s">
        <v>344</v>
      </c>
      <c r="AP72" s="14" t="s">
        <v>345</v>
      </c>
      <c r="AQ72" s="14" t="s">
        <v>99</v>
      </c>
      <c r="AR72" s="14" t="s">
        <v>346</v>
      </c>
      <c r="AS72" s="14" t="s">
        <v>347</v>
      </c>
      <c r="AT72" s="14" t="s">
        <v>474</v>
      </c>
      <c r="AU72" s="14">
        <v>2014.0</v>
      </c>
      <c r="AV72" s="14">
        <v>20.0</v>
      </c>
      <c r="AW72" s="14">
        <v>8.0</v>
      </c>
      <c r="AX72" s="14" t="s">
        <v>99</v>
      </c>
      <c r="AY72" s="14" t="s">
        <v>99</v>
      </c>
      <c r="AZ72" s="14" t="s">
        <v>99</v>
      </c>
      <c r="BA72" s="14" t="s">
        <v>99</v>
      </c>
      <c r="BB72" s="14">
        <v>2596.0</v>
      </c>
      <c r="BC72" s="14">
        <v>2606.0</v>
      </c>
      <c r="BD72" s="14" t="s">
        <v>99</v>
      </c>
      <c r="BE72" s="14" t="s">
        <v>3160</v>
      </c>
      <c r="BF72" s="15" t="str">
        <f>HYPERLINK("http://dx.doi.org/10.1111/gcb.12588","http://dx.doi.org/10.1111/gcb.12588")</f>
        <v>http://dx.doi.org/10.1111/gcb.12588</v>
      </c>
      <c r="BG72" s="14" t="s">
        <v>99</v>
      </c>
      <c r="BH72" s="14" t="s">
        <v>99</v>
      </c>
      <c r="BI72" s="14">
        <v>11.0</v>
      </c>
      <c r="BJ72" s="14" t="s">
        <v>351</v>
      </c>
      <c r="BK72" s="14" t="s">
        <v>122</v>
      </c>
      <c r="BL72" s="14" t="s">
        <v>352</v>
      </c>
      <c r="BM72" s="14" t="s">
        <v>3145</v>
      </c>
      <c r="BN72" s="14">
        <v>2.4687944E7</v>
      </c>
      <c r="BO72" s="14" t="s">
        <v>99</v>
      </c>
      <c r="BP72" s="14" t="s">
        <v>99</v>
      </c>
      <c r="BQ72" s="14" t="s">
        <v>99</v>
      </c>
      <c r="BR72" s="14" t="s">
        <v>124</v>
      </c>
      <c r="BS72" s="14" t="s">
        <v>3161</v>
      </c>
      <c r="BT72" s="14" t="str">
        <f>HYPERLINK("https%3A%2F%2Fwww.webofscience.com%2Fwos%2Fwoscc%2Ffull-record%2FWOS:000339100200021","View Full Record in Web of Science")</f>
        <v>View Full Record in Web of Science</v>
      </c>
    </row>
    <row r="73" ht="12.75" customHeight="1">
      <c r="A73" s="14" t="s">
        <v>97</v>
      </c>
      <c r="B73" s="14" t="s">
        <v>3162</v>
      </c>
      <c r="C73" s="14" t="s">
        <v>99</v>
      </c>
      <c r="D73" s="14" t="s">
        <v>99</v>
      </c>
      <c r="E73" s="14" t="s">
        <v>99</v>
      </c>
      <c r="F73" s="14" t="s">
        <v>3163</v>
      </c>
      <c r="G73" s="14" t="s">
        <v>99</v>
      </c>
      <c r="H73" s="14" t="s">
        <v>99</v>
      </c>
      <c r="I73" s="14" t="s">
        <v>3164</v>
      </c>
      <c r="J73" s="14" t="s">
        <v>1256</v>
      </c>
      <c r="K73" s="14" t="s">
        <v>99</v>
      </c>
      <c r="L73" s="14" t="s">
        <v>99</v>
      </c>
      <c r="M73" s="14" t="s">
        <v>103</v>
      </c>
      <c r="N73" s="14" t="s">
        <v>104</v>
      </c>
      <c r="O73" s="14" t="s">
        <v>99</v>
      </c>
      <c r="P73" s="14" t="s">
        <v>99</v>
      </c>
      <c r="Q73" s="14" t="s">
        <v>99</v>
      </c>
      <c r="R73" s="14" t="s">
        <v>99</v>
      </c>
      <c r="S73" s="14" t="s">
        <v>99</v>
      </c>
      <c r="T73" s="14" t="s">
        <v>3165</v>
      </c>
      <c r="U73" s="14" t="s">
        <v>3166</v>
      </c>
      <c r="V73" s="14" t="s">
        <v>3167</v>
      </c>
      <c r="W73" s="14" t="s">
        <v>3168</v>
      </c>
      <c r="X73" s="14" t="s">
        <v>3169</v>
      </c>
      <c r="Y73" s="14" t="s">
        <v>3170</v>
      </c>
      <c r="Z73" s="14" t="s">
        <v>3171</v>
      </c>
      <c r="AA73" s="14" t="s">
        <v>3172</v>
      </c>
      <c r="AB73" s="14" t="s">
        <v>3173</v>
      </c>
      <c r="AC73" s="14" t="s">
        <v>99</v>
      </c>
      <c r="AD73" s="14" t="s">
        <v>99</v>
      </c>
      <c r="AE73" s="14" t="s">
        <v>99</v>
      </c>
      <c r="AF73" s="14" t="s">
        <v>99</v>
      </c>
      <c r="AG73" s="14">
        <v>54.0</v>
      </c>
      <c r="AH73" s="14">
        <v>19.0</v>
      </c>
      <c r="AI73" s="14">
        <v>24.0</v>
      </c>
      <c r="AJ73" s="14">
        <v>2.0</v>
      </c>
      <c r="AK73" s="14">
        <v>109.0</v>
      </c>
      <c r="AL73" s="14" t="s">
        <v>341</v>
      </c>
      <c r="AM73" s="14" t="s">
        <v>342</v>
      </c>
      <c r="AN73" s="14" t="s">
        <v>343</v>
      </c>
      <c r="AO73" s="14" t="s">
        <v>1269</v>
      </c>
      <c r="AP73" s="14" t="s">
        <v>1270</v>
      </c>
      <c r="AQ73" s="14" t="s">
        <v>99</v>
      </c>
      <c r="AR73" s="14" t="s">
        <v>1271</v>
      </c>
      <c r="AS73" s="14" t="s">
        <v>1272</v>
      </c>
      <c r="AT73" s="14" t="s">
        <v>525</v>
      </c>
      <c r="AU73" s="14">
        <v>2014.0</v>
      </c>
      <c r="AV73" s="14">
        <v>59.0</v>
      </c>
      <c r="AW73" s="14">
        <v>7.0</v>
      </c>
      <c r="AX73" s="14" t="s">
        <v>99</v>
      </c>
      <c r="AY73" s="14" t="s">
        <v>99</v>
      </c>
      <c r="AZ73" s="14" t="s">
        <v>99</v>
      </c>
      <c r="BA73" s="14" t="s">
        <v>99</v>
      </c>
      <c r="BB73" s="14">
        <v>1389.0</v>
      </c>
      <c r="BC73" s="14">
        <v>1405.0</v>
      </c>
      <c r="BD73" s="14" t="s">
        <v>99</v>
      </c>
      <c r="BE73" s="14" t="s">
        <v>3174</v>
      </c>
      <c r="BF73" s="15" t="str">
        <f>HYPERLINK("http://dx.doi.org/10.1111/fwb.12353","http://dx.doi.org/10.1111/fwb.12353")</f>
        <v>http://dx.doi.org/10.1111/fwb.12353</v>
      </c>
      <c r="BG73" s="14" t="s">
        <v>99</v>
      </c>
      <c r="BH73" s="14" t="s">
        <v>99</v>
      </c>
      <c r="BI73" s="14">
        <v>17.0</v>
      </c>
      <c r="BJ73" s="14" t="s">
        <v>1274</v>
      </c>
      <c r="BK73" s="14" t="s">
        <v>122</v>
      </c>
      <c r="BL73" s="14" t="s">
        <v>397</v>
      </c>
      <c r="BM73" s="14" t="s">
        <v>3175</v>
      </c>
      <c r="BN73" s="14" t="s">
        <v>99</v>
      </c>
      <c r="BO73" s="14" t="s">
        <v>238</v>
      </c>
      <c r="BP73" s="14" t="s">
        <v>99</v>
      </c>
      <c r="BQ73" s="14" t="s">
        <v>99</v>
      </c>
      <c r="BR73" s="14" t="s">
        <v>124</v>
      </c>
      <c r="BS73" s="14" t="s">
        <v>3176</v>
      </c>
      <c r="BT73" s="14" t="str">
        <f>HYPERLINK("https%3A%2F%2Fwww.webofscience.com%2Fwos%2Fwoscc%2Ffull-record%2FWOS:000337528600004","View Full Record in Web of Science")</f>
        <v>View Full Record in Web of Science</v>
      </c>
    </row>
    <row r="74" ht="12.75" customHeight="1">
      <c r="A74" s="14" t="s">
        <v>97</v>
      </c>
      <c r="B74" s="14" t="s">
        <v>3213</v>
      </c>
      <c r="C74" s="14" t="s">
        <v>99</v>
      </c>
      <c r="D74" s="14" t="s">
        <v>99</v>
      </c>
      <c r="E74" s="14" t="s">
        <v>99</v>
      </c>
      <c r="F74" s="14" t="s">
        <v>3214</v>
      </c>
      <c r="G74" s="14" t="s">
        <v>99</v>
      </c>
      <c r="H74" s="14" t="s">
        <v>99</v>
      </c>
      <c r="I74" s="14" t="s">
        <v>3215</v>
      </c>
      <c r="J74" s="14" t="s">
        <v>3216</v>
      </c>
      <c r="K74" s="14" t="s">
        <v>99</v>
      </c>
      <c r="L74" s="14" t="s">
        <v>99</v>
      </c>
      <c r="M74" s="14" t="s">
        <v>103</v>
      </c>
      <c r="N74" s="14" t="s">
        <v>104</v>
      </c>
      <c r="O74" s="14" t="s">
        <v>99</v>
      </c>
      <c r="P74" s="14" t="s">
        <v>99</v>
      </c>
      <c r="Q74" s="14" t="s">
        <v>99</v>
      </c>
      <c r="R74" s="14" t="s">
        <v>99</v>
      </c>
      <c r="S74" s="14" t="s">
        <v>99</v>
      </c>
      <c r="T74" s="14" t="s">
        <v>3217</v>
      </c>
      <c r="U74" s="14" t="s">
        <v>3218</v>
      </c>
      <c r="V74" s="14" t="s">
        <v>3219</v>
      </c>
      <c r="W74" s="14" t="s">
        <v>3220</v>
      </c>
      <c r="X74" s="14" t="s">
        <v>3221</v>
      </c>
      <c r="Y74" s="14" t="s">
        <v>3222</v>
      </c>
      <c r="Z74" s="14" t="s">
        <v>3223</v>
      </c>
      <c r="AA74" s="14" t="s">
        <v>3224</v>
      </c>
      <c r="AB74" s="14" t="s">
        <v>3225</v>
      </c>
      <c r="AC74" s="14" t="s">
        <v>3226</v>
      </c>
      <c r="AD74" s="14" t="s">
        <v>3227</v>
      </c>
      <c r="AE74" s="14" t="s">
        <v>3228</v>
      </c>
      <c r="AF74" s="14" t="s">
        <v>99</v>
      </c>
      <c r="AG74" s="14">
        <v>64.0</v>
      </c>
      <c r="AH74" s="14">
        <v>566.0</v>
      </c>
      <c r="AI74" s="14">
        <v>712.0</v>
      </c>
      <c r="AJ74" s="14">
        <v>27.0</v>
      </c>
      <c r="AK74" s="14">
        <v>1279.0</v>
      </c>
      <c r="AL74" s="14" t="s">
        <v>1033</v>
      </c>
      <c r="AM74" s="14" t="s">
        <v>442</v>
      </c>
      <c r="AN74" s="14" t="s">
        <v>1034</v>
      </c>
      <c r="AO74" s="14" t="s">
        <v>3229</v>
      </c>
      <c r="AP74" s="14" t="s">
        <v>3230</v>
      </c>
      <c r="AQ74" s="14" t="s">
        <v>99</v>
      </c>
      <c r="AR74" s="14" t="s">
        <v>3231</v>
      </c>
      <c r="AS74" s="14" t="s">
        <v>3232</v>
      </c>
      <c r="AT74" s="14" t="s">
        <v>3233</v>
      </c>
      <c r="AU74" s="14">
        <v>2014.0</v>
      </c>
      <c r="AV74" s="14">
        <v>189.0</v>
      </c>
      <c r="AW74" s="14" t="s">
        <v>99</v>
      </c>
      <c r="AX74" s="14" t="s">
        <v>99</v>
      </c>
      <c r="AY74" s="14" t="s">
        <v>99</v>
      </c>
      <c r="AZ74" s="14" t="s">
        <v>99</v>
      </c>
      <c r="BA74" s="14" t="s">
        <v>99</v>
      </c>
      <c r="BB74" s="14">
        <v>11.0</v>
      </c>
      <c r="BC74" s="14">
        <v>18.0</v>
      </c>
      <c r="BD74" s="14" t="s">
        <v>99</v>
      </c>
      <c r="BE74" s="14" t="s">
        <v>3234</v>
      </c>
      <c r="BF74" s="15" t="str">
        <f>HYPERLINK("http://dx.doi.org/10.1016/j.agrformet.2014.01.002","http://dx.doi.org/10.1016/j.agrformet.2014.01.002")</f>
        <v>http://dx.doi.org/10.1016/j.agrformet.2014.01.002</v>
      </c>
      <c r="BG74" s="14" t="s">
        <v>99</v>
      </c>
      <c r="BH74" s="14" t="s">
        <v>99</v>
      </c>
      <c r="BI74" s="14">
        <v>8.0</v>
      </c>
      <c r="BJ74" s="14" t="s">
        <v>3235</v>
      </c>
      <c r="BK74" s="14" t="s">
        <v>122</v>
      </c>
      <c r="BL74" s="14" t="s">
        <v>3236</v>
      </c>
      <c r="BM74" s="14" t="s">
        <v>3237</v>
      </c>
      <c r="BN74" s="14" t="s">
        <v>99</v>
      </c>
      <c r="BO74" s="14" t="s">
        <v>99</v>
      </c>
      <c r="BP74" s="14" t="s">
        <v>99</v>
      </c>
      <c r="BQ74" s="14" t="s">
        <v>99</v>
      </c>
      <c r="BR74" s="14" t="s">
        <v>124</v>
      </c>
      <c r="BS74" s="14" t="s">
        <v>3238</v>
      </c>
      <c r="BT74" s="14" t="str">
        <f>HYPERLINK("https%3A%2F%2Fwww.webofscience.com%2Fwos%2Fwoscc%2Ffull-record%2FWOS:000333852900003","View Full Record in Web of Science")</f>
        <v>View Full Record in Web of Science</v>
      </c>
    </row>
    <row r="75" ht="12.75" customHeight="1">
      <c r="A75" s="14" t="s">
        <v>97</v>
      </c>
      <c r="B75" s="14" t="s">
        <v>3333</v>
      </c>
      <c r="C75" s="14" t="s">
        <v>99</v>
      </c>
      <c r="D75" s="14" t="s">
        <v>99</v>
      </c>
      <c r="E75" s="14" t="s">
        <v>99</v>
      </c>
      <c r="F75" s="14" t="s">
        <v>3334</v>
      </c>
      <c r="G75" s="14" t="s">
        <v>99</v>
      </c>
      <c r="H75" s="14" t="s">
        <v>99</v>
      </c>
      <c r="I75" s="14" t="s">
        <v>3335</v>
      </c>
      <c r="J75" s="14" t="s">
        <v>2994</v>
      </c>
      <c r="K75" s="14" t="s">
        <v>99</v>
      </c>
      <c r="L75" s="14" t="s">
        <v>99</v>
      </c>
      <c r="M75" s="14" t="s">
        <v>103</v>
      </c>
      <c r="N75" s="14" t="s">
        <v>104</v>
      </c>
      <c r="O75" s="14" t="s">
        <v>99</v>
      </c>
      <c r="P75" s="14" t="s">
        <v>99</v>
      </c>
      <c r="Q75" s="14" t="s">
        <v>99</v>
      </c>
      <c r="R75" s="14" t="s">
        <v>99</v>
      </c>
      <c r="S75" s="14" t="s">
        <v>99</v>
      </c>
      <c r="T75" s="14" t="s">
        <v>3336</v>
      </c>
      <c r="U75" s="14" t="s">
        <v>3337</v>
      </c>
      <c r="V75" s="14" t="s">
        <v>3338</v>
      </c>
      <c r="W75" s="14" t="s">
        <v>3339</v>
      </c>
      <c r="X75" s="14" t="s">
        <v>3340</v>
      </c>
      <c r="Y75" s="14" t="s">
        <v>3341</v>
      </c>
      <c r="Z75" s="14" t="s">
        <v>3342</v>
      </c>
      <c r="AA75" s="14" t="s">
        <v>3343</v>
      </c>
      <c r="AB75" s="14" t="s">
        <v>3344</v>
      </c>
      <c r="AC75" s="14" t="s">
        <v>3345</v>
      </c>
      <c r="AD75" s="14" t="s">
        <v>3346</v>
      </c>
      <c r="AE75" s="14" t="s">
        <v>3347</v>
      </c>
      <c r="AF75" s="14" t="s">
        <v>99</v>
      </c>
      <c r="AG75" s="14">
        <v>63.0</v>
      </c>
      <c r="AH75" s="14">
        <v>32.0</v>
      </c>
      <c r="AI75" s="14">
        <v>43.0</v>
      </c>
      <c r="AJ75" s="14">
        <v>3.0</v>
      </c>
      <c r="AK75" s="14">
        <v>82.0</v>
      </c>
      <c r="AL75" s="14" t="s">
        <v>3348</v>
      </c>
      <c r="AM75" s="14" t="s">
        <v>3004</v>
      </c>
      <c r="AN75" s="14" t="s">
        <v>3005</v>
      </c>
      <c r="AO75" s="14" t="s">
        <v>3006</v>
      </c>
      <c r="AP75" s="14" t="s">
        <v>3007</v>
      </c>
      <c r="AQ75" s="14" t="s">
        <v>99</v>
      </c>
      <c r="AR75" s="14" t="s">
        <v>3008</v>
      </c>
      <c r="AS75" s="14" t="s">
        <v>3009</v>
      </c>
      <c r="AT75" s="14" t="s">
        <v>718</v>
      </c>
      <c r="AU75" s="14">
        <v>2014.0</v>
      </c>
      <c r="AV75" s="14">
        <v>225.0</v>
      </c>
      <c r="AW75" s="14">
        <v>4.0</v>
      </c>
      <c r="AX75" s="14" t="s">
        <v>99</v>
      </c>
      <c r="AY75" s="14" t="s">
        <v>99</v>
      </c>
      <c r="AZ75" s="14" t="s">
        <v>99</v>
      </c>
      <c r="BA75" s="14" t="s">
        <v>99</v>
      </c>
      <c r="BB75" s="14" t="s">
        <v>99</v>
      </c>
      <c r="BC75" s="14" t="s">
        <v>99</v>
      </c>
      <c r="BD75" s="14">
        <v>1925.0</v>
      </c>
      <c r="BE75" s="14" t="s">
        <v>3349</v>
      </c>
      <c r="BF75" s="15" t="str">
        <f>HYPERLINK("http://dx.doi.org/10.1007/s11270-014-1925-x","http://dx.doi.org/10.1007/s11270-014-1925-x")</f>
        <v>http://dx.doi.org/10.1007/s11270-014-1925-x</v>
      </c>
      <c r="BG75" s="14" t="s">
        <v>99</v>
      </c>
      <c r="BH75" s="14" t="s">
        <v>99</v>
      </c>
      <c r="BI75" s="14">
        <v>15.0</v>
      </c>
      <c r="BJ75" s="14" t="s">
        <v>3011</v>
      </c>
      <c r="BK75" s="14" t="s">
        <v>122</v>
      </c>
      <c r="BL75" s="14" t="s">
        <v>3012</v>
      </c>
      <c r="BM75" s="14" t="s">
        <v>3350</v>
      </c>
      <c r="BN75" s="14" t="s">
        <v>99</v>
      </c>
      <c r="BO75" s="14" t="s">
        <v>99</v>
      </c>
      <c r="BP75" s="14" t="s">
        <v>99</v>
      </c>
      <c r="BQ75" s="14" t="s">
        <v>99</v>
      </c>
      <c r="BR75" s="14" t="s">
        <v>124</v>
      </c>
      <c r="BS75" s="14" t="s">
        <v>3351</v>
      </c>
      <c r="BT75" s="14" t="str">
        <f>HYPERLINK("https%3A%2F%2Fwww.webofscience.com%2Fwos%2Fwoscc%2Ffull-record%2FWOS:000334578300016","View Full Record in Web of Science")</f>
        <v>View Full Record in Web of Science</v>
      </c>
    </row>
    <row r="76" ht="12.75" customHeight="1">
      <c r="A76" s="14" t="s">
        <v>97</v>
      </c>
      <c r="B76" s="14" t="s">
        <v>3392</v>
      </c>
      <c r="C76" s="14" t="s">
        <v>99</v>
      </c>
      <c r="D76" s="14" t="s">
        <v>99</v>
      </c>
      <c r="E76" s="14" t="s">
        <v>99</v>
      </c>
      <c r="F76" s="14" t="s">
        <v>3393</v>
      </c>
      <c r="G76" s="14" t="s">
        <v>99</v>
      </c>
      <c r="H76" s="14" t="s">
        <v>99</v>
      </c>
      <c r="I76" s="14" t="s">
        <v>3394</v>
      </c>
      <c r="J76" s="14" t="s">
        <v>1020</v>
      </c>
      <c r="K76" s="14" t="s">
        <v>99</v>
      </c>
      <c r="L76" s="14" t="s">
        <v>99</v>
      </c>
      <c r="M76" s="14" t="s">
        <v>103</v>
      </c>
      <c r="N76" s="14" t="s">
        <v>104</v>
      </c>
      <c r="O76" s="14" t="s">
        <v>99</v>
      </c>
      <c r="P76" s="14" t="s">
        <v>99</v>
      </c>
      <c r="Q76" s="14" t="s">
        <v>99</v>
      </c>
      <c r="R76" s="14" t="s">
        <v>99</v>
      </c>
      <c r="S76" s="14" t="s">
        <v>99</v>
      </c>
      <c r="T76" s="14" t="s">
        <v>3395</v>
      </c>
      <c r="U76" s="14" t="s">
        <v>3396</v>
      </c>
      <c r="V76" s="14" t="s">
        <v>3397</v>
      </c>
      <c r="W76" s="14" t="s">
        <v>3398</v>
      </c>
      <c r="X76" s="14" t="s">
        <v>3399</v>
      </c>
      <c r="Y76" s="14" t="s">
        <v>3400</v>
      </c>
      <c r="Z76" s="14" t="s">
        <v>3401</v>
      </c>
      <c r="AA76" s="14" t="s">
        <v>3402</v>
      </c>
      <c r="AB76" s="14" t="s">
        <v>3403</v>
      </c>
      <c r="AC76" s="14" t="s">
        <v>3404</v>
      </c>
      <c r="AD76" s="14" t="s">
        <v>3405</v>
      </c>
      <c r="AE76" s="14" t="s">
        <v>3406</v>
      </c>
      <c r="AF76" s="14" t="s">
        <v>99</v>
      </c>
      <c r="AG76" s="14">
        <v>42.0</v>
      </c>
      <c r="AH76" s="14">
        <v>145.0</v>
      </c>
      <c r="AI76" s="14">
        <v>171.0</v>
      </c>
      <c r="AJ76" s="14">
        <v>6.0</v>
      </c>
      <c r="AK76" s="14">
        <v>263.0</v>
      </c>
      <c r="AL76" s="14" t="s">
        <v>441</v>
      </c>
      <c r="AM76" s="14" t="s">
        <v>442</v>
      </c>
      <c r="AN76" s="14" t="s">
        <v>443</v>
      </c>
      <c r="AO76" s="14" t="s">
        <v>1035</v>
      </c>
      <c r="AP76" s="14" t="s">
        <v>1036</v>
      </c>
      <c r="AQ76" s="14" t="s">
        <v>99</v>
      </c>
      <c r="AR76" s="14" t="s">
        <v>1037</v>
      </c>
      <c r="AS76" s="14" t="s">
        <v>1038</v>
      </c>
      <c r="AT76" s="14" t="s">
        <v>1505</v>
      </c>
      <c r="AU76" s="14">
        <v>2014.0</v>
      </c>
      <c r="AV76" s="14">
        <v>472.0</v>
      </c>
      <c r="AW76" s="14" t="s">
        <v>99</v>
      </c>
      <c r="AX76" s="14" t="s">
        <v>99</v>
      </c>
      <c r="AY76" s="14" t="s">
        <v>99</v>
      </c>
      <c r="AZ76" s="14" t="s">
        <v>99</v>
      </c>
      <c r="BA76" s="14" t="s">
        <v>99</v>
      </c>
      <c r="BB76" s="14">
        <v>397.0</v>
      </c>
      <c r="BC76" s="14">
        <v>406.0</v>
      </c>
      <c r="BD76" s="14" t="s">
        <v>99</v>
      </c>
      <c r="BE76" s="14" t="s">
        <v>3407</v>
      </c>
      <c r="BF76" s="15" t="str">
        <f>HYPERLINK("http://dx.doi.org/10.1016/j.scitotenv.2013.10.128","http://dx.doi.org/10.1016/j.scitotenv.2013.10.128")</f>
        <v>http://dx.doi.org/10.1016/j.scitotenv.2013.10.128</v>
      </c>
      <c r="BG76" s="14" t="s">
        <v>99</v>
      </c>
      <c r="BH76" s="14" t="s">
        <v>99</v>
      </c>
      <c r="BI76" s="14">
        <v>10.0</v>
      </c>
      <c r="BJ76" s="14" t="s">
        <v>1041</v>
      </c>
      <c r="BK76" s="14" t="s">
        <v>122</v>
      </c>
      <c r="BL76" s="14" t="s">
        <v>260</v>
      </c>
      <c r="BM76" s="14" t="s">
        <v>3408</v>
      </c>
      <c r="BN76" s="14">
        <v>2.4295756E7</v>
      </c>
      <c r="BO76" s="14" t="s">
        <v>99</v>
      </c>
      <c r="BP76" s="14" t="s">
        <v>99</v>
      </c>
      <c r="BQ76" s="14" t="s">
        <v>99</v>
      </c>
      <c r="BR76" s="14" t="s">
        <v>124</v>
      </c>
      <c r="BS76" s="14" t="s">
        <v>3409</v>
      </c>
      <c r="BT76" s="14" t="str">
        <f>HYPERLINK("https%3A%2F%2Fwww.webofscience.com%2Fwos%2Fwoscc%2Ffull-record%2FWOS:000331916100047","View Full Record in Web of Science")</f>
        <v>View Full Record in Web of Science</v>
      </c>
    </row>
    <row r="77" ht="12.75" customHeight="1">
      <c r="A77" s="14" t="s">
        <v>97</v>
      </c>
      <c r="B77" s="14" t="s">
        <v>3410</v>
      </c>
      <c r="C77" s="14" t="s">
        <v>99</v>
      </c>
      <c r="D77" s="14" t="s">
        <v>99</v>
      </c>
      <c r="E77" s="14" t="s">
        <v>99</v>
      </c>
      <c r="F77" s="14" t="s">
        <v>3411</v>
      </c>
      <c r="G77" s="14" t="s">
        <v>99</v>
      </c>
      <c r="H77" s="14" t="s">
        <v>99</v>
      </c>
      <c r="I77" s="14" t="s">
        <v>3412</v>
      </c>
      <c r="J77" s="14" t="s">
        <v>3413</v>
      </c>
      <c r="K77" s="14" t="s">
        <v>99</v>
      </c>
      <c r="L77" s="14" t="s">
        <v>99</v>
      </c>
      <c r="M77" s="14" t="s">
        <v>103</v>
      </c>
      <c r="N77" s="14" t="s">
        <v>104</v>
      </c>
      <c r="O77" s="14" t="s">
        <v>99</v>
      </c>
      <c r="P77" s="14" t="s">
        <v>99</v>
      </c>
      <c r="Q77" s="14" t="s">
        <v>99</v>
      </c>
      <c r="R77" s="14" t="s">
        <v>99</v>
      </c>
      <c r="S77" s="14" t="s">
        <v>99</v>
      </c>
      <c r="T77" s="14" t="s">
        <v>3414</v>
      </c>
      <c r="U77" s="14" t="s">
        <v>3415</v>
      </c>
      <c r="V77" s="14" t="s">
        <v>3416</v>
      </c>
      <c r="W77" s="14" t="s">
        <v>3417</v>
      </c>
      <c r="X77" s="14" t="s">
        <v>3418</v>
      </c>
      <c r="Y77" s="14" t="s">
        <v>3419</v>
      </c>
      <c r="Z77" s="14" t="s">
        <v>3420</v>
      </c>
      <c r="AA77" s="14" t="s">
        <v>3421</v>
      </c>
      <c r="AB77" s="14" t="s">
        <v>3422</v>
      </c>
      <c r="AC77" s="14" t="s">
        <v>3423</v>
      </c>
      <c r="AD77" s="14" t="s">
        <v>3423</v>
      </c>
      <c r="AE77" s="14" t="s">
        <v>3424</v>
      </c>
      <c r="AF77" s="14" t="s">
        <v>99</v>
      </c>
      <c r="AG77" s="14">
        <v>69.0</v>
      </c>
      <c r="AH77" s="14">
        <v>28.0</v>
      </c>
      <c r="AI77" s="14">
        <v>29.0</v>
      </c>
      <c r="AJ77" s="14">
        <v>0.0</v>
      </c>
      <c r="AK77" s="14">
        <v>85.0</v>
      </c>
      <c r="AL77" s="14" t="s">
        <v>441</v>
      </c>
      <c r="AM77" s="14" t="s">
        <v>442</v>
      </c>
      <c r="AN77" s="14" t="s">
        <v>443</v>
      </c>
      <c r="AO77" s="14" t="s">
        <v>3425</v>
      </c>
      <c r="AP77" s="14" t="s">
        <v>3426</v>
      </c>
      <c r="AQ77" s="14" t="s">
        <v>99</v>
      </c>
      <c r="AR77" s="14" t="s">
        <v>3427</v>
      </c>
      <c r="AS77" s="14" t="s">
        <v>3428</v>
      </c>
      <c r="AT77" s="14" t="s">
        <v>3429</v>
      </c>
      <c r="AU77" s="14">
        <v>2014.0</v>
      </c>
      <c r="AV77" s="14">
        <v>273.0</v>
      </c>
      <c r="AW77" s="14" t="s">
        <v>99</v>
      </c>
      <c r="AX77" s="14" t="s">
        <v>99</v>
      </c>
      <c r="AY77" s="14" t="s">
        <v>99</v>
      </c>
      <c r="AZ77" s="14" t="s">
        <v>99</v>
      </c>
      <c r="BA77" s="14" t="s">
        <v>99</v>
      </c>
      <c r="BB77" s="14">
        <v>140.0</v>
      </c>
      <c r="BC77" s="14">
        <v>150.0</v>
      </c>
      <c r="BD77" s="14" t="s">
        <v>99</v>
      </c>
      <c r="BE77" s="14" t="s">
        <v>3430</v>
      </c>
      <c r="BF77" s="15" t="str">
        <f>HYPERLINK("http://dx.doi.org/10.1016/j.ecolmodel.2013.11.004","http://dx.doi.org/10.1016/j.ecolmodel.2013.11.004")</f>
        <v>http://dx.doi.org/10.1016/j.ecolmodel.2013.11.004</v>
      </c>
      <c r="BG77" s="14" t="s">
        <v>99</v>
      </c>
      <c r="BH77" s="14" t="s">
        <v>99</v>
      </c>
      <c r="BI77" s="14">
        <v>11.0</v>
      </c>
      <c r="BJ77" s="14" t="s">
        <v>259</v>
      </c>
      <c r="BK77" s="14" t="s">
        <v>122</v>
      </c>
      <c r="BL77" s="14" t="s">
        <v>260</v>
      </c>
      <c r="BM77" s="14" t="s">
        <v>3431</v>
      </c>
      <c r="BN77" s="14" t="s">
        <v>99</v>
      </c>
      <c r="BO77" s="14" t="s">
        <v>99</v>
      </c>
      <c r="BP77" s="14" t="s">
        <v>99</v>
      </c>
      <c r="BQ77" s="14" t="s">
        <v>99</v>
      </c>
      <c r="BR77" s="14" t="s">
        <v>124</v>
      </c>
      <c r="BS77" s="14" t="s">
        <v>3432</v>
      </c>
      <c r="BT77" s="14" t="str">
        <f>HYPERLINK("https%3A%2F%2Fwww.webofscience.com%2Fwos%2Fwoscc%2Ffull-record%2FWOS:000331673800014","View Full Record in Web of Science")</f>
        <v>View Full Record in Web of Science</v>
      </c>
    </row>
    <row r="78" ht="12.75" customHeight="1">
      <c r="A78" s="14" t="s">
        <v>97</v>
      </c>
      <c r="B78" s="14" t="s">
        <v>3433</v>
      </c>
      <c r="C78" s="14" t="s">
        <v>99</v>
      </c>
      <c r="D78" s="14" t="s">
        <v>99</v>
      </c>
      <c r="E78" s="14" t="s">
        <v>99</v>
      </c>
      <c r="F78" s="14" t="s">
        <v>3434</v>
      </c>
      <c r="G78" s="14" t="s">
        <v>99</v>
      </c>
      <c r="H78" s="14" t="s">
        <v>99</v>
      </c>
      <c r="I78" s="14" t="s">
        <v>3435</v>
      </c>
      <c r="J78" s="14" t="s">
        <v>3436</v>
      </c>
      <c r="K78" s="14" t="s">
        <v>99</v>
      </c>
      <c r="L78" s="14" t="s">
        <v>99</v>
      </c>
      <c r="M78" s="14" t="s">
        <v>103</v>
      </c>
      <c r="N78" s="14" t="s">
        <v>104</v>
      </c>
      <c r="O78" s="14" t="s">
        <v>99</v>
      </c>
      <c r="P78" s="14" t="s">
        <v>99</v>
      </c>
      <c r="Q78" s="14" t="s">
        <v>99</v>
      </c>
      <c r="R78" s="14" t="s">
        <v>99</v>
      </c>
      <c r="S78" s="14" t="s">
        <v>99</v>
      </c>
      <c r="T78" s="14" t="s">
        <v>3437</v>
      </c>
      <c r="U78" s="14" t="s">
        <v>3438</v>
      </c>
      <c r="V78" s="14" t="s">
        <v>3439</v>
      </c>
      <c r="W78" s="14" t="s">
        <v>3440</v>
      </c>
      <c r="X78" s="14" t="s">
        <v>3441</v>
      </c>
      <c r="Y78" s="14" t="s">
        <v>3442</v>
      </c>
      <c r="Z78" s="14" t="s">
        <v>3443</v>
      </c>
      <c r="AA78" s="14" t="s">
        <v>99</v>
      </c>
      <c r="AB78" s="14" t="s">
        <v>3444</v>
      </c>
      <c r="AC78" s="14" t="s">
        <v>3445</v>
      </c>
      <c r="AD78" s="14" t="s">
        <v>3446</v>
      </c>
      <c r="AE78" s="14" t="s">
        <v>3447</v>
      </c>
      <c r="AF78" s="14" t="s">
        <v>99</v>
      </c>
      <c r="AG78" s="14">
        <v>48.0</v>
      </c>
      <c r="AH78" s="14">
        <v>66.0</v>
      </c>
      <c r="AI78" s="14">
        <v>77.0</v>
      </c>
      <c r="AJ78" s="14">
        <v>5.0</v>
      </c>
      <c r="AK78" s="14">
        <v>167.0</v>
      </c>
      <c r="AL78" s="14" t="s">
        <v>1731</v>
      </c>
      <c r="AM78" s="14" t="s">
        <v>1594</v>
      </c>
      <c r="AN78" s="14" t="s">
        <v>3448</v>
      </c>
      <c r="AO78" s="14" t="s">
        <v>3449</v>
      </c>
      <c r="AP78" s="14" t="s">
        <v>3450</v>
      </c>
      <c r="AQ78" s="14" t="s">
        <v>99</v>
      </c>
      <c r="AR78" s="14" t="s">
        <v>3451</v>
      </c>
      <c r="AS78" s="14" t="s">
        <v>3452</v>
      </c>
      <c r="AT78" s="14" t="s">
        <v>280</v>
      </c>
      <c r="AU78" s="14">
        <v>2014.0</v>
      </c>
      <c r="AV78" s="14">
        <v>71.0</v>
      </c>
      <c r="AW78" s="14">
        <v>3.0</v>
      </c>
      <c r="AX78" s="14" t="s">
        <v>99</v>
      </c>
      <c r="AY78" s="14" t="s">
        <v>99</v>
      </c>
      <c r="AZ78" s="14" t="s">
        <v>99</v>
      </c>
      <c r="BA78" s="14" t="s">
        <v>99</v>
      </c>
      <c r="BB78" s="14">
        <v>1421.0</v>
      </c>
      <c r="BC78" s="14">
        <v>1431.0</v>
      </c>
      <c r="BD78" s="14" t="s">
        <v>99</v>
      </c>
      <c r="BE78" s="14" t="s">
        <v>3453</v>
      </c>
      <c r="BF78" s="15" t="str">
        <f>HYPERLINK("http://dx.doi.org/10.1007/s12665-013-2547-0","http://dx.doi.org/10.1007/s12665-013-2547-0")</f>
        <v>http://dx.doi.org/10.1007/s12665-013-2547-0</v>
      </c>
      <c r="BG78" s="14" t="s">
        <v>99</v>
      </c>
      <c r="BH78" s="14" t="s">
        <v>99</v>
      </c>
      <c r="BI78" s="14">
        <v>11.0</v>
      </c>
      <c r="BJ78" s="14" t="s">
        <v>3454</v>
      </c>
      <c r="BK78" s="14" t="s">
        <v>122</v>
      </c>
      <c r="BL78" s="14" t="s">
        <v>3455</v>
      </c>
      <c r="BM78" s="14" t="s">
        <v>3456</v>
      </c>
      <c r="BN78" s="14" t="s">
        <v>99</v>
      </c>
      <c r="BO78" s="14" t="s">
        <v>99</v>
      </c>
      <c r="BP78" s="14" t="s">
        <v>99</v>
      </c>
      <c r="BQ78" s="14" t="s">
        <v>99</v>
      </c>
      <c r="BR78" s="14" t="s">
        <v>124</v>
      </c>
      <c r="BS78" s="14" t="s">
        <v>3457</v>
      </c>
      <c r="BT78" s="14" t="str">
        <f>HYPERLINK("https%3A%2F%2Fwww.webofscience.com%2Fwos%2Fwoscc%2Ffull-record%2FWOS:000330124100038","View Full Record in Web of Science")</f>
        <v>View Full Record in Web of Science</v>
      </c>
    </row>
    <row r="79" ht="12.75" customHeight="1">
      <c r="A79" s="14" t="s">
        <v>97</v>
      </c>
      <c r="B79" s="14" t="s">
        <v>3458</v>
      </c>
      <c r="C79" s="14" t="s">
        <v>99</v>
      </c>
      <c r="D79" s="14" t="s">
        <v>99</v>
      </c>
      <c r="E79" s="14" t="s">
        <v>99</v>
      </c>
      <c r="F79" s="14" t="s">
        <v>3459</v>
      </c>
      <c r="G79" s="14" t="s">
        <v>99</v>
      </c>
      <c r="H79" s="14" t="s">
        <v>99</v>
      </c>
      <c r="I79" s="14" t="s">
        <v>3460</v>
      </c>
      <c r="J79" s="14" t="s">
        <v>430</v>
      </c>
      <c r="K79" s="14" t="s">
        <v>99</v>
      </c>
      <c r="L79" s="14" t="s">
        <v>99</v>
      </c>
      <c r="M79" s="14" t="s">
        <v>103</v>
      </c>
      <c r="N79" s="14" t="s">
        <v>104</v>
      </c>
      <c r="O79" s="14" t="s">
        <v>99</v>
      </c>
      <c r="P79" s="14" t="s">
        <v>99</v>
      </c>
      <c r="Q79" s="14" t="s">
        <v>99</v>
      </c>
      <c r="R79" s="14" t="s">
        <v>99</v>
      </c>
      <c r="S79" s="14" t="s">
        <v>99</v>
      </c>
      <c r="T79" s="14" t="s">
        <v>3461</v>
      </c>
      <c r="U79" s="14" t="s">
        <v>3462</v>
      </c>
      <c r="V79" s="14" t="s">
        <v>3463</v>
      </c>
      <c r="W79" s="14" t="s">
        <v>3464</v>
      </c>
      <c r="X79" s="14" t="s">
        <v>3465</v>
      </c>
      <c r="Y79" s="14" t="s">
        <v>3466</v>
      </c>
      <c r="Z79" s="14" t="s">
        <v>3467</v>
      </c>
      <c r="AA79" s="14" t="s">
        <v>3468</v>
      </c>
      <c r="AB79" s="14" t="s">
        <v>3469</v>
      </c>
      <c r="AC79" s="14" t="s">
        <v>3470</v>
      </c>
      <c r="AD79" s="14" t="s">
        <v>3471</v>
      </c>
      <c r="AE79" s="14" t="s">
        <v>3472</v>
      </c>
      <c r="AF79" s="14" t="s">
        <v>99</v>
      </c>
      <c r="AG79" s="14">
        <v>83.0</v>
      </c>
      <c r="AH79" s="14">
        <v>17.0</v>
      </c>
      <c r="AI79" s="14">
        <v>24.0</v>
      </c>
      <c r="AJ79" s="14">
        <v>2.0</v>
      </c>
      <c r="AK79" s="14">
        <v>79.0</v>
      </c>
      <c r="AL79" s="14" t="s">
        <v>441</v>
      </c>
      <c r="AM79" s="14" t="s">
        <v>442</v>
      </c>
      <c r="AN79" s="14" t="s">
        <v>443</v>
      </c>
      <c r="AO79" s="14" t="s">
        <v>444</v>
      </c>
      <c r="AP79" s="14" t="s">
        <v>445</v>
      </c>
      <c r="AQ79" s="14" t="s">
        <v>99</v>
      </c>
      <c r="AR79" s="14" t="s">
        <v>446</v>
      </c>
      <c r="AS79" s="14" t="s">
        <v>447</v>
      </c>
      <c r="AT79" s="14" t="s">
        <v>1550</v>
      </c>
      <c r="AU79" s="14">
        <v>2014.0</v>
      </c>
      <c r="AV79" s="14">
        <v>313.0</v>
      </c>
      <c r="AW79" s="14" t="s">
        <v>99</v>
      </c>
      <c r="AX79" s="14" t="s">
        <v>99</v>
      </c>
      <c r="AY79" s="14" t="s">
        <v>99</v>
      </c>
      <c r="AZ79" s="14" t="s">
        <v>99</v>
      </c>
      <c r="BA79" s="14" t="s">
        <v>99</v>
      </c>
      <c r="BB79" s="14">
        <v>199.0</v>
      </c>
      <c r="BC79" s="14">
        <v>211.0</v>
      </c>
      <c r="BD79" s="14" t="s">
        <v>99</v>
      </c>
      <c r="BE79" s="14" t="s">
        <v>3473</v>
      </c>
      <c r="BF79" s="15" t="str">
        <f>HYPERLINK("http://dx.doi.org/10.1016/j.foreco.2013.10.039","http://dx.doi.org/10.1016/j.foreco.2013.10.039")</f>
        <v>http://dx.doi.org/10.1016/j.foreco.2013.10.039</v>
      </c>
      <c r="BG79" s="14" t="s">
        <v>99</v>
      </c>
      <c r="BH79" s="14" t="s">
        <v>99</v>
      </c>
      <c r="BI79" s="14">
        <v>13.0</v>
      </c>
      <c r="BJ79" s="14" t="s">
        <v>281</v>
      </c>
      <c r="BK79" s="14" t="s">
        <v>122</v>
      </c>
      <c r="BL79" s="14" t="s">
        <v>281</v>
      </c>
      <c r="BM79" s="14" t="s">
        <v>3474</v>
      </c>
      <c r="BN79" s="14" t="s">
        <v>99</v>
      </c>
      <c r="BO79" s="14" t="s">
        <v>99</v>
      </c>
      <c r="BP79" s="14" t="s">
        <v>99</v>
      </c>
      <c r="BQ79" s="14" t="s">
        <v>99</v>
      </c>
      <c r="BR79" s="14" t="s">
        <v>124</v>
      </c>
      <c r="BS79" s="14" t="s">
        <v>3475</v>
      </c>
      <c r="BT79" s="14" t="str">
        <f>HYPERLINK("https%3A%2F%2Fwww.webofscience.com%2Fwos%2Fwoscc%2Ffull-record%2FWOS:000331665600023","View Full Record in Web of Science")</f>
        <v>View Full Record in Web of Science</v>
      </c>
    </row>
    <row r="80" ht="12.75" customHeight="1">
      <c r="A80" s="14" t="s">
        <v>97</v>
      </c>
      <c r="B80" s="14" t="s">
        <v>3476</v>
      </c>
      <c r="C80" s="14" t="s">
        <v>99</v>
      </c>
      <c r="D80" s="14" t="s">
        <v>99</v>
      </c>
      <c r="E80" s="14" t="s">
        <v>99</v>
      </c>
      <c r="F80" s="14" t="s">
        <v>3477</v>
      </c>
      <c r="G80" s="14" t="s">
        <v>99</v>
      </c>
      <c r="H80" s="14" t="s">
        <v>99</v>
      </c>
      <c r="I80" s="14" t="s">
        <v>3478</v>
      </c>
      <c r="J80" s="14" t="s">
        <v>3479</v>
      </c>
      <c r="K80" s="14" t="s">
        <v>99</v>
      </c>
      <c r="L80" s="14" t="s">
        <v>99</v>
      </c>
      <c r="M80" s="14" t="s">
        <v>103</v>
      </c>
      <c r="N80" s="14" t="s">
        <v>104</v>
      </c>
      <c r="O80" s="14" t="s">
        <v>99</v>
      </c>
      <c r="P80" s="14" t="s">
        <v>99</v>
      </c>
      <c r="Q80" s="14" t="s">
        <v>99</v>
      </c>
      <c r="R80" s="14" t="s">
        <v>99</v>
      </c>
      <c r="S80" s="14" t="s">
        <v>99</v>
      </c>
      <c r="T80" s="14" t="s">
        <v>3480</v>
      </c>
      <c r="U80" s="14" t="s">
        <v>3481</v>
      </c>
      <c r="V80" s="14" t="s">
        <v>3482</v>
      </c>
      <c r="W80" s="14" t="s">
        <v>3483</v>
      </c>
      <c r="X80" s="14" t="s">
        <v>3484</v>
      </c>
      <c r="Y80" s="14" t="s">
        <v>2956</v>
      </c>
      <c r="Z80" s="14" t="s">
        <v>2957</v>
      </c>
      <c r="AA80" s="14" t="s">
        <v>3485</v>
      </c>
      <c r="AB80" s="14" t="s">
        <v>3486</v>
      </c>
      <c r="AC80" s="14" t="s">
        <v>3487</v>
      </c>
      <c r="AD80" s="14" t="s">
        <v>3488</v>
      </c>
      <c r="AE80" s="14" t="s">
        <v>3489</v>
      </c>
      <c r="AF80" s="14" t="s">
        <v>99</v>
      </c>
      <c r="AG80" s="14">
        <v>58.0</v>
      </c>
      <c r="AH80" s="14">
        <v>118.0</v>
      </c>
      <c r="AI80" s="14">
        <v>159.0</v>
      </c>
      <c r="AJ80" s="14">
        <v>12.0</v>
      </c>
      <c r="AK80" s="14">
        <v>294.0</v>
      </c>
      <c r="AL80" s="14" t="s">
        <v>441</v>
      </c>
      <c r="AM80" s="14" t="s">
        <v>442</v>
      </c>
      <c r="AN80" s="14" t="s">
        <v>443</v>
      </c>
      <c r="AO80" s="14" t="s">
        <v>3490</v>
      </c>
      <c r="AP80" s="14" t="s">
        <v>3491</v>
      </c>
      <c r="AQ80" s="14" t="s">
        <v>99</v>
      </c>
      <c r="AR80" s="14" t="s">
        <v>3492</v>
      </c>
      <c r="AS80" s="14" t="s">
        <v>3493</v>
      </c>
      <c r="AT80" s="14" t="s">
        <v>280</v>
      </c>
      <c r="AU80" s="14">
        <v>2014.0</v>
      </c>
      <c r="AV80" s="14">
        <v>55.0</v>
      </c>
      <c r="AW80" s="14" t="s">
        <v>99</v>
      </c>
      <c r="AX80" s="14" t="s">
        <v>99</v>
      </c>
      <c r="AY80" s="14" t="s">
        <v>99</v>
      </c>
      <c r="AZ80" s="14" t="s">
        <v>99</v>
      </c>
      <c r="BA80" s="14" t="s">
        <v>99</v>
      </c>
      <c r="BB80" s="14">
        <v>86.0</v>
      </c>
      <c r="BC80" s="14">
        <v>96.0</v>
      </c>
      <c r="BD80" s="14" t="s">
        <v>99</v>
      </c>
      <c r="BE80" s="14" t="s">
        <v>3494</v>
      </c>
      <c r="BF80" s="15" t="str">
        <f>HYPERLINK("http://dx.doi.org/10.1016/j.actao.2013.12.006","http://dx.doi.org/10.1016/j.actao.2013.12.006")</f>
        <v>http://dx.doi.org/10.1016/j.actao.2013.12.006</v>
      </c>
      <c r="BG80" s="14" t="s">
        <v>99</v>
      </c>
      <c r="BH80" s="14" t="s">
        <v>99</v>
      </c>
      <c r="BI80" s="14">
        <v>11.0</v>
      </c>
      <c r="BJ80" s="14" t="s">
        <v>259</v>
      </c>
      <c r="BK80" s="14" t="s">
        <v>122</v>
      </c>
      <c r="BL80" s="14" t="s">
        <v>260</v>
      </c>
      <c r="BM80" s="14" t="s">
        <v>3495</v>
      </c>
      <c r="BN80" s="14" t="s">
        <v>99</v>
      </c>
      <c r="BO80" s="14" t="s">
        <v>99</v>
      </c>
      <c r="BP80" s="14" t="s">
        <v>99</v>
      </c>
      <c r="BQ80" s="14" t="s">
        <v>99</v>
      </c>
      <c r="BR80" s="14" t="s">
        <v>124</v>
      </c>
      <c r="BS80" s="14" t="s">
        <v>3496</v>
      </c>
      <c r="BT80" s="14" t="str">
        <f>HYPERLINK("https%3A%2F%2Fwww.webofscience.com%2Fwos%2Fwoscc%2Ffull-record%2FWOS:000331773100012","View Full Record in Web of Science")</f>
        <v>View Full Record in Web of Science</v>
      </c>
    </row>
    <row r="81" ht="12.75" customHeight="1">
      <c r="A81" s="14" t="s">
        <v>97</v>
      </c>
      <c r="B81" s="14" t="s">
        <v>3617</v>
      </c>
      <c r="C81" s="14" t="s">
        <v>99</v>
      </c>
      <c r="D81" s="14" t="s">
        <v>99</v>
      </c>
      <c r="E81" s="14" t="s">
        <v>99</v>
      </c>
      <c r="F81" s="14" t="s">
        <v>3618</v>
      </c>
      <c r="G81" s="14" t="s">
        <v>99</v>
      </c>
      <c r="H81" s="14" t="s">
        <v>99</v>
      </c>
      <c r="I81" s="14" t="s">
        <v>3619</v>
      </c>
      <c r="J81" s="14" t="s">
        <v>3242</v>
      </c>
      <c r="K81" s="14" t="s">
        <v>99</v>
      </c>
      <c r="L81" s="14" t="s">
        <v>99</v>
      </c>
      <c r="M81" s="14" t="s">
        <v>103</v>
      </c>
      <c r="N81" s="14" t="s">
        <v>104</v>
      </c>
      <c r="O81" s="14" t="s">
        <v>99</v>
      </c>
      <c r="P81" s="14" t="s">
        <v>99</v>
      </c>
      <c r="Q81" s="14" t="s">
        <v>99</v>
      </c>
      <c r="R81" s="14" t="s">
        <v>99</v>
      </c>
      <c r="S81" s="14" t="s">
        <v>99</v>
      </c>
      <c r="T81" s="14" t="s">
        <v>3620</v>
      </c>
      <c r="U81" s="14" t="s">
        <v>3621</v>
      </c>
      <c r="V81" s="14" t="s">
        <v>3622</v>
      </c>
      <c r="W81" s="14" t="s">
        <v>3623</v>
      </c>
      <c r="X81" s="14" t="s">
        <v>2955</v>
      </c>
      <c r="Y81" s="14" t="s">
        <v>3624</v>
      </c>
      <c r="Z81" s="14" t="s">
        <v>3625</v>
      </c>
      <c r="AA81" s="14" t="s">
        <v>3626</v>
      </c>
      <c r="AB81" s="14" t="s">
        <v>3627</v>
      </c>
      <c r="AC81" s="14" t="s">
        <v>3628</v>
      </c>
      <c r="AD81" s="14" t="s">
        <v>3629</v>
      </c>
      <c r="AE81" s="14" t="s">
        <v>3630</v>
      </c>
      <c r="AF81" s="14" t="s">
        <v>99</v>
      </c>
      <c r="AG81" s="14">
        <v>50.0</v>
      </c>
      <c r="AH81" s="14">
        <v>45.0</v>
      </c>
      <c r="AI81" s="14">
        <v>61.0</v>
      </c>
      <c r="AJ81" s="14">
        <v>3.0</v>
      </c>
      <c r="AK81" s="14">
        <v>387.0</v>
      </c>
      <c r="AL81" s="14" t="s">
        <v>2301</v>
      </c>
      <c r="AM81" s="14" t="s">
        <v>2302</v>
      </c>
      <c r="AN81" s="14" t="s">
        <v>2303</v>
      </c>
      <c r="AO81" s="14" t="s">
        <v>3251</v>
      </c>
      <c r="AP81" s="14" t="s">
        <v>3252</v>
      </c>
      <c r="AQ81" s="14" t="s">
        <v>99</v>
      </c>
      <c r="AR81" s="14" t="s">
        <v>3253</v>
      </c>
      <c r="AS81" s="14" t="s">
        <v>3254</v>
      </c>
      <c r="AT81" s="14" t="s">
        <v>1058</v>
      </c>
      <c r="AU81" s="14">
        <v>2013.0</v>
      </c>
      <c r="AV81" s="14">
        <v>5.0</v>
      </c>
      <c r="AW81" s="14">
        <v>4.0</v>
      </c>
      <c r="AX81" s="14" t="s">
        <v>99</v>
      </c>
      <c r="AY81" s="14" t="s">
        <v>99</v>
      </c>
      <c r="AZ81" s="14" t="s">
        <v>99</v>
      </c>
      <c r="BA81" s="14" t="s">
        <v>99</v>
      </c>
      <c r="BB81" s="14">
        <v>465.0</v>
      </c>
      <c r="BC81" s="14">
        <v>479.0</v>
      </c>
      <c r="BD81" s="14" t="s">
        <v>99</v>
      </c>
      <c r="BE81" s="14" t="s">
        <v>3631</v>
      </c>
      <c r="BF81" s="15" t="str">
        <f>HYPERLINK("http://dx.doi.org/10.1007/s40333-013-0181-z","http://dx.doi.org/10.1007/s40333-013-0181-z")</f>
        <v>http://dx.doi.org/10.1007/s40333-013-0181-z</v>
      </c>
      <c r="BG81" s="14" t="s">
        <v>99</v>
      </c>
      <c r="BH81" s="14" t="s">
        <v>99</v>
      </c>
      <c r="BI81" s="14">
        <v>15.0</v>
      </c>
      <c r="BJ81" s="14" t="s">
        <v>1041</v>
      </c>
      <c r="BK81" s="14" t="s">
        <v>122</v>
      </c>
      <c r="BL81" s="14" t="s">
        <v>260</v>
      </c>
      <c r="BM81" s="14" t="s">
        <v>3632</v>
      </c>
      <c r="BN81" s="14" t="s">
        <v>99</v>
      </c>
      <c r="BO81" s="14" t="s">
        <v>99</v>
      </c>
      <c r="BP81" s="14" t="s">
        <v>99</v>
      </c>
      <c r="BQ81" s="14" t="s">
        <v>99</v>
      </c>
      <c r="BR81" s="14" t="s">
        <v>124</v>
      </c>
      <c r="BS81" s="14" t="s">
        <v>3633</v>
      </c>
      <c r="BT81" s="14" t="str">
        <f>HYPERLINK("https%3A%2F%2Fwww.webofscience.com%2Fwos%2Fwoscc%2Ffull-record%2FWOS:000321558700006","View Full Record in Web of Science")</f>
        <v>View Full Record in Web of Science</v>
      </c>
    </row>
    <row r="82" ht="12.75" customHeight="1">
      <c r="A82" s="14" t="s">
        <v>97</v>
      </c>
      <c r="B82" s="14" t="s">
        <v>3634</v>
      </c>
      <c r="C82" s="14" t="s">
        <v>99</v>
      </c>
      <c r="D82" s="14" t="s">
        <v>99</v>
      </c>
      <c r="E82" s="14" t="s">
        <v>99</v>
      </c>
      <c r="F82" s="14" t="s">
        <v>3635</v>
      </c>
      <c r="G82" s="14" t="s">
        <v>99</v>
      </c>
      <c r="H82" s="14" t="s">
        <v>99</v>
      </c>
      <c r="I82" s="14" t="s">
        <v>3636</v>
      </c>
      <c r="J82" s="14" t="s">
        <v>2500</v>
      </c>
      <c r="K82" s="14" t="s">
        <v>99</v>
      </c>
      <c r="L82" s="14" t="s">
        <v>99</v>
      </c>
      <c r="M82" s="14" t="s">
        <v>103</v>
      </c>
      <c r="N82" s="14" t="s">
        <v>104</v>
      </c>
      <c r="O82" s="14" t="s">
        <v>99</v>
      </c>
      <c r="P82" s="14" t="s">
        <v>99</v>
      </c>
      <c r="Q82" s="14" t="s">
        <v>99</v>
      </c>
      <c r="R82" s="14" t="s">
        <v>99</v>
      </c>
      <c r="S82" s="14" t="s">
        <v>99</v>
      </c>
      <c r="T82" s="14" t="s">
        <v>99</v>
      </c>
      <c r="U82" s="14" t="s">
        <v>3637</v>
      </c>
      <c r="V82" s="14" t="s">
        <v>3638</v>
      </c>
      <c r="W82" s="14" t="s">
        <v>3639</v>
      </c>
      <c r="X82" s="14" t="s">
        <v>3640</v>
      </c>
      <c r="Y82" s="14" t="s">
        <v>3641</v>
      </c>
      <c r="Z82" s="14" t="s">
        <v>3642</v>
      </c>
      <c r="AA82" s="14" t="s">
        <v>3643</v>
      </c>
      <c r="AB82" s="14" t="s">
        <v>3644</v>
      </c>
      <c r="AC82" s="14" t="s">
        <v>3645</v>
      </c>
      <c r="AD82" s="14" t="s">
        <v>3646</v>
      </c>
      <c r="AE82" s="14" t="s">
        <v>3647</v>
      </c>
      <c r="AF82" s="14" t="s">
        <v>99</v>
      </c>
      <c r="AG82" s="14">
        <v>57.0</v>
      </c>
      <c r="AH82" s="14">
        <v>261.0</v>
      </c>
      <c r="AI82" s="14">
        <v>297.0</v>
      </c>
      <c r="AJ82" s="14">
        <v>8.0</v>
      </c>
      <c r="AK82" s="14">
        <v>183.0</v>
      </c>
      <c r="AL82" s="14" t="s">
        <v>2512</v>
      </c>
      <c r="AM82" s="14" t="s">
        <v>2513</v>
      </c>
      <c r="AN82" s="14" t="s">
        <v>2514</v>
      </c>
      <c r="AO82" s="14" t="s">
        <v>2515</v>
      </c>
      <c r="AP82" s="14" t="s">
        <v>99</v>
      </c>
      <c r="AQ82" s="14" t="s">
        <v>99</v>
      </c>
      <c r="AR82" s="14" t="s">
        <v>2500</v>
      </c>
      <c r="AS82" s="14" t="s">
        <v>2516</v>
      </c>
      <c r="AT82" s="14" t="s">
        <v>3648</v>
      </c>
      <c r="AU82" s="14">
        <v>2013.0</v>
      </c>
      <c r="AV82" s="14">
        <v>8.0</v>
      </c>
      <c r="AW82" s="14">
        <v>11.0</v>
      </c>
      <c r="AX82" s="14" t="s">
        <v>99</v>
      </c>
      <c r="AY82" s="14" t="s">
        <v>99</v>
      </c>
      <c r="AZ82" s="14" t="s">
        <v>99</v>
      </c>
      <c r="BA82" s="14" t="s">
        <v>99</v>
      </c>
      <c r="BB82" s="14" t="s">
        <v>99</v>
      </c>
      <c r="BC82" s="14" t="s">
        <v>99</v>
      </c>
      <c r="BD82" s="14" t="s">
        <v>3649</v>
      </c>
      <c r="BE82" s="14" t="s">
        <v>3650</v>
      </c>
      <c r="BF82" s="15" t="str">
        <f>HYPERLINK("http://dx.doi.org/10.1371/journal.pone.0081292","http://dx.doi.org/10.1371/journal.pone.0081292")</f>
        <v>http://dx.doi.org/10.1371/journal.pone.0081292</v>
      </c>
      <c r="BG82" s="14" t="s">
        <v>99</v>
      </c>
      <c r="BH82" s="14" t="s">
        <v>99</v>
      </c>
      <c r="BI82" s="14">
        <v>13.0</v>
      </c>
      <c r="BJ82" s="14" t="s">
        <v>799</v>
      </c>
      <c r="BK82" s="14" t="s">
        <v>122</v>
      </c>
      <c r="BL82" s="14" t="s">
        <v>801</v>
      </c>
      <c r="BM82" s="14" t="s">
        <v>3651</v>
      </c>
      <c r="BN82" s="14">
        <v>2.428258E7</v>
      </c>
      <c r="BO82" s="14" t="s">
        <v>3652</v>
      </c>
      <c r="BP82" s="14" t="s">
        <v>99</v>
      </c>
      <c r="BQ82" s="14" t="s">
        <v>99</v>
      </c>
      <c r="BR82" s="14" t="s">
        <v>124</v>
      </c>
      <c r="BS82" s="14" t="s">
        <v>3653</v>
      </c>
      <c r="BT82" s="14" t="str">
        <f>HYPERLINK("https%3A%2F%2Fwww.webofscience.com%2Fwos%2Fwoscc%2Ffull-record%2FWOS:000327543500082","View Full Record in Web of Science")</f>
        <v>View Full Record in Web of Science</v>
      </c>
    </row>
    <row r="83" ht="12.75" customHeight="1">
      <c r="A83" s="14" t="s">
        <v>97</v>
      </c>
      <c r="B83" s="14" t="s">
        <v>3673</v>
      </c>
      <c r="C83" s="14" t="s">
        <v>99</v>
      </c>
      <c r="D83" s="14" t="s">
        <v>99</v>
      </c>
      <c r="E83" s="14" t="s">
        <v>99</v>
      </c>
      <c r="F83" s="14" t="s">
        <v>3674</v>
      </c>
      <c r="G83" s="14" t="s">
        <v>99</v>
      </c>
      <c r="H83" s="14" t="s">
        <v>99</v>
      </c>
      <c r="I83" s="14" t="s">
        <v>3675</v>
      </c>
      <c r="J83" s="14" t="s">
        <v>1102</v>
      </c>
      <c r="K83" s="14" t="s">
        <v>99</v>
      </c>
      <c r="L83" s="14" t="s">
        <v>99</v>
      </c>
      <c r="M83" s="14" t="s">
        <v>103</v>
      </c>
      <c r="N83" s="14" t="s">
        <v>104</v>
      </c>
      <c r="O83" s="14" t="s">
        <v>99</v>
      </c>
      <c r="P83" s="14" t="s">
        <v>99</v>
      </c>
      <c r="Q83" s="14" t="s">
        <v>99</v>
      </c>
      <c r="R83" s="14" t="s">
        <v>99</v>
      </c>
      <c r="S83" s="14" t="s">
        <v>99</v>
      </c>
      <c r="T83" s="14" t="s">
        <v>3676</v>
      </c>
      <c r="U83" s="14" t="s">
        <v>3677</v>
      </c>
      <c r="V83" s="14" t="s">
        <v>3678</v>
      </c>
      <c r="W83" s="14" t="s">
        <v>3679</v>
      </c>
      <c r="X83" s="14" t="s">
        <v>3680</v>
      </c>
      <c r="Y83" s="14" t="s">
        <v>3681</v>
      </c>
      <c r="Z83" s="14" t="s">
        <v>3682</v>
      </c>
      <c r="AA83" s="14" t="s">
        <v>3683</v>
      </c>
      <c r="AB83" s="14" t="s">
        <v>3684</v>
      </c>
      <c r="AC83" s="14" t="s">
        <v>3685</v>
      </c>
      <c r="AD83" s="14" t="s">
        <v>3686</v>
      </c>
      <c r="AE83" s="14" t="s">
        <v>3687</v>
      </c>
      <c r="AF83" s="14" t="s">
        <v>99</v>
      </c>
      <c r="AG83" s="14">
        <v>82.0</v>
      </c>
      <c r="AH83" s="14">
        <v>39.0</v>
      </c>
      <c r="AI83" s="14">
        <v>45.0</v>
      </c>
      <c r="AJ83" s="14">
        <v>1.0</v>
      </c>
      <c r="AK83" s="14">
        <v>39.0</v>
      </c>
      <c r="AL83" s="14" t="s">
        <v>493</v>
      </c>
      <c r="AM83" s="14" t="s">
        <v>468</v>
      </c>
      <c r="AN83" s="14" t="s">
        <v>635</v>
      </c>
      <c r="AO83" s="14" t="s">
        <v>1112</v>
      </c>
      <c r="AP83" s="14" t="s">
        <v>1113</v>
      </c>
      <c r="AQ83" s="14" t="s">
        <v>99</v>
      </c>
      <c r="AR83" s="14" t="s">
        <v>1114</v>
      </c>
      <c r="AS83" s="14" t="s">
        <v>1115</v>
      </c>
      <c r="AT83" s="14" t="s">
        <v>348</v>
      </c>
      <c r="AU83" s="14">
        <v>2013.0</v>
      </c>
      <c r="AV83" s="14">
        <v>167.0</v>
      </c>
      <c r="AW83" s="14" t="s">
        <v>99</v>
      </c>
      <c r="AX83" s="14" t="s">
        <v>99</v>
      </c>
      <c r="AY83" s="14" t="s">
        <v>99</v>
      </c>
      <c r="AZ83" s="14" t="s">
        <v>99</v>
      </c>
      <c r="BA83" s="14" t="s">
        <v>99</v>
      </c>
      <c r="BB83" s="14">
        <v>1.0</v>
      </c>
      <c r="BC83" s="14">
        <v>8.0</v>
      </c>
      <c r="BD83" s="14" t="s">
        <v>99</v>
      </c>
      <c r="BE83" s="14" t="s">
        <v>3688</v>
      </c>
      <c r="BF83" s="15" t="str">
        <f>HYPERLINK("http://dx.doi.org/10.1016/j.biocon.2013.07.012","http://dx.doi.org/10.1016/j.biocon.2013.07.012")</f>
        <v>http://dx.doi.org/10.1016/j.biocon.2013.07.012</v>
      </c>
      <c r="BG83" s="14" t="s">
        <v>99</v>
      </c>
      <c r="BH83" s="14" t="s">
        <v>99</v>
      </c>
      <c r="BI83" s="14">
        <v>8.0</v>
      </c>
      <c r="BJ83" s="14" t="s">
        <v>351</v>
      </c>
      <c r="BK83" s="14" t="s">
        <v>800</v>
      </c>
      <c r="BL83" s="14" t="s">
        <v>352</v>
      </c>
      <c r="BM83" s="14" t="s">
        <v>3689</v>
      </c>
      <c r="BN83" s="14" t="s">
        <v>99</v>
      </c>
      <c r="BO83" s="14" t="s">
        <v>99</v>
      </c>
      <c r="BP83" s="14" t="s">
        <v>99</v>
      </c>
      <c r="BQ83" s="14" t="s">
        <v>99</v>
      </c>
      <c r="BR83" s="14" t="s">
        <v>124</v>
      </c>
      <c r="BS83" s="14" t="s">
        <v>3690</v>
      </c>
      <c r="BT83" s="14" t="str">
        <f>HYPERLINK("https%3A%2F%2Fwww.webofscience.com%2Fwos%2Fwoscc%2Ffull-record%2FWOS:000328804300001","View Full Record in Web of Science")</f>
        <v>View Full Record in Web of Science</v>
      </c>
    </row>
    <row r="84" ht="12.75" customHeight="1">
      <c r="A84" s="14" t="s">
        <v>97</v>
      </c>
      <c r="B84" s="14" t="s">
        <v>3790</v>
      </c>
      <c r="C84" s="14" t="s">
        <v>99</v>
      </c>
      <c r="D84" s="14" t="s">
        <v>99</v>
      </c>
      <c r="E84" s="14" t="s">
        <v>99</v>
      </c>
      <c r="F84" s="14" t="s">
        <v>3791</v>
      </c>
      <c r="G84" s="14" t="s">
        <v>99</v>
      </c>
      <c r="H84" s="14" t="s">
        <v>99</v>
      </c>
      <c r="I84" s="14" t="s">
        <v>3792</v>
      </c>
      <c r="J84" s="14" t="s">
        <v>3018</v>
      </c>
      <c r="K84" s="14" t="s">
        <v>99</v>
      </c>
      <c r="L84" s="14" t="s">
        <v>99</v>
      </c>
      <c r="M84" s="14" t="s">
        <v>103</v>
      </c>
      <c r="N84" s="14" t="s">
        <v>104</v>
      </c>
      <c r="O84" s="14" t="s">
        <v>99</v>
      </c>
      <c r="P84" s="14" t="s">
        <v>99</v>
      </c>
      <c r="Q84" s="14" t="s">
        <v>99</v>
      </c>
      <c r="R84" s="14" t="s">
        <v>99</v>
      </c>
      <c r="S84" s="14" t="s">
        <v>99</v>
      </c>
      <c r="T84" s="14" t="s">
        <v>3793</v>
      </c>
      <c r="U84" s="14" t="s">
        <v>3794</v>
      </c>
      <c r="V84" s="14" t="s">
        <v>3795</v>
      </c>
      <c r="W84" s="14" t="s">
        <v>3796</v>
      </c>
      <c r="X84" s="14" t="s">
        <v>3797</v>
      </c>
      <c r="Y84" s="14" t="s">
        <v>2956</v>
      </c>
      <c r="Z84" s="14" t="s">
        <v>2957</v>
      </c>
      <c r="AA84" s="14" t="s">
        <v>3798</v>
      </c>
      <c r="AB84" s="14" t="s">
        <v>3799</v>
      </c>
      <c r="AC84" s="14" t="s">
        <v>3800</v>
      </c>
      <c r="AD84" s="14" t="s">
        <v>3801</v>
      </c>
      <c r="AE84" s="14" t="s">
        <v>3802</v>
      </c>
      <c r="AF84" s="14" t="s">
        <v>99</v>
      </c>
      <c r="AG84" s="14">
        <v>59.0</v>
      </c>
      <c r="AH84" s="14">
        <v>168.0</v>
      </c>
      <c r="AI84" s="14">
        <v>207.0</v>
      </c>
      <c r="AJ84" s="14">
        <v>4.0</v>
      </c>
      <c r="AK84" s="14">
        <v>288.0</v>
      </c>
      <c r="AL84" s="14" t="s">
        <v>441</v>
      </c>
      <c r="AM84" s="14" t="s">
        <v>442</v>
      </c>
      <c r="AN84" s="14" t="s">
        <v>443</v>
      </c>
      <c r="AO84" s="14" t="s">
        <v>3030</v>
      </c>
      <c r="AP84" s="14" t="s">
        <v>3031</v>
      </c>
      <c r="AQ84" s="14" t="s">
        <v>99</v>
      </c>
      <c r="AR84" s="14" t="s">
        <v>3032</v>
      </c>
      <c r="AS84" s="14" t="s">
        <v>3033</v>
      </c>
      <c r="AT84" s="14" t="s">
        <v>421</v>
      </c>
      <c r="AU84" s="14">
        <v>2013.0</v>
      </c>
      <c r="AV84" s="14">
        <v>108.0</v>
      </c>
      <c r="AW84" s="14" t="s">
        <v>99</v>
      </c>
      <c r="AX84" s="14" t="s">
        <v>99</v>
      </c>
      <c r="AY84" s="14" t="s">
        <v>99</v>
      </c>
      <c r="AZ84" s="14" t="s">
        <v>99</v>
      </c>
      <c r="BA84" s="14" t="s">
        <v>99</v>
      </c>
      <c r="BB84" s="14">
        <v>29.0</v>
      </c>
      <c r="BC84" s="14">
        <v>41.0</v>
      </c>
      <c r="BD84" s="14" t="s">
        <v>99</v>
      </c>
      <c r="BE84" s="14" t="s">
        <v>3803</v>
      </c>
      <c r="BF84" s="15" t="str">
        <f>HYPERLINK("http://dx.doi.org/10.1016/j.gloplacha.2013.06.007","http://dx.doi.org/10.1016/j.gloplacha.2013.06.007")</f>
        <v>http://dx.doi.org/10.1016/j.gloplacha.2013.06.007</v>
      </c>
      <c r="BG84" s="14" t="s">
        <v>99</v>
      </c>
      <c r="BH84" s="14" t="s">
        <v>99</v>
      </c>
      <c r="BI84" s="14">
        <v>13.0</v>
      </c>
      <c r="BJ84" s="14" t="s">
        <v>3035</v>
      </c>
      <c r="BK84" s="14" t="s">
        <v>800</v>
      </c>
      <c r="BL84" s="14" t="s">
        <v>3036</v>
      </c>
      <c r="BM84" s="14" t="s">
        <v>3804</v>
      </c>
      <c r="BN84" s="14" t="s">
        <v>99</v>
      </c>
      <c r="BO84" s="14" t="s">
        <v>99</v>
      </c>
      <c r="BP84" s="14" t="s">
        <v>99</v>
      </c>
      <c r="BQ84" s="14" t="s">
        <v>99</v>
      </c>
      <c r="BR84" s="14" t="s">
        <v>124</v>
      </c>
      <c r="BS84" s="14" t="s">
        <v>3805</v>
      </c>
      <c r="BT84" s="14" t="str">
        <f>HYPERLINK("https%3A%2F%2Fwww.webofscience.com%2Fwos%2Fwoscc%2Ffull-record%2FWOS:000323470800003","View Full Record in Web of Science")</f>
        <v>View Full Record in Web of Science</v>
      </c>
    </row>
    <row r="85" ht="12.75" customHeight="1">
      <c r="A85" s="14" t="s">
        <v>97</v>
      </c>
      <c r="B85" s="14" t="s">
        <v>3860</v>
      </c>
      <c r="C85" s="14" t="s">
        <v>99</v>
      </c>
      <c r="D85" s="14" t="s">
        <v>99</v>
      </c>
      <c r="E85" s="14" t="s">
        <v>99</v>
      </c>
      <c r="F85" s="14" t="s">
        <v>3861</v>
      </c>
      <c r="G85" s="14" t="s">
        <v>99</v>
      </c>
      <c r="H85" s="14" t="s">
        <v>99</v>
      </c>
      <c r="I85" s="14" t="s">
        <v>3862</v>
      </c>
      <c r="J85" s="14" t="s">
        <v>1335</v>
      </c>
      <c r="K85" s="14" t="s">
        <v>99</v>
      </c>
      <c r="L85" s="14" t="s">
        <v>99</v>
      </c>
      <c r="M85" s="14" t="s">
        <v>103</v>
      </c>
      <c r="N85" s="14" t="s">
        <v>104</v>
      </c>
      <c r="O85" s="14" t="s">
        <v>99</v>
      </c>
      <c r="P85" s="14" t="s">
        <v>99</v>
      </c>
      <c r="Q85" s="14" t="s">
        <v>99</v>
      </c>
      <c r="R85" s="14" t="s">
        <v>99</v>
      </c>
      <c r="S85" s="14" t="s">
        <v>99</v>
      </c>
      <c r="T85" s="14" t="s">
        <v>3863</v>
      </c>
      <c r="U85" s="14" t="s">
        <v>3864</v>
      </c>
      <c r="V85" s="14" t="s">
        <v>3865</v>
      </c>
      <c r="W85" s="14" t="s">
        <v>3866</v>
      </c>
      <c r="X85" s="14" t="s">
        <v>3867</v>
      </c>
      <c r="Y85" s="14" t="s">
        <v>3868</v>
      </c>
      <c r="Z85" s="14" t="s">
        <v>3869</v>
      </c>
      <c r="AA85" s="14" t="s">
        <v>3870</v>
      </c>
      <c r="AB85" s="14" t="s">
        <v>99</v>
      </c>
      <c r="AC85" s="14" t="s">
        <v>3871</v>
      </c>
      <c r="AD85" s="14" t="s">
        <v>3872</v>
      </c>
      <c r="AE85" s="14" t="s">
        <v>3873</v>
      </c>
      <c r="AF85" s="14" t="s">
        <v>99</v>
      </c>
      <c r="AG85" s="14">
        <v>62.0</v>
      </c>
      <c r="AH85" s="14">
        <v>100.0</v>
      </c>
      <c r="AI85" s="14">
        <v>124.0</v>
      </c>
      <c r="AJ85" s="14">
        <v>1.0</v>
      </c>
      <c r="AK85" s="14">
        <v>181.0</v>
      </c>
      <c r="AL85" s="14" t="s">
        <v>1347</v>
      </c>
      <c r="AM85" s="14" t="s">
        <v>1348</v>
      </c>
      <c r="AN85" s="14" t="s">
        <v>1349</v>
      </c>
      <c r="AO85" s="14" t="s">
        <v>1350</v>
      </c>
      <c r="AP85" s="14" t="s">
        <v>99</v>
      </c>
      <c r="AQ85" s="14" t="s">
        <v>99</v>
      </c>
      <c r="AR85" s="14" t="s">
        <v>1351</v>
      </c>
      <c r="AS85" s="14" t="s">
        <v>1352</v>
      </c>
      <c r="AT85" s="14" t="s">
        <v>474</v>
      </c>
      <c r="AU85" s="14">
        <v>2013.0</v>
      </c>
      <c r="AV85" s="14">
        <v>5.0</v>
      </c>
      <c r="AW85" s="14">
        <v>8.0</v>
      </c>
      <c r="AX85" s="14" t="s">
        <v>99</v>
      </c>
      <c r="AY85" s="14" t="s">
        <v>99</v>
      </c>
      <c r="AZ85" s="14" t="s">
        <v>99</v>
      </c>
      <c r="BA85" s="14" t="s">
        <v>99</v>
      </c>
      <c r="BB85" s="14">
        <v>4125.0</v>
      </c>
      <c r="BC85" s="14">
        <v>4144.0</v>
      </c>
      <c r="BD85" s="14" t="s">
        <v>99</v>
      </c>
      <c r="BE85" s="14" t="s">
        <v>3874</v>
      </c>
      <c r="BF85" s="15" t="str">
        <f>HYPERLINK("http://dx.doi.org/10.3390/rs5084125","http://dx.doi.org/10.3390/rs5084125")</f>
        <v>http://dx.doi.org/10.3390/rs5084125</v>
      </c>
      <c r="BG85" s="14" t="s">
        <v>99</v>
      </c>
      <c r="BH85" s="14" t="s">
        <v>99</v>
      </c>
      <c r="BI85" s="14">
        <v>20.0</v>
      </c>
      <c r="BJ85" s="14" t="s">
        <v>1354</v>
      </c>
      <c r="BK85" s="14" t="s">
        <v>122</v>
      </c>
      <c r="BL85" s="14" t="s">
        <v>1355</v>
      </c>
      <c r="BM85" s="14" t="s">
        <v>3875</v>
      </c>
      <c r="BN85" s="14" t="s">
        <v>99</v>
      </c>
      <c r="BO85" s="14" t="s">
        <v>1251</v>
      </c>
      <c r="BP85" s="14" t="s">
        <v>99</v>
      </c>
      <c r="BQ85" s="14" t="s">
        <v>99</v>
      </c>
      <c r="BR85" s="14" t="s">
        <v>124</v>
      </c>
      <c r="BS85" s="14" t="s">
        <v>3876</v>
      </c>
      <c r="BT85" s="14" t="str">
        <f>HYPERLINK("https%3A%2F%2Fwww.webofscience.com%2Fwos%2Fwoscc%2Ffull-record%2FWOS:000328626100023","View Full Record in Web of Science")</f>
        <v>View Full Record in Web of Science</v>
      </c>
    </row>
    <row r="86" ht="12.75" customHeight="1">
      <c r="A86" s="14" t="s">
        <v>97</v>
      </c>
      <c r="B86" s="14" t="s">
        <v>3939</v>
      </c>
      <c r="C86" s="14" t="s">
        <v>99</v>
      </c>
      <c r="D86" s="14" t="s">
        <v>99</v>
      </c>
      <c r="E86" s="14" t="s">
        <v>99</v>
      </c>
      <c r="F86" s="14" t="s">
        <v>3940</v>
      </c>
      <c r="G86" s="14" t="s">
        <v>99</v>
      </c>
      <c r="H86" s="14" t="s">
        <v>99</v>
      </c>
      <c r="I86" s="14" t="s">
        <v>3941</v>
      </c>
      <c r="J86" s="14" t="s">
        <v>1605</v>
      </c>
      <c r="K86" s="14" t="s">
        <v>99</v>
      </c>
      <c r="L86" s="14" t="s">
        <v>99</v>
      </c>
      <c r="M86" s="14" t="s">
        <v>103</v>
      </c>
      <c r="N86" s="14" t="s">
        <v>104</v>
      </c>
      <c r="O86" s="14" t="s">
        <v>99</v>
      </c>
      <c r="P86" s="14" t="s">
        <v>99</v>
      </c>
      <c r="Q86" s="14" t="s">
        <v>99</v>
      </c>
      <c r="R86" s="14" t="s">
        <v>99</v>
      </c>
      <c r="S86" s="14" t="s">
        <v>99</v>
      </c>
      <c r="T86" s="14" t="s">
        <v>3942</v>
      </c>
      <c r="U86" s="14" t="s">
        <v>3943</v>
      </c>
      <c r="V86" s="14" t="s">
        <v>3944</v>
      </c>
      <c r="W86" s="14" t="s">
        <v>3945</v>
      </c>
      <c r="X86" s="14" t="s">
        <v>3946</v>
      </c>
      <c r="Y86" s="14" t="s">
        <v>3947</v>
      </c>
      <c r="Z86" s="14" t="s">
        <v>3948</v>
      </c>
      <c r="AA86" s="14" t="s">
        <v>3949</v>
      </c>
      <c r="AB86" s="14" t="s">
        <v>3950</v>
      </c>
      <c r="AC86" s="14" t="s">
        <v>3951</v>
      </c>
      <c r="AD86" s="14" t="s">
        <v>3952</v>
      </c>
      <c r="AE86" s="14" t="s">
        <v>3953</v>
      </c>
      <c r="AF86" s="14" t="s">
        <v>99</v>
      </c>
      <c r="AG86" s="14">
        <v>47.0</v>
      </c>
      <c r="AH86" s="14">
        <v>52.0</v>
      </c>
      <c r="AI86" s="14">
        <v>56.0</v>
      </c>
      <c r="AJ86" s="14">
        <v>0.0</v>
      </c>
      <c r="AK86" s="14">
        <v>66.0</v>
      </c>
      <c r="AL86" s="14" t="s">
        <v>341</v>
      </c>
      <c r="AM86" s="14" t="s">
        <v>342</v>
      </c>
      <c r="AN86" s="14" t="s">
        <v>343</v>
      </c>
      <c r="AO86" s="14" t="s">
        <v>1618</v>
      </c>
      <c r="AP86" s="14" t="s">
        <v>1619</v>
      </c>
      <c r="AQ86" s="14" t="s">
        <v>99</v>
      </c>
      <c r="AR86" s="14" t="s">
        <v>1620</v>
      </c>
      <c r="AS86" s="14" t="s">
        <v>1621</v>
      </c>
      <c r="AT86" s="14" t="s">
        <v>525</v>
      </c>
      <c r="AU86" s="14">
        <v>2013.0</v>
      </c>
      <c r="AV86" s="14">
        <v>40.0</v>
      </c>
      <c r="AW86" s="14">
        <v>7.0</v>
      </c>
      <c r="AX86" s="14" t="s">
        <v>99</v>
      </c>
      <c r="AY86" s="14" t="s">
        <v>99</v>
      </c>
      <c r="AZ86" s="14" t="s">
        <v>99</v>
      </c>
      <c r="BA86" s="14" t="s">
        <v>99</v>
      </c>
      <c r="BB86" s="14">
        <v>1252.0</v>
      </c>
      <c r="BC86" s="14">
        <v>1265.0</v>
      </c>
      <c r="BD86" s="14" t="s">
        <v>99</v>
      </c>
      <c r="BE86" s="14" t="s">
        <v>3954</v>
      </c>
      <c r="BF86" s="15" t="str">
        <f>HYPERLINK("http://dx.doi.org/10.1111/jbi.12105","http://dx.doi.org/10.1111/jbi.12105")</f>
        <v>http://dx.doi.org/10.1111/jbi.12105</v>
      </c>
      <c r="BG86" s="14" t="s">
        <v>99</v>
      </c>
      <c r="BH86" s="14" t="s">
        <v>99</v>
      </c>
      <c r="BI86" s="14">
        <v>14.0</v>
      </c>
      <c r="BJ86" s="14" t="s">
        <v>869</v>
      </c>
      <c r="BK86" s="14" t="s">
        <v>122</v>
      </c>
      <c r="BL86" s="14" t="s">
        <v>870</v>
      </c>
      <c r="BM86" s="14" t="s">
        <v>3955</v>
      </c>
      <c r="BN86" s="14" t="s">
        <v>99</v>
      </c>
      <c r="BO86" s="14" t="s">
        <v>99</v>
      </c>
      <c r="BP86" s="14" t="s">
        <v>99</v>
      </c>
      <c r="BQ86" s="14" t="s">
        <v>99</v>
      </c>
      <c r="BR86" s="14" t="s">
        <v>124</v>
      </c>
      <c r="BS86" s="14" t="s">
        <v>3956</v>
      </c>
      <c r="BT86" s="14" t="str">
        <f>HYPERLINK("https%3A%2F%2Fwww.webofscience.com%2Fwos%2Fwoscc%2Ffull-record%2FWOS:000320175400005","View Full Record in Web of Science")</f>
        <v>View Full Record in Web of Science</v>
      </c>
    </row>
    <row r="87" ht="12.75" customHeight="1">
      <c r="A87" s="14" t="s">
        <v>97</v>
      </c>
      <c r="B87" s="14" t="s">
        <v>4011</v>
      </c>
      <c r="C87" s="14" t="s">
        <v>99</v>
      </c>
      <c r="D87" s="14" t="s">
        <v>99</v>
      </c>
      <c r="E87" s="14" t="s">
        <v>99</v>
      </c>
      <c r="F87" s="14" t="s">
        <v>4012</v>
      </c>
      <c r="G87" s="14" t="s">
        <v>99</v>
      </c>
      <c r="H87" s="14" t="s">
        <v>99</v>
      </c>
      <c r="I87" s="14" t="s">
        <v>4013</v>
      </c>
      <c r="J87" s="14" t="s">
        <v>826</v>
      </c>
      <c r="K87" s="14" t="s">
        <v>99</v>
      </c>
      <c r="L87" s="14" t="s">
        <v>99</v>
      </c>
      <c r="M87" s="14" t="s">
        <v>103</v>
      </c>
      <c r="N87" s="14" t="s">
        <v>104</v>
      </c>
      <c r="O87" s="14" t="s">
        <v>99</v>
      </c>
      <c r="P87" s="14" t="s">
        <v>99</v>
      </c>
      <c r="Q87" s="14" t="s">
        <v>99</v>
      </c>
      <c r="R87" s="14" t="s">
        <v>99</v>
      </c>
      <c r="S87" s="14" t="s">
        <v>99</v>
      </c>
      <c r="T87" s="14" t="s">
        <v>4014</v>
      </c>
      <c r="U87" s="14" t="s">
        <v>4015</v>
      </c>
      <c r="V87" s="14" t="s">
        <v>4016</v>
      </c>
      <c r="W87" s="14" t="s">
        <v>4017</v>
      </c>
      <c r="X87" s="14" t="s">
        <v>4018</v>
      </c>
      <c r="Y87" s="14" t="s">
        <v>4019</v>
      </c>
      <c r="Z87" s="14" t="s">
        <v>4020</v>
      </c>
      <c r="AA87" s="14" t="s">
        <v>4021</v>
      </c>
      <c r="AB87" s="14" t="s">
        <v>4022</v>
      </c>
      <c r="AC87" s="14" t="s">
        <v>4023</v>
      </c>
      <c r="AD87" s="14" t="s">
        <v>4023</v>
      </c>
      <c r="AE87" s="14" t="s">
        <v>4024</v>
      </c>
      <c r="AF87" s="14" t="s">
        <v>99</v>
      </c>
      <c r="AG87" s="14">
        <v>56.0</v>
      </c>
      <c r="AH87" s="14">
        <v>65.0</v>
      </c>
      <c r="AI87" s="14">
        <v>76.0</v>
      </c>
      <c r="AJ87" s="14">
        <v>2.0</v>
      </c>
      <c r="AK87" s="14">
        <v>105.0</v>
      </c>
      <c r="AL87" s="14" t="s">
        <v>341</v>
      </c>
      <c r="AM87" s="14" t="s">
        <v>342</v>
      </c>
      <c r="AN87" s="14" t="s">
        <v>343</v>
      </c>
      <c r="AO87" s="14" t="s">
        <v>839</v>
      </c>
      <c r="AP87" s="14" t="s">
        <v>840</v>
      </c>
      <c r="AQ87" s="14" t="s">
        <v>99</v>
      </c>
      <c r="AR87" s="14" t="s">
        <v>841</v>
      </c>
      <c r="AS87" s="14" t="s">
        <v>842</v>
      </c>
      <c r="AT87" s="14" t="s">
        <v>616</v>
      </c>
      <c r="AU87" s="14">
        <v>2013.0</v>
      </c>
      <c r="AV87" s="14">
        <v>23.0</v>
      </c>
      <c r="AW87" s="14">
        <v>3.0</v>
      </c>
      <c r="AX87" s="14" t="s">
        <v>99</v>
      </c>
      <c r="AY87" s="14" t="s">
        <v>99</v>
      </c>
      <c r="AZ87" s="14" t="s">
        <v>99</v>
      </c>
      <c r="BA87" s="14" t="s">
        <v>99</v>
      </c>
      <c r="BB87" s="14">
        <v>405.0</v>
      </c>
      <c r="BC87" s="14">
        <v>417.0</v>
      </c>
      <c r="BD87" s="14" t="s">
        <v>99</v>
      </c>
      <c r="BE87" s="14" t="s">
        <v>4025</v>
      </c>
      <c r="BF87" s="15" t="str">
        <f>HYPERLINK("http://dx.doi.org/10.1002/aqc.2345","http://dx.doi.org/10.1002/aqc.2345")</f>
        <v>http://dx.doi.org/10.1002/aqc.2345</v>
      </c>
      <c r="BG87" s="14" t="s">
        <v>99</v>
      </c>
      <c r="BH87" s="14" t="s">
        <v>99</v>
      </c>
      <c r="BI87" s="14">
        <v>13.0</v>
      </c>
      <c r="BJ87" s="14" t="s">
        <v>844</v>
      </c>
      <c r="BK87" s="14" t="s">
        <v>122</v>
      </c>
      <c r="BL87" s="14" t="s">
        <v>845</v>
      </c>
      <c r="BM87" s="14" t="s">
        <v>4026</v>
      </c>
      <c r="BN87" s="14" t="s">
        <v>99</v>
      </c>
      <c r="BO87" s="14" t="s">
        <v>99</v>
      </c>
      <c r="BP87" s="14" t="s">
        <v>99</v>
      </c>
      <c r="BQ87" s="14" t="s">
        <v>99</v>
      </c>
      <c r="BR87" s="14" t="s">
        <v>124</v>
      </c>
      <c r="BS87" s="14" t="s">
        <v>4027</v>
      </c>
      <c r="BT87" s="14" t="str">
        <f>HYPERLINK("https%3A%2F%2Fwww.webofscience.com%2Fwos%2Fwoscc%2Ffull-record%2FWOS:000319873700007","View Full Record in Web of Science")</f>
        <v>View Full Record in Web of Science</v>
      </c>
    </row>
    <row r="88" ht="12.75" customHeight="1">
      <c r="A88" s="14" t="s">
        <v>97</v>
      </c>
      <c r="B88" s="14" t="s">
        <v>4028</v>
      </c>
      <c r="C88" s="14" t="s">
        <v>99</v>
      </c>
      <c r="D88" s="14" t="s">
        <v>99</v>
      </c>
      <c r="E88" s="14" t="s">
        <v>99</v>
      </c>
      <c r="F88" s="14" t="s">
        <v>4029</v>
      </c>
      <c r="G88" s="14" t="s">
        <v>99</v>
      </c>
      <c r="H88" s="14" t="s">
        <v>99</v>
      </c>
      <c r="I88" s="14" t="s">
        <v>4030</v>
      </c>
      <c r="J88" s="14" t="s">
        <v>4031</v>
      </c>
      <c r="K88" s="14" t="s">
        <v>99</v>
      </c>
      <c r="L88" s="14" t="s">
        <v>99</v>
      </c>
      <c r="M88" s="14" t="s">
        <v>103</v>
      </c>
      <c r="N88" s="14" t="s">
        <v>104</v>
      </c>
      <c r="O88" s="14" t="s">
        <v>99</v>
      </c>
      <c r="P88" s="14" t="s">
        <v>99</v>
      </c>
      <c r="Q88" s="14" t="s">
        <v>99</v>
      </c>
      <c r="R88" s="14" t="s">
        <v>99</v>
      </c>
      <c r="S88" s="14" t="s">
        <v>99</v>
      </c>
      <c r="T88" s="14" t="s">
        <v>99</v>
      </c>
      <c r="U88" s="14" t="s">
        <v>4032</v>
      </c>
      <c r="V88" s="14" t="s">
        <v>4033</v>
      </c>
      <c r="W88" s="14" t="s">
        <v>4034</v>
      </c>
      <c r="X88" s="14" t="s">
        <v>4035</v>
      </c>
      <c r="Y88" s="14" t="s">
        <v>4036</v>
      </c>
      <c r="Z88" s="14" t="s">
        <v>4037</v>
      </c>
      <c r="AA88" s="14" t="s">
        <v>4038</v>
      </c>
      <c r="AB88" s="14" t="s">
        <v>4039</v>
      </c>
      <c r="AC88" s="14" t="s">
        <v>4040</v>
      </c>
      <c r="AD88" s="14" t="s">
        <v>4041</v>
      </c>
      <c r="AE88" s="14" t="s">
        <v>4042</v>
      </c>
      <c r="AF88" s="14" t="s">
        <v>99</v>
      </c>
      <c r="AG88" s="14">
        <v>67.0</v>
      </c>
      <c r="AH88" s="14">
        <v>16.0</v>
      </c>
      <c r="AI88" s="14">
        <v>17.0</v>
      </c>
      <c r="AJ88" s="14">
        <v>2.0</v>
      </c>
      <c r="AK88" s="14">
        <v>107.0</v>
      </c>
      <c r="AL88" s="14" t="s">
        <v>341</v>
      </c>
      <c r="AM88" s="14" t="s">
        <v>342</v>
      </c>
      <c r="AN88" s="14" t="s">
        <v>343</v>
      </c>
      <c r="AO88" s="14" t="s">
        <v>4043</v>
      </c>
      <c r="AP88" s="14" t="s">
        <v>4044</v>
      </c>
      <c r="AQ88" s="14" t="s">
        <v>99</v>
      </c>
      <c r="AR88" s="14" t="s">
        <v>4031</v>
      </c>
      <c r="AS88" s="14" t="s">
        <v>4045</v>
      </c>
      <c r="AT88" s="14" t="s">
        <v>616</v>
      </c>
      <c r="AU88" s="14">
        <v>2013.0</v>
      </c>
      <c r="AV88" s="14">
        <v>122.0</v>
      </c>
      <c r="AW88" s="14">
        <v>6.0</v>
      </c>
      <c r="AX88" s="14" t="s">
        <v>99</v>
      </c>
      <c r="AY88" s="14" t="s">
        <v>99</v>
      </c>
      <c r="AZ88" s="14" t="s">
        <v>99</v>
      </c>
      <c r="BA88" s="14" t="s">
        <v>99</v>
      </c>
      <c r="BB88" s="14">
        <v>835.0</v>
      </c>
      <c r="BC88" s="14">
        <v>844.0</v>
      </c>
      <c r="BD88" s="14" t="s">
        <v>99</v>
      </c>
      <c r="BE88" s="14" t="s">
        <v>4046</v>
      </c>
      <c r="BF88" s="15" t="str">
        <f>HYPERLINK("http://dx.doi.org/10.1111/j.1600-0706.2012.19858.x","http://dx.doi.org/10.1111/j.1600-0706.2012.19858.x")</f>
        <v>http://dx.doi.org/10.1111/j.1600-0706.2012.19858.x</v>
      </c>
      <c r="BG88" s="14" t="s">
        <v>99</v>
      </c>
      <c r="BH88" s="14" t="s">
        <v>99</v>
      </c>
      <c r="BI88" s="14">
        <v>10.0</v>
      </c>
      <c r="BJ88" s="14" t="s">
        <v>259</v>
      </c>
      <c r="BK88" s="14" t="s">
        <v>122</v>
      </c>
      <c r="BL88" s="14" t="s">
        <v>260</v>
      </c>
      <c r="BM88" s="14" t="s">
        <v>4047</v>
      </c>
      <c r="BN88" s="14" t="s">
        <v>99</v>
      </c>
      <c r="BO88" s="14" t="s">
        <v>99</v>
      </c>
      <c r="BP88" s="14" t="s">
        <v>99</v>
      </c>
      <c r="BQ88" s="14" t="s">
        <v>99</v>
      </c>
      <c r="BR88" s="14" t="s">
        <v>124</v>
      </c>
      <c r="BS88" s="14" t="s">
        <v>4048</v>
      </c>
      <c r="BT88" s="14" t="str">
        <f>HYPERLINK("https%3A%2F%2Fwww.webofscience.com%2Fwos%2Fwoscc%2Ffull-record%2FWOS:000319408300004","View Full Record in Web of Science")</f>
        <v>View Full Record in Web of Science</v>
      </c>
    </row>
    <row r="89" ht="12.75" customHeight="1">
      <c r="A89" s="14" t="s">
        <v>97</v>
      </c>
      <c r="B89" s="14" t="s">
        <v>2180</v>
      </c>
      <c r="C89" s="14" t="s">
        <v>99</v>
      </c>
      <c r="D89" s="14" t="s">
        <v>99</v>
      </c>
      <c r="E89" s="14" t="s">
        <v>99</v>
      </c>
      <c r="F89" s="14" t="s">
        <v>2182</v>
      </c>
      <c r="G89" s="14" t="s">
        <v>99</v>
      </c>
      <c r="H89" s="14" t="s">
        <v>99</v>
      </c>
      <c r="I89" s="14" t="s">
        <v>4121</v>
      </c>
      <c r="J89" s="14" t="s">
        <v>4122</v>
      </c>
      <c r="K89" s="14" t="s">
        <v>99</v>
      </c>
      <c r="L89" s="14" t="s">
        <v>99</v>
      </c>
      <c r="M89" s="14" t="s">
        <v>103</v>
      </c>
      <c r="N89" s="14" t="s">
        <v>4123</v>
      </c>
      <c r="O89" s="14" t="s">
        <v>99</v>
      </c>
      <c r="P89" s="14" t="s">
        <v>99</v>
      </c>
      <c r="Q89" s="14" t="s">
        <v>99</v>
      </c>
      <c r="R89" s="14" t="s">
        <v>99</v>
      </c>
      <c r="S89" s="14" t="s">
        <v>99</v>
      </c>
      <c r="T89" s="14" t="s">
        <v>99</v>
      </c>
      <c r="U89" s="14" t="s">
        <v>2185</v>
      </c>
      <c r="V89" s="14" t="s">
        <v>4124</v>
      </c>
      <c r="W89" s="14" t="s">
        <v>4125</v>
      </c>
      <c r="X89" s="14" t="s">
        <v>2187</v>
      </c>
      <c r="Y89" s="14" t="s">
        <v>4126</v>
      </c>
      <c r="Z89" s="14" t="s">
        <v>2189</v>
      </c>
      <c r="AA89" s="14" t="s">
        <v>2190</v>
      </c>
      <c r="AB89" s="14" t="s">
        <v>4127</v>
      </c>
      <c r="AC89" s="14" t="s">
        <v>99</v>
      </c>
      <c r="AD89" s="14" t="s">
        <v>99</v>
      </c>
      <c r="AE89" s="14" t="s">
        <v>99</v>
      </c>
      <c r="AF89" s="14" t="s">
        <v>99</v>
      </c>
      <c r="AG89" s="14">
        <v>155.0</v>
      </c>
      <c r="AH89" s="14">
        <v>56.0</v>
      </c>
      <c r="AI89" s="14">
        <v>64.0</v>
      </c>
      <c r="AJ89" s="14">
        <v>0.0</v>
      </c>
      <c r="AK89" s="14">
        <v>57.0</v>
      </c>
      <c r="AL89" s="14" t="s">
        <v>4128</v>
      </c>
      <c r="AM89" s="14" t="s">
        <v>2513</v>
      </c>
      <c r="AN89" s="14" t="s">
        <v>4129</v>
      </c>
      <c r="AO89" s="14" t="s">
        <v>4130</v>
      </c>
      <c r="AP89" s="14" t="s">
        <v>4131</v>
      </c>
      <c r="AQ89" s="14" t="s">
        <v>99</v>
      </c>
      <c r="AR89" s="14" t="s">
        <v>4132</v>
      </c>
      <c r="AS89" s="14" t="s">
        <v>4133</v>
      </c>
      <c r="AT89" s="14" t="s">
        <v>4134</v>
      </c>
      <c r="AU89" s="14">
        <v>2013.0</v>
      </c>
      <c r="AV89" s="14">
        <v>2.0</v>
      </c>
      <c r="AW89" s="14">
        <v>3.0</v>
      </c>
      <c r="AX89" s="14" t="s">
        <v>99</v>
      </c>
      <c r="AY89" s="14" t="s">
        <v>99</v>
      </c>
      <c r="AZ89" s="14" t="s">
        <v>99</v>
      </c>
      <c r="BA89" s="14" t="s">
        <v>99</v>
      </c>
      <c r="BB89" s="14">
        <v>282.0</v>
      </c>
      <c r="BC89" s="14">
        <v>303.0</v>
      </c>
      <c r="BD89" s="14" t="s">
        <v>99</v>
      </c>
      <c r="BE89" s="14" t="s">
        <v>2195</v>
      </c>
      <c r="BF89" s="15" t="str">
        <f>HYPERLINK("http://dx.doi.org/10.1002/wene.41","http://dx.doi.org/10.1002/wene.41")</f>
        <v>http://dx.doi.org/10.1002/wene.41</v>
      </c>
      <c r="BG89" s="14" t="s">
        <v>99</v>
      </c>
      <c r="BH89" s="14" t="s">
        <v>99</v>
      </c>
      <c r="BI89" s="14">
        <v>22.0</v>
      </c>
      <c r="BJ89" s="14" t="s">
        <v>4135</v>
      </c>
      <c r="BK89" s="14" t="s">
        <v>800</v>
      </c>
      <c r="BL89" s="14" t="s">
        <v>4135</v>
      </c>
      <c r="BM89" s="14" t="s">
        <v>4136</v>
      </c>
      <c r="BN89" s="14" t="s">
        <v>99</v>
      </c>
      <c r="BO89" s="14" t="s">
        <v>99</v>
      </c>
      <c r="BP89" s="14" t="s">
        <v>99</v>
      </c>
      <c r="BQ89" s="14" t="s">
        <v>99</v>
      </c>
      <c r="BR89" s="14" t="s">
        <v>124</v>
      </c>
      <c r="BS89" s="14" t="s">
        <v>4137</v>
      </c>
      <c r="BT89" s="14" t="str">
        <f>HYPERLINK("https%3A%2F%2Fwww.webofscience.com%2Fwos%2Fwoscc%2Ffull-record%2FWOS:000343208300003","View Full Record in Web of Science")</f>
        <v>View Full Record in Web of Science</v>
      </c>
    </row>
    <row r="90" ht="12.75" customHeight="1">
      <c r="A90" s="14" t="s">
        <v>97</v>
      </c>
      <c r="B90" s="14" t="s">
        <v>4138</v>
      </c>
      <c r="C90" s="14" t="s">
        <v>99</v>
      </c>
      <c r="D90" s="14" t="s">
        <v>99</v>
      </c>
      <c r="E90" s="14" t="s">
        <v>99</v>
      </c>
      <c r="F90" s="14" t="s">
        <v>4139</v>
      </c>
      <c r="G90" s="14" t="s">
        <v>99</v>
      </c>
      <c r="H90" s="14" t="s">
        <v>99</v>
      </c>
      <c r="I90" s="14" t="s">
        <v>4140</v>
      </c>
      <c r="J90" s="14" t="s">
        <v>4031</v>
      </c>
      <c r="K90" s="14" t="s">
        <v>99</v>
      </c>
      <c r="L90" s="14" t="s">
        <v>99</v>
      </c>
      <c r="M90" s="14" t="s">
        <v>103</v>
      </c>
      <c r="N90" s="14" t="s">
        <v>104</v>
      </c>
      <c r="O90" s="14" t="s">
        <v>99</v>
      </c>
      <c r="P90" s="14" t="s">
        <v>99</v>
      </c>
      <c r="Q90" s="14" t="s">
        <v>99</v>
      </c>
      <c r="R90" s="14" t="s">
        <v>99</v>
      </c>
      <c r="S90" s="14" t="s">
        <v>99</v>
      </c>
      <c r="T90" s="14" t="s">
        <v>99</v>
      </c>
      <c r="U90" s="14" t="s">
        <v>4141</v>
      </c>
      <c r="V90" s="14" t="s">
        <v>4142</v>
      </c>
      <c r="W90" s="14" t="s">
        <v>4143</v>
      </c>
      <c r="X90" s="14" t="s">
        <v>4144</v>
      </c>
      <c r="Y90" s="14" t="s">
        <v>4145</v>
      </c>
      <c r="Z90" s="14" t="s">
        <v>4146</v>
      </c>
      <c r="AA90" s="14" t="s">
        <v>99</v>
      </c>
      <c r="AB90" s="14" t="s">
        <v>4147</v>
      </c>
      <c r="AC90" s="14" t="s">
        <v>4148</v>
      </c>
      <c r="AD90" s="14" t="s">
        <v>4149</v>
      </c>
      <c r="AE90" s="14" t="s">
        <v>4150</v>
      </c>
      <c r="AF90" s="14" t="s">
        <v>99</v>
      </c>
      <c r="AG90" s="14">
        <v>65.0</v>
      </c>
      <c r="AH90" s="14">
        <v>21.0</v>
      </c>
      <c r="AI90" s="14">
        <v>29.0</v>
      </c>
      <c r="AJ90" s="14">
        <v>1.0</v>
      </c>
      <c r="AK90" s="14">
        <v>87.0</v>
      </c>
      <c r="AL90" s="14" t="s">
        <v>341</v>
      </c>
      <c r="AM90" s="14" t="s">
        <v>342</v>
      </c>
      <c r="AN90" s="14" t="s">
        <v>343</v>
      </c>
      <c r="AO90" s="14" t="s">
        <v>4043</v>
      </c>
      <c r="AP90" s="14" t="s">
        <v>4044</v>
      </c>
      <c r="AQ90" s="14" t="s">
        <v>99</v>
      </c>
      <c r="AR90" s="14" t="s">
        <v>4031</v>
      </c>
      <c r="AS90" s="14" t="s">
        <v>4045</v>
      </c>
      <c r="AT90" s="14" t="s">
        <v>640</v>
      </c>
      <c r="AU90" s="14">
        <v>2013.0</v>
      </c>
      <c r="AV90" s="14">
        <v>122.0</v>
      </c>
      <c r="AW90" s="14">
        <v>5.0</v>
      </c>
      <c r="AX90" s="14" t="s">
        <v>99</v>
      </c>
      <c r="AY90" s="14" t="s">
        <v>99</v>
      </c>
      <c r="AZ90" s="14" t="s">
        <v>99</v>
      </c>
      <c r="BA90" s="14" t="s">
        <v>99</v>
      </c>
      <c r="BB90" s="14">
        <v>790.0</v>
      </c>
      <c r="BC90" s="14">
        <v>800.0</v>
      </c>
      <c r="BD90" s="14" t="s">
        <v>99</v>
      </c>
      <c r="BE90" s="14" t="s">
        <v>4151</v>
      </c>
      <c r="BF90" s="15" t="str">
        <f>HYPERLINK("http://dx.doi.org/10.1111/j.1600-0706.2012.20696.x","http://dx.doi.org/10.1111/j.1600-0706.2012.20696.x")</f>
        <v>http://dx.doi.org/10.1111/j.1600-0706.2012.20696.x</v>
      </c>
      <c r="BG90" s="14" t="s">
        <v>99</v>
      </c>
      <c r="BH90" s="14" t="s">
        <v>99</v>
      </c>
      <c r="BI90" s="14">
        <v>11.0</v>
      </c>
      <c r="BJ90" s="14" t="s">
        <v>259</v>
      </c>
      <c r="BK90" s="14" t="s">
        <v>122</v>
      </c>
      <c r="BL90" s="14" t="s">
        <v>260</v>
      </c>
      <c r="BM90" s="14" t="s">
        <v>4152</v>
      </c>
      <c r="BN90" s="14" t="s">
        <v>99</v>
      </c>
      <c r="BO90" s="14" t="s">
        <v>99</v>
      </c>
      <c r="BP90" s="14" t="s">
        <v>99</v>
      </c>
      <c r="BQ90" s="14" t="s">
        <v>99</v>
      </c>
      <c r="BR90" s="14" t="s">
        <v>124</v>
      </c>
      <c r="BS90" s="14" t="s">
        <v>4153</v>
      </c>
      <c r="BT90" s="14" t="str">
        <f>HYPERLINK("https%3A%2F%2Fwww.webofscience.com%2Fwos%2Fwoscc%2Ffull-record%2FWOS:000317981400015","View Full Record in Web of Science")</f>
        <v>View Full Record in Web of Science</v>
      </c>
    </row>
    <row r="91" ht="12.75" customHeight="1">
      <c r="A91" s="14" t="s">
        <v>97</v>
      </c>
      <c r="B91" s="14" t="s">
        <v>4301</v>
      </c>
      <c r="C91" s="14" t="s">
        <v>99</v>
      </c>
      <c r="D91" s="14" t="s">
        <v>99</v>
      </c>
      <c r="E91" s="14" t="s">
        <v>99</v>
      </c>
      <c r="F91" s="14" t="s">
        <v>4302</v>
      </c>
      <c r="G91" s="14" t="s">
        <v>99</v>
      </c>
      <c r="H91" s="14" t="s">
        <v>99</v>
      </c>
      <c r="I91" s="14" t="s">
        <v>4303</v>
      </c>
      <c r="J91" s="14" t="s">
        <v>556</v>
      </c>
      <c r="K91" s="14" t="s">
        <v>99</v>
      </c>
      <c r="L91" s="14" t="s">
        <v>99</v>
      </c>
      <c r="M91" s="14" t="s">
        <v>103</v>
      </c>
      <c r="N91" s="14" t="s">
        <v>104</v>
      </c>
      <c r="O91" s="14" t="s">
        <v>99</v>
      </c>
      <c r="P91" s="14" t="s">
        <v>99</v>
      </c>
      <c r="Q91" s="14" t="s">
        <v>99</v>
      </c>
      <c r="R91" s="14" t="s">
        <v>99</v>
      </c>
      <c r="S91" s="14" t="s">
        <v>99</v>
      </c>
      <c r="T91" s="14" t="s">
        <v>4304</v>
      </c>
      <c r="U91" s="14" t="s">
        <v>4305</v>
      </c>
      <c r="V91" s="14" t="s">
        <v>4306</v>
      </c>
      <c r="W91" s="14" t="s">
        <v>4307</v>
      </c>
      <c r="X91" s="14" t="s">
        <v>4308</v>
      </c>
      <c r="Y91" s="14" t="s">
        <v>4309</v>
      </c>
      <c r="Z91" s="14" t="s">
        <v>4310</v>
      </c>
      <c r="AA91" s="14" t="s">
        <v>4311</v>
      </c>
      <c r="AB91" s="14" t="s">
        <v>4312</v>
      </c>
      <c r="AC91" s="14" t="s">
        <v>99</v>
      </c>
      <c r="AD91" s="14" t="s">
        <v>99</v>
      </c>
      <c r="AE91" s="14" t="s">
        <v>99</v>
      </c>
      <c r="AF91" s="14" t="s">
        <v>99</v>
      </c>
      <c r="AG91" s="14">
        <v>56.0</v>
      </c>
      <c r="AH91" s="14">
        <v>47.0</v>
      </c>
      <c r="AI91" s="14">
        <v>58.0</v>
      </c>
      <c r="AJ91" s="14">
        <v>0.0</v>
      </c>
      <c r="AK91" s="14">
        <v>11.0</v>
      </c>
      <c r="AL91" s="14" t="s">
        <v>566</v>
      </c>
      <c r="AM91" s="14" t="s">
        <v>567</v>
      </c>
      <c r="AN91" s="14" t="s">
        <v>568</v>
      </c>
      <c r="AO91" s="14" t="s">
        <v>569</v>
      </c>
      <c r="AP91" s="14" t="s">
        <v>99</v>
      </c>
      <c r="AQ91" s="14" t="s">
        <v>99</v>
      </c>
      <c r="AR91" s="14" t="s">
        <v>570</v>
      </c>
      <c r="AS91" s="14" t="s">
        <v>571</v>
      </c>
      <c r="AT91" s="14" t="s">
        <v>4313</v>
      </c>
      <c r="AU91" s="14">
        <v>2013.0</v>
      </c>
      <c r="AV91" s="14">
        <v>8.0</v>
      </c>
      <c r="AW91" s="14">
        <v>2.0</v>
      </c>
      <c r="AX91" s="14" t="s">
        <v>99</v>
      </c>
      <c r="AY91" s="14" t="s">
        <v>99</v>
      </c>
      <c r="AZ91" s="14" t="s">
        <v>99</v>
      </c>
      <c r="BA91" s="14" t="s">
        <v>99</v>
      </c>
      <c r="BB91" s="14" t="s">
        <v>99</v>
      </c>
      <c r="BC91" s="14" t="s">
        <v>99</v>
      </c>
      <c r="BD91" s="14">
        <v>24034.0</v>
      </c>
      <c r="BE91" s="14" t="s">
        <v>4314</v>
      </c>
      <c r="BF91" s="15" t="str">
        <f>HYPERLINK("http://dx.doi.org/10.1088/1748-9326/8/2/024034","http://dx.doi.org/10.1088/1748-9326/8/2/024034")</f>
        <v>http://dx.doi.org/10.1088/1748-9326/8/2/024034</v>
      </c>
      <c r="BG91" s="14" t="s">
        <v>99</v>
      </c>
      <c r="BH91" s="14" t="s">
        <v>99</v>
      </c>
      <c r="BI91" s="14">
        <v>13.0</v>
      </c>
      <c r="BJ91" s="14" t="s">
        <v>573</v>
      </c>
      <c r="BK91" s="14" t="s">
        <v>122</v>
      </c>
      <c r="BL91" s="14" t="s">
        <v>574</v>
      </c>
      <c r="BM91" s="14" t="s">
        <v>4315</v>
      </c>
      <c r="BN91" s="14" t="s">
        <v>99</v>
      </c>
      <c r="BO91" s="14" t="s">
        <v>576</v>
      </c>
      <c r="BP91" s="14" t="s">
        <v>99</v>
      </c>
      <c r="BQ91" s="14" t="s">
        <v>99</v>
      </c>
      <c r="BR91" s="14" t="s">
        <v>124</v>
      </c>
      <c r="BS91" s="14" t="s">
        <v>4316</v>
      </c>
      <c r="BT91" s="14" t="str">
        <f>HYPERLINK("https%3A%2F%2Fwww.webofscience.com%2Fwos%2Fwoscc%2Ffull-record%2FWOS:000321425100038","View Full Record in Web of Science")</f>
        <v>View Full Record in Web of Science</v>
      </c>
    </row>
    <row r="92" ht="12.75" customHeight="1">
      <c r="A92" s="14" t="s">
        <v>97</v>
      </c>
      <c r="B92" s="14" t="s">
        <v>4353</v>
      </c>
      <c r="C92" s="14" t="s">
        <v>99</v>
      </c>
      <c r="D92" s="14" t="s">
        <v>99</v>
      </c>
      <c r="E92" s="14" t="s">
        <v>99</v>
      </c>
      <c r="F92" s="14" t="s">
        <v>4354</v>
      </c>
      <c r="G92" s="14" t="s">
        <v>99</v>
      </c>
      <c r="H92" s="14" t="s">
        <v>99</v>
      </c>
      <c r="I92" s="14" t="s">
        <v>4355</v>
      </c>
      <c r="J92" s="14" t="s">
        <v>4356</v>
      </c>
      <c r="K92" s="14" t="s">
        <v>99</v>
      </c>
      <c r="L92" s="14" t="s">
        <v>99</v>
      </c>
      <c r="M92" s="14" t="s">
        <v>103</v>
      </c>
      <c r="N92" s="14" t="s">
        <v>104</v>
      </c>
      <c r="O92" s="14" t="s">
        <v>99</v>
      </c>
      <c r="P92" s="14" t="s">
        <v>99</v>
      </c>
      <c r="Q92" s="14" t="s">
        <v>99</v>
      </c>
      <c r="R92" s="14" t="s">
        <v>99</v>
      </c>
      <c r="S92" s="14" t="s">
        <v>99</v>
      </c>
      <c r="T92" s="14" t="s">
        <v>4357</v>
      </c>
      <c r="U92" s="14" t="s">
        <v>4358</v>
      </c>
      <c r="V92" s="14" t="s">
        <v>4359</v>
      </c>
      <c r="W92" s="14" t="s">
        <v>4360</v>
      </c>
      <c r="X92" s="14" t="s">
        <v>4361</v>
      </c>
      <c r="Y92" s="14" t="s">
        <v>4362</v>
      </c>
      <c r="Z92" s="14" t="s">
        <v>4363</v>
      </c>
      <c r="AA92" s="14" t="s">
        <v>4364</v>
      </c>
      <c r="AB92" s="14" t="s">
        <v>99</v>
      </c>
      <c r="AC92" s="14" t="s">
        <v>4365</v>
      </c>
      <c r="AD92" s="14" t="s">
        <v>4366</v>
      </c>
      <c r="AE92" s="14" t="s">
        <v>4367</v>
      </c>
      <c r="AF92" s="14" t="s">
        <v>99</v>
      </c>
      <c r="AG92" s="14">
        <v>48.0</v>
      </c>
      <c r="AH92" s="14">
        <v>9.0</v>
      </c>
      <c r="AI92" s="14">
        <v>15.0</v>
      </c>
      <c r="AJ92" s="14">
        <v>0.0</v>
      </c>
      <c r="AK92" s="14">
        <v>160.0</v>
      </c>
      <c r="AL92" s="14" t="s">
        <v>1731</v>
      </c>
      <c r="AM92" s="14" t="s">
        <v>1594</v>
      </c>
      <c r="AN92" s="14" t="s">
        <v>3448</v>
      </c>
      <c r="AO92" s="14" t="s">
        <v>4368</v>
      </c>
      <c r="AP92" s="14" t="s">
        <v>4369</v>
      </c>
      <c r="AQ92" s="14" t="s">
        <v>99</v>
      </c>
      <c r="AR92" s="14" t="s">
        <v>4370</v>
      </c>
      <c r="AS92" s="14" t="s">
        <v>4371</v>
      </c>
      <c r="AT92" s="14" t="s">
        <v>1485</v>
      </c>
      <c r="AU92" s="14">
        <v>2013.0</v>
      </c>
      <c r="AV92" s="14">
        <v>7.0</v>
      </c>
      <c r="AW92" s="14">
        <v>1.0</v>
      </c>
      <c r="AX92" s="14" t="s">
        <v>99</v>
      </c>
      <c r="AY92" s="14" t="s">
        <v>99</v>
      </c>
      <c r="AZ92" s="14" t="s">
        <v>99</v>
      </c>
      <c r="BA92" s="14" t="s">
        <v>99</v>
      </c>
      <c r="BB92" s="14">
        <v>92.0</v>
      </c>
      <c r="BC92" s="14">
        <v>102.0</v>
      </c>
      <c r="BD92" s="14" t="s">
        <v>99</v>
      </c>
      <c r="BE92" s="14" t="s">
        <v>4372</v>
      </c>
      <c r="BF92" s="15" t="str">
        <f>HYPERLINK("http://dx.doi.org/10.1007/s11707-012-0335-x","http://dx.doi.org/10.1007/s11707-012-0335-x")</f>
        <v>http://dx.doi.org/10.1007/s11707-012-0335-x</v>
      </c>
      <c r="BG92" s="14" t="s">
        <v>99</v>
      </c>
      <c r="BH92" s="14" t="s">
        <v>99</v>
      </c>
      <c r="BI92" s="14">
        <v>11.0</v>
      </c>
      <c r="BJ92" s="14" t="s">
        <v>990</v>
      </c>
      <c r="BK92" s="14" t="s">
        <v>122</v>
      </c>
      <c r="BL92" s="14" t="s">
        <v>991</v>
      </c>
      <c r="BM92" s="14" t="s">
        <v>4373</v>
      </c>
      <c r="BN92" s="14" t="s">
        <v>99</v>
      </c>
      <c r="BO92" s="14" t="s">
        <v>99</v>
      </c>
      <c r="BP92" s="14" t="s">
        <v>99</v>
      </c>
      <c r="BQ92" s="14" t="s">
        <v>99</v>
      </c>
      <c r="BR92" s="14" t="s">
        <v>124</v>
      </c>
      <c r="BS92" s="14" t="s">
        <v>4374</v>
      </c>
      <c r="BT92" s="14" t="str">
        <f>HYPERLINK("https%3A%2F%2Fwww.webofscience.com%2Fwos%2Fwoscc%2Ffull-record%2FWOS:000314279400009","View Full Record in Web of Science")</f>
        <v>View Full Record in Web of Science</v>
      </c>
    </row>
    <row r="93" ht="12.75" customHeight="1">
      <c r="A93" s="14" t="s">
        <v>97</v>
      </c>
      <c r="B93" s="14" t="s">
        <v>4507</v>
      </c>
      <c r="C93" s="14" t="s">
        <v>99</v>
      </c>
      <c r="D93" s="14" t="s">
        <v>99</v>
      </c>
      <c r="E93" s="14" t="s">
        <v>99</v>
      </c>
      <c r="F93" s="14" t="s">
        <v>4508</v>
      </c>
      <c r="G93" s="14" t="s">
        <v>99</v>
      </c>
      <c r="H93" s="14" t="s">
        <v>99</v>
      </c>
      <c r="I93" s="14" t="s">
        <v>4509</v>
      </c>
      <c r="J93" s="14" t="s">
        <v>3216</v>
      </c>
      <c r="K93" s="14" t="s">
        <v>99</v>
      </c>
      <c r="L93" s="14" t="s">
        <v>99</v>
      </c>
      <c r="M93" s="14" t="s">
        <v>103</v>
      </c>
      <c r="N93" s="14" t="s">
        <v>104</v>
      </c>
      <c r="O93" s="14" t="s">
        <v>99</v>
      </c>
      <c r="P93" s="14" t="s">
        <v>99</v>
      </c>
      <c r="Q93" s="14" t="s">
        <v>99</v>
      </c>
      <c r="R93" s="14" t="s">
        <v>99</v>
      </c>
      <c r="S93" s="14" t="s">
        <v>99</v>
      </c>
      <c r="T93" s="14" t="s">
        <v>4510</v>
      </c>
      <c r="U93" s="14" t="s">
        <v>4511</v>
      </c>
      <c r="V93" s="14" t="s">
        <v>4512</v>
      </c>
      <c r="W93" s="14" t="s">
        <v>4513</v>
      </c>
      <c r="X93" s="14" t="s">
        <v>4514</v>
      </c>
      <c r="Y93" s="14" t="s">
        <v>4515</v>
      </c>
      <c r="Z93" s="14" t="s">
        <v>4516</v>
      </c>
      <c r="AA93" s="14" t="s">
        <v>4517</v>
      </c>
      <c r="AB93" s="14" t="s">
        <v>4518</v>
      </c>
      <c r="AC93" s="14" t="s">
        <v>99</v>
      </c>
      <c r="AD93" s="14" t="s">
        <v>99</v>
      </c>
      <c r="AE93" s="14" t="s">
        <v>99</v>
      </c>
      <c r="AF93" s="14" t="s">
        <v>99</v>
      </c>
      <c r="AG93" s="14">
        <v>42.0</v>
      </c>
      <c r="AH93" s="14">
        <v>65.0</v>
      </c>
      <c r="AI93" s="14">
        <v>80.0</v>
      </c>
      <c r="AJ93" s="14">
        <v>0.0</v>
      </c>
      <c r="AK93" s="14">
        <v>66.0</v>
      </c>
      <c r="AL93" s="14" t="s">
        <v>441</v>
      </c>
      <c r="AM93" s="14" t="s">
        <v>442</v>
      </c>
      <c r="AN93" s="14" t="s">
        <v>443</v>
      </c>
      <c r="AO93" s="14" t="s">
        <v>3229</v>
      </c>
      <c r="AP93" s="14" t="s">
        <v>3230</v>
      </c>
      <c r="AQ93" s="14" t="s">
        <v>99</v>
      </c>
      <c r="AR93" s="14" t="s">
        <v>3231</v>
      </c>
      <c r="AS93" s="14" t="s">
        <v>3232</v>
      </c>
      <c r="AT93" s="14" t="s">
        <v>4519</v>
      </c>
      <c r="AU93" s="14">
        <v>2012.0</v>
      </c>
      <c r="AV93" s="14">
        <v>166.0</v>
      </c>
      <c r="AW93" s="14" t="s">
        <v>99</v>
      </c>
      <c r="AX93" s="14" t="s">
        <v>99</v>
      </c>
      <c r="AY93" s="14" t="s">
        <v>99</v>
      </c>
      <c r="AZ93" s="14" t="s">
        <v>99</v>
      </c>
      <c r="BA93" s="14" t="s">
        <v>99</v>
      </c>
      <c r="BB93" s="14">
        <v>50.0</v>
      </c>
      <c r="BC93" s="14">
        <v>61.0</v>
      </c>
      <c r="BD93" s="14" t="s">
        <v>99</v>
      </c>
      <c r="BE93" s="14" t="s">
        <v>4520</v>
      </c>
      <c r="BF93" s="15" t="str">
        <f>HYPERLINK("http://dx.doi.org/10.1016/j.agrformet.2012.07.007","http://dx.doi.org/10.1016/j.agrformet.2012.07.007")</f>
        <v>http://dx.doi.org/10.1016/j.agrformet.2012.07.007</v>
      </c>
      <c r="BG93" s="14" t="s">
        <v>99</v>
      </c>
      <c r="BH93" s="14" t="s">
        <v>99</v>
      </c>
      <c r="BI93" s="14">
        <v>12.0</v>
      </c>
      <c r="BJ93" s="14" t="s">
        <v>3235</v>
      </c>
      <c r="BK93" s="14" t="s">
        <v>122</v>
      </c>
      <c r="BL93" s="14" t="s">
        <v>3236</v>
      </c>
      <c r="BM93" s="14" t="s">
        <v>4521</v>
      </c>
      <c r="BN93" s="14" t="s">
        <v>99</v>
      </c>
      <c r="BO93" s="14" t="s">
        <v>99</v>
      </c>
      <c r="BP93" s="14" t="s">
        <v>99</v>
      </c>
      <c r="BQ93" s="14" t="s">
        <v>99</v>
      </c>
      <c r="BR93" s="14" t="s">
        <v>124</v>
      </c>
      <c r="BS93" s="14" t="s">
        <v>4522</v>
      </c>
      <c r="BT93" s="14" t="str">
        <f>HYPERLINK("https%3A%2F%2Fwww.webofscience.com%2Fwos%2Fwoscc%2Ffull-record%2FWOS:000313479100007","View Full Record in Web of Science")</f>
        <v>View Full Record in Web of Science</v>
      </c>
    </row>
    <row r="94" ht="12.75" customHeight="1">
      <c r="A94" s="14" t="s">
        <v>97</v>
      </c>
      <c r="B94" s="14" t="s">
        <v>4542</v>
      </c>
      <c r="C94" s="14" t="s">
        <v>99</v>
      </c>
      <c r="D94" s="14" t="s">
        <v>99</v>
      </c>
      <c r="E94" s="14" t="s">
        <v>99</v>
      </c>
      <c r="F94" s="14" t="s">
        <v>4543</v>
      </c>
      <c r="G94" s="14" t="s">
        <v>99</v>
      </c>
      <c r="H94" s="14" t="s">
        <v>99</v>
      </c>
      <c r="I94" s="14" t="s">
        <v>4544</v>
      </c>
      <c r="J94" s="14" t="s">
        <v>2104</v>
      </c>
      <c r="K94" s="14" t="s">
        <v>99</v>
      </c>
      <c r="L94" s="14" t="s">
        <v>99</v>
      </c>
      <c r="M94" s="14" t="s">
        <v>103</v>
      </c>
      <c r="N94" s="14" t="s">
        <v>104</v>
      </c>
      <c r="O94" s="14" t="s">
        <v>99</v>
      </c>
      <c r="P94" s="14" t="s">
        <v>99</v>
      </c>
      <c r="Q94" s="14" t="s">
        <v>99</v>
      </c>
      <c r="R94" s="14" t="s">
        <v>99</v>
      </c>
      <c r="S94" s="14" t="s">
        <v>99</v>
      </c>
      <c r="T94" s="14" t="s">
        <v>4545</v>
      </c>
      <c r="U94" s="14" t="s">
        <v>4546</v>
      </c>
      <c r="V94" s="14" t="s">
        <v>4547</v>
      </c>
      <c r="W94" s="14" t="s">
        <v>4548</v>
      </c>
      <c r="X94" s="14" t="s">
        <v>4549</v>
      </c>
      <c r="Y94" s="14" t="s">
        <v>4550</v>
      </c>
      <c r="Z94" s="14" t="s">
        <v>4551</v>
      </c>
      <c r="AA94" s="14" t="s">
        <v>99</v>
      </c>
      <c r="AB94" s="14" t="s">
        <v>99</v>
      </c>
      <c r="AC94" s="14" t="s">
        <v>4552</v>
      </c>
      <c r="AD94" s="14" t="s">
        <v>4553</v>
      </c>
      <c r="AE94" s="14" t="s">
        <v>4554</v>
      </c>
      <c r="AF94" s="14" t="s">
        <v>99</v>
      </c>
      <c r="AG94" s="14">
        <v>44.0</v>
      </c>
      <c r="AH94" s="14">
        <v>10.0</v>
      </c>
      <c r="AI94" s="14">
        <v>10.0</v>
      </c>
      <c r="AJ94" s="14">
        <v>1.0</v>
      </c>
      <c r="AK94" s="14">
        <v>22.0</v>
      </c>
      <c r="AL94" s="14" t="s">
        <v>493</v>
      </c>
      <c r="AM94" s="14" t="s">
        <v>468</v>
      </c>
      <c r="AN94" s="14" t="s">
        <v>635</v>
      </c>
      <c r="AO94" s="14" t="s">
        <v>2117</v>
      </c>
      <c r="AP94" s="14" t="s">
        <v>99</v>
      </c>
      <c r="AQ94" s="14" t="s">
        <v>99</v>
      </c>
      <c r="AR94" s="14" t="s">
        <v>2118</v>
      </c>
      <c r="AS94" s="14" t="s">
        <v>2119</v>
      </c>
      <c r="AT94" s="14" t="s">
        <v>1058</v>
      </c>
      <c r="AU94" s="14">
        <v>2012.0</v>
      </c>
      <c r="AV94" s="14">
        <v>38.0</v>
      </c>
      <c r="AW94" s="14">
        <v>4.0</v>
      </c>
      <c r="AX94" s="14" t="s">
        <v>99</v>
      </c>
      <c r="AY94" s="14" t="s">
        <v>99</v>
      </c>
      <c r="AZ94" s="14" t="s">
        <v>99</v>
      </c>
      <c r="BA94" s="14" t="s">
        <v>99</v>
      </c>
      <c r="BB94" s="14">
        <v>720.0</v>
      </c>
      <c r="BC94" s="14">
        <v>729.0</v>
      </c>
      <c r="BD94" s="14" t="s">
        <v>99</v>
      </c>
      <c r="BE94" s="14" t="s">
        <v>4555</v>
      </c>
      <c r="BF94" s="15" t="str">
        <f>HYPERLINK("http://dx.doi.org/10.1016/j.jglr.2012.09.022","http://dx.doi.org/10.1016/j.jglr.2012.09.022")</f>
        <v>http://dx.doi.org/10.1016/j.jglr.2012.09.022</v>
      </c>
      <c r="BG94" s="14" t="s">
        <v>99</v>
      </c>
      <c r="BH94" s="14" t="s">
        <v>99</v>
      </c>
      <c r="BI94" s="14">
        <v>10.0</v>
      </c>
      <c r="BJ94" s="14" t="s">
        <v>2121</v>
      </c>
      <c r="BK94" s="14" t="s">
        <v>122</v>
      </c>
      <c r="BL94" s="14" t="s">
        <v>397</v>
      </c>
      <c r="BM94" s="14" t="s">
        <v>4556</v>
      </c>
      <c r="BN94" s="14" t="s">
        <v>99</v>
      </c>
      <c r="BO94" s="14" t="s">
        <v>425</v>
      </c>
      <c r="BP94" s="14" t="s">
        <v>99</v>
      </c>
      <c r="BQ94" s="14" t="s">
        <v>99</v>
      </c>
      <c r="BR94" s="14" t="s">
        <v>124</v>
      </c>
      <c r="BS94" s="14" t="s">
        <v>4557</v>
      </c>
      <c r="BT94" s="14" t="str">
        <f>HYPERLINK("https%3A%2F%2Fwww.webofscience.com%2Fwos%2Fwoscc%2Ffull-record%2FWOS:000312183100013","View Full Record in Web of Science")</f>
        <v>View Full Record in Web of Science</v>
      </c>
    </row>
    <row r="95" ht="12.75" customHeight="1">
      <c r="A95" s="14" t="s">
        <v>97</v>
      </c>
      <c r="B95" s="14" t="s">
        <v>4558</v>
      </c>
      <c r="C95" s="14" t="s">
        <v>99</v>
      </c>
      <c r="D95" s="14" t="s">
        <v>99</v>
      </c>
      <c r="E95" s="14" t="s">
        <v>99</v>
      </c>
      <c r="F95" s="14" t="s">
        <v>4559</v>
      </c>
      <c r="G95" s="14" t="s">
        <v>99</v>
      </c>
      <c r="H95" s="14" t="s">
        <v>99</v>
      </c>
      <c r="I95" s="14" t="s">
        <v>4560</v>
      </c>
      <c r="J95" s="14" t="s">
        <v>1829</v>
      </c>
      <c r="K95" s="14" t="s">
        <v>99</v>
      </c>
      <c r="L95" s="14" t="s">
        <v>99</v>
      </c>
      <c r="M95" s="14" t="s">
        <v>103</v>
      </c>
      <c r="N95" s="14" t="s">
        <v>104</v>
      </c>
      <c r="O95" s="14" t="s">
        <v>99</v>
      </c>
      <c r="P95" s="14" t="s">
        <v>99</v>
      </c>
      <c r="Q95" s="14" t="s">
        <v>99</v>
      </c>
      <c r="R95" s="14" t="s">
        <v>99</v>
      </c>
      <c r="S95" s="14" t="s">
        <v>99</v>
      </c>
      <c r="T95" s="14" t="s">
        <v>4561</v>
      </c>
      <c r="U95" s="14" t="s">
        <v>4562</v>
      </c>
      <c r="V95" s="14" t="s">
        <v>4563</v>
      </c>
      <c r="W95" s="14" t="s">
        <v>4564</v>
      </c>
      <c r="X95" s="14" t="s">
        <v>4565</v>
      </c>
      <c r="Y95" s="14" t="s">
        <v>4566</v>
      </c>
      <c r="Z95" s="14" t="s">
        <v>4567</v>
      </c>
      <c r="AA95" s="14" t="s">
        <v>4568</v>
      </c>
      <c r="AB95" s="14" t="s">
        <v>4569</v>
      </c>
      <c r="AC95" s="14" t="s">
        <v>4570</v>
      </c>
      <c r="AD95" s="14" t="s">
        <v>4571</v>
      </c>
      <c r="AE95" s="14" t="s">
        <v>4572</v>
      </c>
      <c r="AF95" s="14" t="s">
        <v>99</v>
      </c>
      <c r="AG95" s="14">
        <v>43.0</v>
      </c>
      <c r="AH95" s="14">
        <v>33.0</v>
      </c>
      <c r="AI95" s="14">
        <v>35.0</v>
      </c>
      <c r="AJ95" s="14">
        <v>2.0</v>
      </c>
      <c r="AK95" s="14">
        <v>121.0</v>
      </c>
      <c r="AL95" s="14" t="s">
        <v>493</v>
      </c>
      <c r="AM95" s="14" t="s">
        <v>468</v>
      </c>
      <c r="AN95" s="14" t="s">
        <v>635</v>
      </c>
      <c r="AO95" s="14" t="s">
        <v>1842</v>
      </c>
      <c r="AP95" s="14" t="s">
        <v>1843</v>
      </c>
      <c r="AQ95" s="14" t="s">
        <v>99</v>
      </c>
      <c r="AR95" s="14" t="s">
        <v>1844</v>
      </c>
      <c r="AS95" s="14" t="s">
        <v>1845</v>
      </c>
      <c r="AT95" s="14" t="s">
        <v>1058</v>
      </c>
      <c r="AU95" s="14">
        <v>2012.0</v>
      </c>
      <c r="AV95" s="14">
        <v>37.0</v>
      </c>
      <c r="AW95" s="14" t="s">
        <v>99</v>
      </c>
      <c r="AX95" s="14" t="s">
        <v>99</v>
      </c>
      <c r="AY95" s="14" t="s">
        <v>99</v>
      </c>
      <c r="AZ95" s="14" t="s">
        <v>99</v>
      </c>
      <c r="BA95" s="14" t="s">
        <v>99</v>
      </c>
      <c r="BB95" s="14">
        <v>107.0</v>
      </c>
      <c r="BC95" s="14">
        <v>114.0</v>
      </c>
      <c r="BD95" s="14" t="s">
        <v>99</v>
      </c>
      <c r="BE95" s="14" t="s">
        <v>4573</v>
      </c>
      <c r="BF95" s="15" t="str">
        <f>HYPERLINK("http://dx.doi.org/10.1016/j.jclepro.2012.06.016","http://dx.doi.org/10.1016/j.jclepro.2012.06.016")</f>
        <v>http://dx.doi.org/10.1016/j.jclepro.2012.06.016</v>
      </c>
      <c r="BG95" s="14" t="s">
        <v>99</v>
      </c>
      <c r="BH95" s="14" t="s">
        <v>99</v>
      </c>
      <c r="BI95" s="14">
        <v>8.0</v>
      </c>
      <c r="BJ95" s="14" t="s">
        <v>1848</v>
      </c>
      <c r="BK95" s="14" t="s">
        <v>800</v>
      </c>
      <c r="BL95" s="14" t="s">
        <v>1849</v>
      </c>
      <c r="BM95" s="14" t="s">
        <v>4574</v>
      </c>
      <c r="BN95" s="14" t="s">
        <v>99</v>
      </c>
      <c r="BO95" s="14" t="s">
        <v>238</v>
      </c>
      <c r="BP95" s="14" t="s">
        <v>99</v>
      </c>
      <c r="BQ95" s="14" t="s">
        <v>99</v>
      </c>
      <c r="BR95" s="14" t="s">
        <v>124</v>
      </c>
      <c r="BS95" s="14" t="s">
        <v>4575</v>
      </c>
      <c r="BT95" s="14" t="str">
        <f>HYPERLINK("https%3A%2F%2Fwww.webofscience.com%2Fwos%2Fwoscc%2Ffull-record%2FWOS:000309375200010","View Full Record in Web of Science")</f>
        <v>View Full Record in Web of Science</v>
      </c>
    </row>
    <row r="96" ht="12.75" customHeight="1">
      <c r="A96" s="14" t="s">
        <v>97</v>
      </c>
      <c r="B96" s="14" t="s">
        <v>4656</v>
      </c>
      <c r="C96" s="14" t="s">
        <v>99</v>
      </c>
      <c r="D96" s="14" t="s">
        <v>99</v>
      </c>
      <c r="E96" s="14" t="s">
        <v>99</v>
      </c>
      <c r="F96" s="14" t="s">
        <v>4657</v>
      </c>
      <c r="G96" s="14" t="s">
        <v>99</v>
      </c>
      <c r="H96" s="14" t="s">
        <v>99</v>
      </c>
      <c r="I96" s="14" t="s">
        <v>4658</v>
      </c>
      <c r="J96" s="14" t="s">
        <v>1580</v>
      </c>
      <c r="K96" s="14" t="s">
        <v>99</v>
      </c>
      <c r="L96" s="14" t="s">
        <v>99</v>
      </c>
      <c r="M96" s="14" t="s">
        <v>103</v>
      </c>
      <c r="N96" s="14" t="s">
        <v>104</v>
      </c>
      <c r="O96" s="14" t="s">
        <v>99</v>
      </c>
      <c r="P96" s="14" t="s">
        <v>99</v>
      </c>
      <c r="Q96" s="14" t="s">
        <v>99</v>
      </c>
      <c r="R96" s="14" t="s">
        <v>99</v>
      </c>
      <c r="S96" s="14" t="s">
        <v>99</v>
      </c>
      <c r="T96" s="14" t="s">
        <v>4659</v>
      </c>
      <c r="U96" s="14" t="s">
        <v>4660</v>
      </c>
      <c r="V96" s="14" t="s">
        <v>4661</v>
      </c>
      <c r="W96" s="14" t="s">
        <v>4662</v>
      </c>
      <c r="X96" s="14" t="s">
        <v>4663</v>
      </c>
      <c r="Y96" s="14" t="s">
        <v>4664</v>
      </c>
      <c r="Z96" s="14" t="s">
        <v>4665</v>
      </c>
      <c r="AA96" s="14" t="s">
        <v>99</v>
      </c>
      <c r="AB96" s="14" t="s">
        <v>99</v>
      </c>
      <c r="AC96" s="14" t="s">
        <v>4666</v>
      </c>
      <c r="AD96" s="14" t="s">
        <v>4666</v>
      </c>
      <c r="AE96" s="14" t="s">
        <v>4667</v>
      </c>
      <c r="AF96" s="14" t="s">
        <v>99</v>
      </c>
      <c r="AG96" s="14">
        <v>68.0</v>
      </c>
      <c r="AH96" s="14">
        <v>31.0</v>
      </c>
      <c r="AI96" s="14">
        <v>39.0</v>
      </c>
      <c r="AJ96" s="14">
        <v>0.0</v>
      </c>
      <c r="AK96" s="14">
        <v>53.0</v>
      </c>
      <c r="AL96" s="14" t="s">
        <v>1593</v>
      </c>
      <c r="AM96" s="14" t="s">
        <v>2726</v>
      </c>
      <c r="AN96" s="14" t="s">
        <v>4668</v>
      </c>
      <c r="AO96" s="14" t="s">
        <v>1596</v>
      </c>
      <c r="AP96" s="14" t="s">
        <v>1597</v>
      </c>
      <c r="AQ96" s="14" t="s">
        <v>99</v>
      </c>
      <c r="AR96" s="14" t="s">
        <v>1580</v>
      </c>
      <c r="AS96" s="14" t="s">
        <v>1598</v>
      </c>
      <c r="AT96" s="14" t="s">
        <v>2372</v>
      </c>
      <c r="AU96" s="14">
        <v>2012.0</v>
      </c>
      <c r="AV96" s="14">
        <v>46.0</v>
      </c>
      <c r="AW96" s="14">
        <v>4.0</v>
      </c>
      <c r="AX96" s="14" t="s">
        <v>99</v>
      </c>
      <c r="AY96" s="14" t="s">
        <v>99</v>
      </c>
      <c r="AZ96" s="14" t="s">
        <v>99</v>
      </c>
      <c r="BA96" s="14" t="s">
        <v>99</v>
      </c>
      <c r="BB96" s="14">
        <v>544.0</v>
      </c>
      <c r="BC96" s="14">
        <v>553.0</v>
      </c>
      <c r="BD96" s="14" t="s">
        <v>99</v>
      </c>
      <c r="BE96" s="14" t="s">
        <v>4669</v>
      </c>
      <c r="BF96" s="15" t="str">
        <f>HYPERLINK("http://dx.doi.org/10.1017/S0030605311000937","http://dx.doi.org/10.1017/S0030605311000937")</f>
        <v>http://dx.doi.org/10.1017/S0030605311000937</v>
      </c>
      <c r="BG96" s="14" t="s">
        <v>99</v>
      </c>
      <c r="BH96" s="14" t="s">
        <v>99</v>
      </c>
      <c r="BI96" s="14">
        <v>10.0</v>
      </c>
      <c r="BJ96" s="14" t="s">
        <v>550</v>
      </c>
      <c r="BK96" s="14" t="s">
        <v>122</v>
      </c>
      <c r="BL96" s="14" t="s">
        <v>352</v>
      </c>
      <c r="BM96" s="14" t="s">
        <v>4670</v>
      </c>
      <c r="BN96" s="14" t="s">
        <v>99</v>
      </c>
      <c r="BO96" s="14" t="s">
        <v>238</v>
      </c>
      <c r="BP96" s="14" t="s">
        <v>99</v>
      </c>
      <c r="BQ96" s="14" t="s">
        <v>99</v>
      </c>
      <c r="BR96" s="14" t="s">
        <v>124</v>
      </c>
      <c r="BS96" s="14" t="s">
        <v>4671</v>
      </c>
      <c r="BT96" s="14" t="str">
        <f>HYPERLINK("https%3A%2F%2Fwww.webofscience.com%2Fwos%2Fwoscc%2Ffull-record%2FWOS:000309472600015","View Full Record in Web of Science")</f>
        <v>View Full Record in Web of Science</v>
      </c>
    </row>
    <row r="97" ht="12.75" customHeight="1">
      <c r="A97" s="14" t="s">
        <v>97</v>
      </c>
      <c r="B97" s="14" t="s">
        <v>4791</v>
      </c>
      <c r="C97" s="14" t="s">
        <v>99</v>
      </c>
      <c r="D97" s="14" t="s">
        <v>99</v>
      </c>
      <c r="E97" s="14" t="s">
        <v>99</v>
      </c>
      <c r="F97" s="14" t="s">
        <v>4792</v>
      </c>
      <c r="G97" s="14" t="s">
        <v>99</v>
      </c>
      <c r="H97" s="14" t="s">
        <v>99</v>
      </c>
      <c r="I97" s="14" t="s">
        <v>4793</v>
      </c>
      <c r="J97" s="14" t="s">
        <v>2500</v>
      </c>
      <c r="K97" s="14" t="s">
        <v>99</v>
      </c>
      <c r="L97" s="14" t="s">
        <v>99</v>
      </c>
      <c r="M97" s="14" t="s">
        <v>103</v>
      </c>
      <c r="N97" s="14" t="s">
        <v>104</v>
      </c>
      <c r="O97" s="14" t="s">
        <v>99</v>
      </c>
      <c r="P97" s="14" t="s">
        <v>99</v>
      </c>
      <c r="Q97" s="14" t="s">
        <v>99</v>
      </c>
      <c r="R97" s="14" t="s">
        <v>99</v>
      </c>
      <c r="S97" s="14" t="s">
        <v>99</v>
      </c>
      <c r="T97" s="14" t="s">
        <v>99</v>
      </c>
      <c r="U97" s="14" t="s">
        <v>4794</v>
      </c>
      <c r="V97" s="14" t="s">
        <v>4795</v>
      </c>
      <c r="W97" s="14" t="s">
        <v>4796</v>
      </c>
      <c r="X97" s="14" t="s">
        <v>4797</v>
      </c>
      <c r="Y97" s="14" t="s">
        <v>4798</v>
      </c>
      <c r="Z97" s="14" t="s">
        <v>4799</v>
      </c>
      <c r="AA97" s="14" t="s">
        <v>4800</v>
      </c>
      <c r="AB97" s="14" t="s">
        <v>4801</v>
      </c>
      <c r="AC97" s="14" t="s">
        <v>4802</v>
      </c>
      <c r="AD97" s="14" t="s">
        <v>4802</v>
      </c>
      <c r="AE97" s="14" t="s">
        <v>4803</v>
      </c>
      <c r="AF97" s="14" t="s">
        <v>99</v>
      </c>
      <c r="AG97" s="14">
        <v>159.0</v>
      </c>
      <c r="AH97" s="14">
        <v>54.0</v>
      </c>
      <c r="AI97" s="14">
        <v>68.0</v>
      </c>
      <c r="AJ97" s="14">
        <v>0.0</v>
      </c>
      <c r="AK97" s="14">
        <v>99.0</v>
      </c>
      <c r="AL97" s="14" t="s">
        <v>2512</v>
      </c>
      <c r="AM97" s="14" t="s">
        <v>2513</v>
      </c>
      <c r="AN97" s="14" t="s">
        <v>2514</v>
      </c>
      <c r="AO97" s="14" t="s">
        <v>2515</v>
      </c>
      <c r="AP97" s="14" t="s">
        <v>99</v>
      </c>
      <c r="AQ97" s="14" t="s">
        <v>99</v>
      </c>
      <c r="AR97" s="14" t="s">
        <v>2500</v>
      </c>
      <c r="AS97" s="14" t="s">
        <v>2516</v>
      </c>
      <c r="AT97" s="14" t="s">
        <v>4804</v>
      </c>
      <c r="AU97" s="14">
        <v>2012.0</v>
      </c>
      <c r="AV97" s="14">
        <v>7.0</v>
      </c>
      <c r="AW97" s="14">
        <v>7.0</v>
      </c>
      <c r="AX97" s="14" t="s">
        <v>99</v>
      </c>
      <c r="AY97" s="14" t="s">
        <v>99</v>
      </c>
      <c r="AZ97" s="14" t="s">
        <v>99</v>
      </c>
      <c r="BA97" s="14" t="s">
        <v>99</v>
      </c>
      <c r="BB97" s="14" t="s">
        <v>99</v>
      </c>
      <c r="BC97" s="14" t="s">
        <v>99</v>
      </c>
      <c r="BD97" s="14" t="s">
        <v>4805</v>
      </c>
      <c r="BE97" s="14" t="s">
        <v>4806</v>
      </c>
      <c r="BF97" s="15" t="str">
        <f>HYPERLINK("http://dx.doi.org/10.1371/journal.pone.0039825","http://dx.doi.org/10.1371/journal.pone.0039825")</f>
        <v>http://dx.doi.org/10.1371/journal.pone.0039825</v>
      </c>
      <c r="BG97" s="14" t="s">
        <v>99</v>
      </c>
      <c r="BH97" s="14" t="s">
        <v>99</v>
      </c>
      <c r="BI97" s="14">
        <v>13.0</v>
      </c>
      <c r="BJ97" s="14" t="s">
        <v>799</v>
      </c>
      <c r="BK97" s="14" t="s">
        <v>122</v>
      </c>
      <c r="BL97" s="14" t="s">
        <v>801</v>
      </c>
      <c r="BM97" s="14" t="s">
        <v>4807</v>
      </c>
      <c r="BN97" s="14">
        <v>2.2808066E7</v>
      </c>
      <c r="BO97" s="14" t="s">
        <v>1251</v>
      </c>
      <c r="BP97" s="14" t="s">
        <v>99</v>
      </c>
      <c r="BQ97" s="14" t="s">
        <v>99</v>
      </c>
      <c r="BR97" s="14" t="s">
        <v>124</v>
      </c>
      <c r="BS97" s="14" t="s">
        <v>4808</v>
      </c>
      <c r="BT97" s="14" t="str">
        <f>HYPERLINK("https%3A%2F%2Fwww.webofscience.com%2Fwos%2Fwoscc%2Ffull-record%2FWOS:000306362400022","View Full Record in Web of Science")</f>
        <v>View Full Record in Web of Science</v>
      </c>
    </row>
    <row r="98" ht="12.75" customHeight="1">
      <c r="A98" s="14" t="s">
        <v>97</v>
      </c>
      <c r="B98" s="14" t="s">
        <v>4809</v>
      </c>
      <c r="C98" s="14" t="s">
        <v>99</v>
      </c>
      <c r="D98" s="14" t="s">
        <v>99</v>
      </c>
      <c r="E98" s="14" t="s">
        <v>99</v>
      </c>
      <c r="F98" s="14" t="s">
        <v>4810</v>
      </c>
      <c r="G98" s="14" t="s">
        <v>99</v>
      </c>
      <c r="H98" s="14" t="s">
        <v>99</v>
      </c>
      <c r="I98" s="14" t="s">
        <v>4811</v>
      </c>
      <c r="J98" s="14" t="s">
        <v>4812</v>
      </c>
      <c r="K98" s="14" t="s">
        <v>99</v>
      </c>
      <c r="L98" s="14" t="s">
        <v>99</v>
      </c>
      <c r="M98" s="14" t="s">
        <v>103</v>
      </c>
      <c r="N98" s="14" t="s">
        <v>104</v>
      </c>
      <c r="O98" s="14" t="s">
        <v>99</v>
      </c>
      <c r="P98" s="14" t="s">
        <v>99</v>
      </c>
      <c r="Q98" s="14" t="s">
        <v>99</v>
      </c>
      <c r="R98" s="14" t="s">
        <v>99</v>
      </c>
      <c r="S98" s="14" t="s">
        <v>99</v>
      </c>
      <c r="T98" s="14" t="s">
        <v>4813</v>
      </c>
      <c r="U98" s="14" t="s">
        <v>4814</v>
      </c>
      <c r="V98" s="14" t="s">
        <v>4815</v>
      </c>
      <c r="W98" s="14" t="s">
        <v>4816</v>
      </c>
      <c r="X98" s="14" t="s">
        <v>4817</v>
      </c>
      <c r="Y98" s="14" t="s">
        <v>4818</v>
      </c>
      <c r="Z98" s="14" t="s">
        <v>4819</v>
      </c>
      <c r="AA98" s="14" t="s">
        <v>4820</v>
      </c>
      <c r="AB98" s="14" t="s">
        <v>4821</v>
      </c>
      <c r="AC98" s="14" t="s">
        <v>4822</v>
      </c>
      <c r="AD98" s="14" t="s">
        <v>4823</v>
      </c>
      <c r="AE98" s="14" t="s">
        <v>4824</v>
      </c>
      <c r="AF98" s="14" t="s">
        <v>99</v>
      </c>
      <c r="AG98" s="14">
        <v>97.0</v>
      </c>
      <c r="AH98" s="14">
        <v>11.0</v>
      </c>
      <c r="AI98" s="14">
        <v>12.0</v>
      </c>
      <c r="AJ98" s="14">
        <v>1.0</v>
      </c>
      <c r="AK98" s="14">
        <v>21.0</v>
      </c>
      <c r="AL98" s="14" t="s">
        <v>1731</v>
      </c>
      <c r="AM98" s="14" t="s">
        <v>1594</v>
      </c>
      <c r="AN98" s="14" t="s">
        <v>3448</v>
      </c>
      <c r="AO98" s="14" t="s">
        <v>4825</v>
      </c>
      <c r="AP98" s="14" t="s">
        <v>4826</v>
      </c>
      <c r="AQ98" s="14" t="s">
        <v>99</v>
      </c>
      <c r="AR98" s="14" t="s">
        <v>4827</v>
      </c>
      <c r="AS98" s="14" t="s">
        <v>4828</v>
      </c>
      <c r="AT98" s="14" t="s">
        <v>525</v>
      </c>
      <c r="AU98" s="14">
        <v>2012.0</v>
      </c>
      <c r="AV98" s="14">
        <v>35.0</v>
      </c>
      <c r="AW98" s="14">
        <v>4.0</v>
      </c>
      <c r="AX98" s="14" t="s">
        <v>99</v>
      </c>
      <c r="AY98" s="14" t="s">
        <v>99</v>
      </c>
      <c r="AZ98" s="14" t="s">
        <v>99</v>
      </c>
      <c r="BA98" s="14" t="s">
        <v>99</v>
      </c>
      <c r="BB98" s="14">
        <v>1082.0</v>
      </c>
      <c r="BC98" s="14">
        <v>1099.0</v>
      </c>
      <c r="BD98" s="14" t="s">
        <v>99</v>
      </c>
      <c r="BE98" s="14" t="s">
        <v>4829</v>
      </c>
      <c r="BF98" s="15" t="str">
        <f>HYPERLINK("http://dx.doi.org/10.1007/s12237-012-9506-y","http://dx.doi.org/10.1007/s12237-012-9506-y")</f>
        <v>http://dx.doi.org/10.1007/s12237-012-9506-y</v>
      </c>
      <c r="BG98" s="14" t="s">
        <v>99</v>
      </c>
      <c r="BH98" s="14" t="s">
        <v>99</v>
      </c>
      <c r="BI98" s="14">
        <v>18.0</v>
      </c>
      <c r="BJ98" s="14" t="s">
        <v>396</v>
      </c>
      <c r="BK98" s="14" t="s">
        <v>122</v>
      </c>
      <c r="BL98" s="14" t="s">
        <v>397</v>
      </c>
      <c r="BM98" s="14" t="s">
        <v>4830</v>
      </c>
      <c r="BN98" s="14" t="s">
        <v>99</v>
      </c>
      <c r="BO98" s="14" t="s">
        <v>99</v>
      </c>
      <c r="BP98" s="14" t="s">
        <v>99</v>
      </c>
      <c r="BQ98" s="14" t="s">
        <v>99</v>
      </c>
      <c r="BR98" s="14" t="s">
        <v>124</v>
      </c>
      <c r="BS98" s="14" t="s">
        <v>4831</v>
      </c>
      <c r="BT98" s="14" t="str">
        <f>HYPERLINK("https%3A%2F%2Fwww.webofscience.com%2Fwos%2Fwoscc%2Ffull-record%2FWOS:000304697600014","View Full Record in Web of Science")</f>
        <v>View Full Record in Web of Science</v>
      </c>
    </row>
    <row r="99" ht="12.75" customHeight="1">
      <c r="A99" s="14" t="s">
        <v>97</v>
      </c>
      <c r="B99" s="14" t="s">
        <v>4832</v>
      </c>
      <c r="C99" s="14" t="s">
        <v>99</v>
      </c>
      <c r="D99" s="14" t="s">
        <v>99</v>
      </c>
      <c r="E99" s="14" t="s">
        <v>99</v>
      </c>
      <c r="F99" s="14" t="s">
        <v>4833</v>
      </c>
      <c r="G99" s="14" t="s">
        <v>99</v>
      </c>
      <c r="H99" s="14" t="s">
        <v>99</v>
      </c>
      <c r="I99" s="14" t="s">
        <v>4834</v>
      </c>
      <c r="J99" s="14" t="s">
        <v>3065</v>
      </c>
      <c r="K99" s="14" t="s">
        <v>99</v>
      </c>
      <c r="L99" s="14" t="s">
        <v>99</v>
      </c>
      <c r="M99" s="14" t="s">
        <v>103</v>
      </c>
      <c r="N99" s="14" t="s">
        <v>104</v>
      </c>
      <c r="O99" s="14" t="s">
        <v>99</v>
      </c>
      <c r="P99" s="14" t="s">
        <v>99</v>
      </c>
      <c r="Q99" s="14" t="s">
        <v>99</v>
      </c>
      <c r="R99" s="14" t="s">
        <v>99</v>
      </c>
      <c r="S99" s="14" t="s">
        <v>99</v>
      </c>
      <c r="T99" s="14" t="s">
        <v>4835</v>
      </c>
      <c r="U99" s="14" t="s">
        <v>4836</v>
      </c>
      <c r="V99" s="14" t="s">
        <v>4837</v>
      </c>
      <c r="W99" s="14" t="s">
        <v>4838</v>
      </c>
      <c r="X99" s="14" t="s">
        <v>4839</v>
      </c>
      <c r="Y99" s="14" t="s">
        <v>4840</v>
      </c>
      <c r="Z99" s="14" t="s">
        <v>4841</v>
      </c>
      <c r="AA99" s="14" t="s">
        <v>4842</v>
      </c>
      <c r="AB99" s="14" t="s">
        <v>4843</v>
      </c>
      <c r="AC99" s="14" t="s">
        <v>4844</v>
      </c>
      <c r="AD99" s="14" t="s">
        <v>4844</v>
      </c>
      <c r="AE99" s="14" t="s">
        <v>4845</v>
      </c>
      <c r="AF99" s="14" t="s">
        <v>99</v>
      </c>
      <c r="AG99" s="14">
        <v>59.0</v>
      </c>
      <c r="AH99" s="14">
        <v>65.0</v>
      </c>
      <c r="AI99" s="14">
        <v>66.0</v>
      </c>
      <c r="AJ99" s="14">
        <v>2.0</v>
      </c>
      <c r="AK99" s="14">
        <v>73.0</v>
      </c>
      <c r="AL99" s="14" t="s">
        <v>3078</v>
      </c>
      <c r="AM99" s="14" t="s">
        <v>468</v>
      </c>
      <c r="AN99" s="14" t="s">
        <v>3079</v>
      </c>
      <c r="AO99" s="14" t="s">
        <v>3080</v>
      </c>
      <c r="AP99" s="14" t="s">
        <v>3081</v>
      </c>
      <c r="AQ99" s="14" t="s">
        <v>99</v>
      </c>
      <c r="AR99" s="14" t="s">
        <v>3082</v>
      </c>
      <c r="AS99" s="14" t="s">
        <v>3083</v>
      </c>
      <c r="AT99" s="14" t="s">
        <v>525</v>
      </c>
      <c r="AU99" s="14">
        <v>2012.0</v>
      </c>
      <c r="AV99" s="14">
        <v>69.0</v>
      </c>
      <c r="AW99" s="14">
        <v>6.0</v>
      </c>
      <c r="AX99" s="14" t="s">
        <v>99</v>
      </c>
      <c r="AY99" s="14" t="s">
        <v>99</v>
      </c>
      <c r="AZ99" s="14" t="s">
        <v>99</v>
      </c>
      <c r="BA99" s="14" t="s">
        <v>99</v>
      </c>
      <c r="BB99" s="14">
        <v>961.0</v>
      </c>
      <c r="BC99" s="14">
        <v>970.0</v>
      </c>
      <c r="BD99" s="14" t="s">
        <v>99</v>
      </c>
      <c r="BE99" s="14" t="s">
        <v>4846</v>
      </c>
      <c r="BF99" s="15" t="str">
        <f>HYPERLINK("http://dx.doi.org/10.1093/icesjms/fss072","http://dx.doi.org/10.1093/icesjms/fss072")</f>
        <v>http://dx.doi.org/10.1093/icesjms/fss072</v>
      </c>
      <c r="BG99" s="14" t="s">
        <v>99</v>
      </c>
      <c r="BH99" s="14" t="s">
        <v>99</v>
      </c>
      <c r="BI99" s="14">
        <v>10.0</v>
      </c>
      <c r="BJ99" s="14" t="s">
        <v>3086</v>
      </c>
      <c r="BK99" s="14" t="s">
        <v>122</v>
      </c>
      <c r="BL99" s="14" t="s">
        <v>3086</v>
      </c>
      <c r="BM99" s="14" t="s">
        <v>4847</v>
      </c>
      <c r="BN99" s="14" t="s">
        <v>99</v>
      </c>
      <c r="BO99" s="14" t="s">
        <v>238</v>
      </c>
      <c r="BP99" s="14" t="s">
        <v>99</v>
      </c>
      <c r="BQ99" s="14" t="s">
        <v>99</v>
      </c>
      <c r="BR99" s="14" t="s">
        <v>124</v>
      </c>
      <c r="BS99" s="14" t="s">
        <v>4848</v>
      </c>
      <c r="BT99" s="14" t="str">
        <f>HYPERLINK("https%3A%2F%2Fwww.webofscience.com%2Fwos%2Fwoscc%2Ffull-record%2FWOS:000305461200004","View Full Record in Web of Science")</f>
        <v>View Full Record in Web of Science</v>
      </c>
    </row>
    <row r="100" ht="12.75" customHeight="1">
      <c r="A100" s="14" t="s">
        <v>97</v>
      </c>
      <c r="B100" s="14" t="s">
        <v>4849</v>
      </c>
      <c r="C100" s="14" t="s">
        <v>99</v>
      </c>
      <c r="D100" s="14" t="s">
        <v>99</v>
      </c>
      <c r="E100" s="14" t="s">
        <v>99</v>
      </c>
      <c r="F100" s="14" t="s">
        <v>4850</v>
      </c>
      <c r="G100" s="14" t="s">
        <v>99</v>
      </c>
      <c r="H100" s="14" t="s">
        <v>99</v>
      </c>
      <c r="I100" s="14" t="s">
        <v>4851</v>
      </c>
      <c r="J100" s="14" t="s">
        <v>328</v>
      </c>
      <c r="K100" s="14" t="s">
        <v>99</v>
      </c>
      <c r="L100" s="14" t="s">
        <v>99</v>
      </c>
      <c r="M100" s="14" t="s">
        <v>103</v>
      </c>
      <c r="N100" s="14" t="s">
        <v>104</v>
      </c>
      <c r="O100" s="14" t="s">
        <v>99</v>
      </c>
      <c r="P100" s="14" t="s">
        <v>99</v>
      </c>
      <c r="Q100" s="14" t="s">
        <v>99</v>
      </c>
      <c r="R100" s="14" t="s">
        <v>99</v>
      </c>
      <c r="S100" s="14" t="s">
        <v>99</v>
      </c>
      <c r="T100" s="14" t="s">
        <v>4852</v>
      </c>
      <c r="U100" s="14" t="s">
        <v>4853</v>
      </c>
      <c r="V100" s="14" t="s">
        <v>4854</v>
      </c>
      <c r="W100" s="14" t="s">
        <v>4855</v>
      </c>
      <c r="X100" s="14" t="s">
        <v>4856</v>
      </c>
      <c r="Y100" s="14" t="s">
        <v>4857</v>
      </c>
      <c r="Z100" s="14" t="s">
        <v>4858</v>
      </c>
      <c r="AA100" s="14" t="s">
        <v>4859</v>
      </c>
      <c r="AB100" s="14" t="s">
        <v>4860</v>
      </c>
      <c r="AC100" s="14" t="s">
        <v>4861</v>
      </c>
      <c r="AD100" s="14" t="s">
        <v>4862</v>
      </c>
      <c r="AE100" s="14" t="s">
        <v>4863</v>
      </c>
      <c r="AF100" s="14" t="s">
        <v>99</v>
      </c>
      <c r="AG100" s="14">
        <v>64.0</v>
      </c>
      <c r="AH100" s="14">
        <v>99.0</v>
      </c>
      <c r="AI100" s="14">
        <v>107.0</v>
      </c>
      <c r="AJ100" s="14">
        <v>0.0</v>
      </c>
      <c r="AK100" s="14">
        <v>176.0</v>
      </c>
      <c r="AL100" s="14" t="s">
        <v>341</v>
      </c>
      <c r="AM100" s="14" t="s">
        <v>342</v>
      </c>
      <c r="AN100" s="14" t="s">
        <v>343</v>
      </c>
      <c r="AO100" s="14" t="s">
        <v>344</v>
      </c>
      <c r="AP100" s="14" t="s">
        <v>345</v>
      </c>
      <c r="AQ100" s="14" t="s">
        <v>99</v>
      </c>
      <c r="AR100" s="14" t="s">
        <v>346</v>
      </c>
      <c r="AS100" s="14" t="s">
        <v>347</v>
      </c>
      <c r="AT100" s="14" t="s">
        <v>525</v>
      </c>
      <c r="AU100" s="14">
        <v>2012.0</v>
      </c>
      <c r="AV100" s="14">
        <v>18.0</v>
      </c>
      <c r="AW100" s="14">
        <v>7.0</v>
      </c>
      <c r="AX100" s="14" t="s">
        <v>99</v>
      </c>
      <c r="AY100" s="14" t="s">
        <v>99</v>
      </c>
      <c r="AZ100" s="14" t="s">
        <v>99</v>
      </c>
      <c r="BA100" s="14" t="s">
        <v>99</v>
      </c>
      <c r="BB100" s="14">
        <v>2184.0</v>
      </c>
      <c r="BC100" s="14">
        <v>2194.0</v>
      </c>
      <c r="BD100" s="14" t="s">
        <v>99</v>
      </c>
      <c r="BE100" s="14" t="s">
        <v>4864</v>
      </c>
      <c r="BF100" s="15" t="str">
        <f>HYPERLINK("http://dx.doi.org/10.1111/j.1365-2486.2012.02662.x","http://dx.doi.org/10.1111/j.1365-2486.2012.02662.x")</f>
        <v>http://dx.doi.org/10.1111/j.1365-2486.2012.02662.x</v>
      </c>
      <c r="BG100" s="14" t="s">
        <v>99</v>
      </c>
      <c r="BH100" s="14" t="s">
        <v>99</v>
      </c>
      <c r="BI100" s="14">
        <v>11.0</v>
      </c>
      <c r="BJ100" s="14" t="s">
        <v>351</v>
      </c>
      <c r="BK100" s="14" t="s">
        <v>122</v>
      </c>
      <c r="BL100" s="14" t="s">
        <v>352</v>
      </c>
      <c r="BM100" s="14" t="s">
        <v>4865</v>
      </c>
      <c r="BN100" s="14" t="s">
        <v>99</v>
      </c>
      <c r="BO100" s="14" t="s">
        <v>99</v>
      </c>
      <c r="BP100" s="14" t="s">
        <v>99</v>
      </c>
      <c r="BQ100" s="14" t="s">
        <v>99</v>
      </c>
      <c r="BR100" s="14" t="s">
        <v>124</v>
      </c>
      <c r="BS100" s="14" t="s">
        <v>4866</v>
      </c>
      <c r="BT100" s="14" t="str">
        <f>HYPERLINK("https%3A%2F%2Fwww.webofscience.com%2Fwos%2Fwoscc%2Ffull-record%2FWOS:000304820300009","View Full Record in Web of Science")</f>
        <v>View Full Record in Web of Science</v>
      </c>
    </row>
    <row r="101" ht="12.75" customHeight="1">
      <c r="A101" s="14" t="s">
        <v>97</v>
      </c>
      <c r="B101" s="14" t="s">
        <v>4867</v>
      </c>
      <c r="C101" s="14" t="s">
        <v>99</v>
      </c>
      <c r="D101" s="14" t="s">
        <v>99</v>
      </c>
      <c r="E101" s="14" t="s">
        <v>99</v>
      </c>
      <c r="F101" s="14" t="s">
        <v>4868</v>
      </c>
      <c r="G101" s="14" t="s">
        <v>99</v>
      </c>
      <c r="H101" s="14" t="s">
        <v>99</v>
      </c>
      <c r="I101" s="14" t="s">
        <v>4869</v>
      </c>
      <c r="J101" s="14" t="s">
        <v>4870</v>
      </c>
      <c r="K101" s="14" t="s">
        <v>99</v>
      </c>
      <c r="L101" s="14" t="s">
        <v>99</v>
      </c>
      <c r="M101" s="14" t="s">
        <v>103</v>
      </c>
      <c r="N101" s="14" t="s">
        <v>104</v>
      </c>
      <c r="O101" s="14" t="s">
        <v>99</v>
      </c>
      <c r="P101" s="14" t="s">
        <v>99</v>
      </c>
      <c r="Q101" s="14" t="s">
        <v>99</v>
      </c>
      <c r="R101" s="14" t="s">
        <v>99</v>
      </c>
      <c r="S101" s="14" t="s">
        <v>99</v>
      </c>
      <c r="T101" s="14" t="s">
        <v>99</v>
      </c>
      <c r="U101" s="14" t="s">
        <v>4871</v>
      </c>
      <c r="V101" s="14" t="s">
        <v>4872</v>
      </c>
      <c r="W101" s="14" t="s">
        <v>4873</v>
      </c>
      <c r="X101" s="14" t="s">
        <v>4874</v>
      </c>
      <c r="Y101" s="14" t="s">
        <v>4875</v>
      </c>
      <c r="Z101" s="14" t="s">
        <v>4876</v>
      </c>
      <c r="AA101" s="14" t="s">
        <v>4877</v>
      </c>
      <c r="AB101" s="14" t="s">
        <v>4878</v>
      </c>
      <c r="AC101" s="14" t="s">
        <v>4879</v>
      </c>
      <c r="AD101" s="14" t="s">
        <v>4880</v>
      </c>
      <c r="AE101" s="14" t="s">
        <v>4881</v>
      </c>
      <c r="AF101" s="14" t="s">
        <v>99</v>
      </c>
      <c r="AG101" s="14">
        <v>84.0</v>
      </c>
      <c r="AH101" s="14">
        <v>53.0</v>
      </c>
      <c r="AI101" s="14">
        <v>63.0</v>
      </c>
      <c r="AJ101" s="14">
        <v>0.0</v>
      </c>
      <c r="AK101" s="14">
        <v>7.0</v>
      </c>
      <c r="AL101" s="14" t="s">
        <v>982</v>
      </c>
      <c r="AM101" s="14" t="s">
        <v>789</v>
      </c>
      <c r="AN101" s="14" t="s">
        <v>983</v>
      </c>
      <c r="AO101" s="14" t="s">
        <v>4882</v>
      </c>
      <c r="AP101" s="14" t="s">
        <v>4883</v>
      </c>
      <c r="AQ101" s="14" t="s">
        <v>99</v>
      </c>
      <c r="AR101" s="14" t="s">
        <v>4884</v>
      </c>
      <c r="AS101" s="14" t="s">
        <v>4885</v>
      </c>
      <c r="AT101" s="14" t="s">
        <v>1328</v>
      </c>
      <c r="AU101" s="14">
        <v>2012.0</v>
      </c>
      <c r="AV101" s="14">
        <v>117.0</v>
      </c>
      <c r="AW101" s="14" t="s">
        <v>99</v>
      </c>
      <c r="AX101" s="14" t="s">
        <v>99</v>
      </c>
      <c r="AY101" s="14" t="s">
        <v>99</v>
      </c>
      <c r="AZ101" s="14" t="s">
        <v>99</v>
      </c>
      <c r="BA101" s="14" t="s">
        <v>99</v>
      </c>
      <c r="BB101" s="14" t="s">
        <v>99</v>
      </c>
      <c r="BC101" s="14" t="s">
        <v>99</v>
      </c>
      <c r="BD101" s="14" t="s">
        <v>4886</v>
      </c>
      <c r="BE101" s="14" t="s">
        <v>4887</v>
      </c>
      <c r="BF101" s="15" t="str">
        <f>HYPERLINK("http://dx.doi.org/10.1029/2011JG001930","http://dx.doi.org/10.1029/2011JG001930")</f>
        <v>http://dx.doi.org/10.1029/2011JG001930</v>
      </c>
      <c r="BG101" s="14" t="s">
        <v>99</v>
      </c>
      <c r="BH101" s="14" t="s">
        <v>99</v>
      </c>
      <c r="BI101" s="14">
        <v>18.0</v>
      </c>
      <c r="BJ101" s="14" t="s">
        <v>4888</v>
      </c>
      <c r="BK101" s="14" t="s">
        <v>122</v>
      </c>
      <c r="BL101" s="14" t="s">
        <v>1397</v>
      </c>
      <c r="BM101" s="14" t="s">
        <v>4889</v>
      </c>
      <c r="BN101" s="14" t="s">
        <v>99</v>
      </c>
      <c r="BO101" s="14" t="s">
        <v>99</v>
      </c>
      <c r="BP101" s="14" t="s">
        <v>99</v>
      </c>
      <c r="BQ101" s="14" t="s">
        <v>99</v>
      </c>
      <c r="BR101" s="14" t="s">
        <v>124</v>
      </c>
      <c r="BS101" s="14" t="s">
        <v>4890</v>
      </c>
      <c r="BT101" s="14" t="str">
        <f>HYPERLINK("https%3A%2F%2Fwww.webofscience.com%2Fwos%2Fwoscc%2Ffull-record%2FWOS:000305154000001","View Full Record in Web of Science")</f>
        <v>View Full Record in Web of Science</v>
      </c>
    </row>
    <row r="102" ht="12.75" customHeight="1">
      <c r="A102" s="14" t="s">
        <v>97</v>
      </c>
      <c r="B102" s="14" t="s">
        <v>5034</v>
      </c>
      <c r="C102" s="14" t="s">
        <v>99</v>
      </c>
      <c r="D102" s="14" t="s">
        <v>99</v>
      </c>
      <c r="E102" s="14" t="s">
        <v>99</v>
      </c>
      <c r="F102" s="14" t="s">
        <v>5035</v>
      </c>
      <c r="G102" s="14" t="s">
        <v>99</v>
      </c>
      <c r="H102" s="14" t="s">
        <v>99</v>
      </c>
      <c r="I102" s="14" t="s">
        <v>5036</v>
      </c>
      <c r="J102" s="14" t="s">
        <v>1102</v>
      </c>
      <c r="K102" s="14" t="s">
        <v>99</v>
      </c>
      <c r="L102" s="14" t="s">
        <v>99</v>
      </c>
      <c r="M102" s="14" t="s">
        <v>103</v>
      </c>
      <c r="N102" s="14" t="s">
        <v>104</v>
      </c>
      <c r="O102" s="14" t="s">
        <v>99</v>
      </c>
      <c r="P102" s="14" t="s">
        <v>99</v>
      </c>
      <c r="Q102" s="14" t="s">
        <v>99</v>
      </c>
      <c r="R102" s="14" t="s">
        <v>99</v>
      </c>
      <c r="S102" s="14" t="s">
        <v>99</v>
      </c>
      <c r="T102" s="14" t="s">
        <v>5037</v>
      </c>
      <c r="U102" s="14" t="s">
        <v>5038</v>
      </c>
      <c r="V102" s="14" t="s">
        <v>5039</v>
      </c>
      <c r="W102" s="14" t="s">
        <v>5040</v>
      </c>
      <c r="X102" s="14" t="s">
        <v>5041</v>
      </c>
      <c r="Y102" s="14" t="s">
        <v>5042</v>
      </c>
      <c r="Z102" s="14" t="s">
        <v>5043</v>
      </c>
      <c r="AA102" s="14" t="s">
        <v>5044</v>
      </c>
      <c r="AB102" s="14" t="s">
        <v>5045</v>
      </c>
      <c r="AC102" s="14" t="s">
        <v>5046</v>
      </c>
      <c r="AD102" s="14" t="s">
        <v>5047</v>
      </c>
      <c r="AE102" s="14" t="s">
        <v>5048</v>
      </c>
      <c r="AF102" s="14" t="s">
        <v>99</v>
      </c>
      <c r="AG102" s="14">
        <v>50.0</v>
      </c>
      <c r="AH102" s="14">
        <v>55.0</v>
      </c>
      <c r="AI102" s="14">
        <v>62.0</v>
      </c>
      <c r="AJ102" s="14">
        <v>0.0</v>
      </c>
      <c r="AK102" s="14">
        <v>121.0</v>
      </c>
      <c r="AL102" s="14" t="s">
        <v>493</v>
      </c>
      <c r="AM102" s="14" t="s">
        <v>468</v>
      </c>
      <c r="AN102" s="14" t="s">
        <v>635</v>
      </c>
      <c r="AO102" s="14" t="s">
        <v>1112</v>
      </c>
      <c r="AP102" s="14" t="s">
        <v>1113</v>
      </c>
      <c r="AQ102" s="14" t="s">
        <v>99</v>
      </c>
      <c r="AR102" s="14" t="s">
        <v>1114</v>
      </c>
      <c r="AS102" s="14" t="s">
        <v>1115</v>
      </c>
      <c r="AT102" s="14" t="s">
        <v>718</v>
      </c>
      <c r="AU102" s="14">
        <v>2012.0</v>
      </c>
      <c r="AV102" s="14">
        <v>148.0</v>
      </c>
      <c r="AW102" s="14">
        <v>1.0</v>
      </c>
      <c r="AX102" s="14" t="s">
        <v>99</v>
      </c>
      <c r="AY102" s="14" t="s">
        <v>99</v>
      </c>
      <c r="AZ102" s="14" t="s">
        <v>99</v>
      </c>
      <c r="BA102" s="14" t="s">
        <v>99</v>
      </c>
      <c r="BB102" s="14">
        <v>61.0</v>
      </c>
      <c r="BC102" s="14">
        <v>68.0</v>
      </c>
      <c r="BD102" s="14" t="s">
        <v>99</v>
      </c>
      <c r="BE102" s="14" t="s">
        <v>5049</v>
      </c>
      <c r="BF102" s="15" t="str">
        <f>HYPERLINK("http://dx.doi.org/10.1016/j.biocon.2012.01.062","http://dx.doi.org/10.1016/j.biocon.2012.01.062")</f>
        <v>http://dx.doi.org/10.1016/j.biocon.2012.01.062</v>
      </c>
      <c r="BG102" s="14" t="s">
        <v>99</v>
      </c>
      <c r="BH102" s="14" t="s">
        <v>99</v>
      </c>
      <c r="BI102" s="14">
        <v>8.0</v>
      </c>
      <c r="BJ102" s="14" t="s">
        <v>351</v>
      </c>
      <c r="BK102" s="14" t="s">
        <v>122</v>
      </c>
      <c r="BL102" s="14" t="s">
        <v>352</v>
      </c>
      <c r="BM102" s="14" t="s">
        <v>5050</v>
      </c>
      <c r="BN102" s="14" t="s">
        <v>99</v>
      </c>
      <c r="BO102" s="14" t="s">
        <v>99</v>
      </c>
      <c r="BP102" s="14" t="s">
        <v>99</v>
      </c>
      <c r="BQ102" s="14" t="s">
        <v>99</v>
      </c>
      <c r="BR102" s="14" t="s">
        <v>124</v>
      </c>
      <c r="BS102" s="14" t="s">
        <v>5051</v>
      </c>
      <c r="BT102" s="14" t="str">
        <f>HYPERLINK("https%3A%2F%2Fwww.webofscience.com%2Fwos%2Fwoscc%2Ffull-record%2FWOS:000302840100007","View Full Record in Web of Science")</f>
        <v>View Full Record in Web of Science</v>
      </c>
    </row>
    <row r="103" ht="12.75" customHeight="1">
      <c r="A103" s="14" t="s">
        <v>97</v>
      </c>
      <c r="B103" s="14" t="s">
        <v>5085</v>
      </c>
      <c r="C103" s="14" t="s">
        <v>99</v>
      </c>
      <c r="D103" s="14" t="s">
        <v>99</v>
      </c>
      <c r="E103" s="14" t="s">
        <v>99</v>
      </c>
      <c r="F103" s="14" t="s">
        <v>5086</v>
      </c>
      <c r="G103" s="14" t="s">
        <v>99</v>
      </c>
      <c r="H103" s="14" t="s">
        <v>99</v>
      </c>
      <c r="I103" s="14" t="s">
        <v>5087</v>
      </c>
      <c r="J103" s="14" t="s">
        <v>5088</v>
      </c>
      <c r="K103" s="14" t="s">
        <v>99</v>
      </c>
      <c r="L103" s="14" t="s">
        <v>99</v>
      </c>
      <c r="M103" s="14" t="s">
        <v>103</v>
      </c>
      <c r="N103" s="14" t="s">
        <v>104</v>
      </c>
      <c r="O103" s="14" t="s">
        <v>99</v>
      </c>
      <c r="P103" s="14" t="s">
        <v>99</v>
      </c>
      <c r="Q103" s="14" t="s">
        <v>99</v>
      </c>
      <c r="R103" s="14" t="s">
        <v>99</v>
      </c>
      <c r="S103" s="14" t="s">
        <v>99</v>
      </c>
      <c r="T103" s="14" t="s">
        <v>99</v>
      </c>
      <c r="U103" s="14" t="s">
        <v>5089</v>
      </c>
      <c r="V103" s="14" t="s">
        <v>5090</v>
      </c>
      <c r="W103" s="14" t="s">
        <v>5091</v>
      </c>
      <c r="X103" s="14" t="s">
        <v>5092</v>
      </c>
      <c r="Y103" s="14" t="s">
        <v>5093</v>
      </c>
      <c r="Z103" s="14" t="s">
        <v>5094</v>
      </c>
      <c r="AA103" s="14" t="s">
        <v>5095</v>
      </c>
      <c r="AB103" s="14" t="s">
        <v>5096</v>
      </c>
      <c r="AC103" s="14" t="s">
        <v>99</v>
      </c>
      <c r="AD103" s="14" t="s">
        <v>99</v>
      </c>
      <c r="AE103" s="14" t="s">
        <v>99</v>
      </c>
      <c r="AF103" s="14" t="s">
        <v>99</v>
      </c>
      <c r="AG103" s="14">
        <v>77.0</v>
      </c>
      <c r="AH103" s="14">
        <v>922.0</v>
      </c>
      <c r="AI103" s="14">
        <v>1074.0</v>
      </c>
      <c r="AJ103" s="14">
        <v>7.0</v>
      </c>
      <c r="AK103" s="14">
        <v>426.0</v>
      </c>
      <c r="AL103" s="14" t="s">
        <v>1593</v>
      </c>
      <c r="AM103" s="14" t="s">
        <v>1594</v>
      </c>
      <c r="AN103" s="14" t="s">
        <v>1595</v>
      </c>
      <c r="AO103" s="14" t="s">
        <v>5097</v>
      </c>
      <c r="AP103" s="14" t="s">
        <v>5098</v>
      </c>
      <c r="AQ103" s="14" t="s">
        <v>99</v>
      </c>
      <c r="AR103" s="14" t="s">
        <v>5099</v>
      </c>
      <c r="AS103" s="14" t="s">
        <v>5100</v>
      </c>
      <c r="AT103" s="14" t="s">
        <v>1485</v>
      </c>
      <c r="AU103" s="14">
        <v>2012.0</v>
      </c>
      <c r="AV103" s="14">
        <v>22.0</v>
      </c>
      <c r="AW103" s="14">
        <v>1.0</v>
      </c>
      <c r="AX103" s="14" t="s">
        <v>99</v>
      </c>
      <c r="AY103" s="14" t="s">
        <v>99</v>
      </c>
      <c r="AZ103" s="14" t="s">
        <v>99</v>
      </c>
      <c r="BA103" s="14" t="s">
        <v>99</v>
      </c>
      <c r="BB103" s="14">
        <v>1.0</v>
      </c>
      <c r="BC103" s="14">
        <v>34.0</v>
      </c>
      <c r="BD103" s="14" t="s">
        <v>99</v>
      </c>
      <c r="BE103" s="14" t="s">
        <v>5101</v>
      </c>
      <c r="BF103" s="15" t="str">
        <f>HYPERLINK("http://dx.doi.org/10.1017/S0959270912000020","http://dx.doi.org/10.1017/S0959270912000020")</f>
        <v>http://dx.doi.org/10.1017/S0959270912000020</v>
      </c>
      <c r="BG103" s="14" t="s">
        <v>99</v>
      </c>
      <c r="BH103" s="14" t="s">
        <v>99</v>
      </c>
      <c r="BI103" s="14">
        <v>34.0</v>
      </c>
      <c r="BJ103" s="14" t="s">
        <v>5102</v>
      </c>
      <c r="BK103" s="14" t="s">
        <v>122</v>
      </c>
      <c r="BL103" s="14" t="s">
        <v>5103</v>
      </c>
      <c r="BM103" s="14" t="s">
        <v>5104</v>
      </c>
      <c r="BN103" s="14" t="s">
        <v>99</v>
      </c>
      <c r="BO103" s="14" t="s">
        <v>238</v>
      </c>
      <c r="BP103" s="14" t="s">
        <v>99</v>
      </c>
      <c r="BQ103" s="14" t="s">
        <v>99</v>
      </c>
      <c r="BR103" s="14" t="s">
        <v>124</v>
      </c>
      <c r="BS103" s="14" t="s">
        <v>5105</v>
      </c>
      <c r="BT103" s="14" t="str">
        <f>HYPERLINK("https%3A%2F%2Fwww.webofscience.com%2Fwos%2Fwoscc%2Ffull-record%2FWOS:000301298900001","View Full Record in Web of Science")</f>
        <v>View Full Record in Web of Science</v>
      </c>
    </row>
    <row r="104" ht="12.75" customHeight="1">
      <c r="A104" s="14" t="s">
        <v>97</v>
      </c>
      <c r="B104" s="14" t="s">
        <v>5165</v>
      </c>
      <c r="C104" s="14" t="s">
        <v>99</v>
      </c>
      <c r="D104" s="14" t="s">
        <v>99</v>
      </c>
      <c r="E104" s="14" t="s">
        <v>99</v>
      </c>
      <c r="F104" s="14" t="s">
        <v>5166</v>
      </c>
      <c r="G104" s="14" t="s">
        <v>99</v>
      </c>
      <c r="H104" s="14" t="s">
        <v>99</v>
      </c>
      <c r="I104" s="14" t="s">
        <v>5167</v>
      </c>
      <c r="J104" s="14" t="s">
        <v>328</v>
      </c>
      <c r="K104" s="14" t="s">
        <v>99</v>
      </c>
      <c r="L104" s="14" t="s">
        <v>99</v>
      </c>
      <c r="M104" s="14" t="s">
        <v>103</v>
      </c>
      <c r="N104" s="14" t="s">
        <v>104</v>
      </c>
      <c r="O104" s="14" t="s">
        <v>99</v>
      </c>
      <c r="P104" s="14" t="s">
        <v>99</v>
      </c>
      <c r="Q104" s="14" t="s">
        <v>99</v>
      </c>
      <c r="R104" s="14" t="s">
        <v>99</v>
      </c>
      <c r="S104" s="14" t="s">
        <v>99</v>
      </c>
      <c r="T104" s="14" t="s">
        <v>5168</v>
      </c>
      <c r="U104" s="14" t="s">
        <v>5169</v>
      </c>
      <c r="V104" s="14" t="s">
        <v>5170</v>
      </c>
      <c r="W104" s="14" t="s">
        <v>5171</v>
      </c>
      <c r="X104" s="14" t="s">
        <v>5172</v>
      </c>
      <c r="Y104" s="14" t="s">
        <v>5173</v>
      </c>
      <c r="Z104" s="14" t="s">
        <v>5174</v>
      </c>
      <c r="AA104" s="14" t="s">
        <v>5175</v>
      </c>
      <c r="AB104" s="14" t="s">
        <v>5176</v>
      </c>
      <c r="AC104" s="14" t="s">
        <v>5177</v>
      </c>
      <c r="AD104" s="14" t="s">
        <v>5178</v>
      </c>
      <c r="AE104" s="14" t="s">
        <v>5179</v>
      </c>
      <c r="AF104" s="14" t="s">
        <v>99</v>
      </c>
      <c r="AG104" s="14">
        <v>76.0</v>
      </c>
      <c r="AH104" s="14">
        <v>127.0</v>
      </c>
      <c r="AI104" s="14">
        <v>152.0</v>
      </c>
      <c r="AJ104" s="14">
        <v>13.0</v>
      </c>
      <c r="AK104" s="14">
        <v>377.0</v>
      </c>
      <c r="AL104" s="14" t="s">
        <v>341</v>
      </c>
      <c r="AM104" s="14" t="s">
        <v>342</v>
      </c>
      <c r="AN104" s="14" t="s">
        <v>343</v>
      </c>
      <c r="AO104" s="14" t="s">
        <v>344</v>
      </c>
      <c r="AP104" s="14" t="s">
        <v>345</v>
      </c>
      <c r="AQ104" s="14" t="s">
        <v>99</v>
      </c>
      <c r="AR104" s="14" t="s">
        <v>346</v>
      </c>
      <c r="AS104" s="14" t="s">
        <v>347</v>
      </c>
      <c r="AT104" s="14" t="s">
        <v>280</v>
      </c>
      <c r="AU104" s="14">
        <v>2012.0</v>
      </c>
      <c r="AV104" s="14">
        <v>18.0</v>
      </c>
      <c r="AW104" s="14">
        <v>2.0</v>
      </c>
      <c r="AX104" s="14" t="s">
        <v>99</v>
      </c>
      <c r="AY104" s="14" t="s">
        <v>99</v>
      </c>
      <c r="AZ104" s="14" t="s">
        <v>99</v>
      </c>
      <c r="BA104" s="14" t="s">
        <v>99</v>
      </c>
      <c r="BB104" s="14">
        <v>504.0</v>
      </c>
      <c r="BC104" s="14">
        <v>514.0</v>
      </c>
      <c r="BD104" s="14" t="s">
        <v>99</v>
      </c>
      <c r="BE104" s="14" t="s">
        <v>5180</v>
      </c>
      <c r="BF104" s="15" t="str">
        <f>HYPERLINK("http://dx.doi.org/10.1111/j.1365-2486.2011.02540.x","http://dx.doi.org/10.1111/j.1365-2486.2011.02540.x")</f>
        <v>http://dx.doi.org/10.1111/j.1365-2486.2011.02540.x</v>
      </c>
      <c r="BG104" s="14" t="s">
        <v>99</v>
      </c>
      <c r="BH104" s="14" t="s">
        <v>99</v>
      </c>
      <c r="BI104" s="14">
        <v>11.0</v>
      </c>
      <c r="BJ104" s="14" t="s">
        <v>351</v>
      </c>
      <c r="BK104" s="14" t="s">
        <v>122</v>
      </c>
      <c r="BL104" s="14" t="s">
        <v>352</v>
      </c>
      <c r="BM104" s="14" t="s">
        <v>5181</v>
      </c>
      <c r="BN104" s="14" t="s">
        <v>99</v>
      </c>
      <c r="BO104" s="14" t="s">
        <v>99</v>
      </c>
      <c r="BP104" s="14" t="s">
        <v>99</v>
      </c>
      <c r="BQ104" s="14" t="s">
        <v>99</v>
      </c>
      <c r="BR104" s="14" t="s">
        <v>124</v>
      </c>
      <c r="BS104" s="14" t="s">
        <v>5182</v>
      </c>
      <c r="BT104" s="14" t="str">
        <f>HYPERLINK("https%3A%2F%2Fwww.webofscience.com%2Fwos%2Fwoscc%2Ffull-record%2FWOS:000299042500010","View Full Record in Web of Science")</f>
        <v>View Full Record in Web of Science</v>
      </c>
    </row>
    <row r="105" ht="12.75" customHeight="1">
      <c r="A105" s="14" t="s">
        <v>284</v>
      </c>
      <c r="B105" s="14" t="s">
        <v>5234</v>
      </c>
      <c r="C105" s="14" t="s">
        <v>99</v>
      </c>
      <c r="D105" s="14" t="s">
        <v>5234</v>
      </c>
      <c r="E105" s="14" t="s">
        <v>99</v>
      </c>
      <c r="F105" s="14" t="s">
        <v>5235</v>
      </c>
      <c r="G105" s="14" t="s">
        <v>99</v>
      </c>
      <c r="H105" s="14" t="s">
        <v>99</v>
      </c>
      <c r="I105" s="14" t="s">
        <v>5236</v>
      </c>
      <c r="J105" s="14" t="s">
        <v>5237</v>
      </c>
      <c r="K105" s="14" t="s">
        <v>5238</v>
      </c>
      <c r="L105" s="14" t="s">
        <v>99</v>
      </c>
      <c r="M105" s="14" t="s">
        <v>103</v>
      </c>
      <c r="N105" s="14" t="s">
        <v>291</v>
      </c>
      <c r="O105" s="14" t="s">
        <v>99</v>
      </c>
      <c r="P105" s="14" t="s">
        <v>99</v>
      </c>
      <c r="Q105" s="14" t="s">
        <v>99</v>
      </c>
      <c r="R105" s="14" t="s">
        <v>99</v>
      </c>
      <c r="S105" s="14" t="s">
        <v>99</v>
      </c>
      <c r="T105" s="14" t="s">
        <v>5239</v>
      </c>
      <c r="U105" s="14" t="s">
        <v>5240</v>
      </c>
      <c r="V105" s="14" t="s">
        <v>5241</v>
      </c>
      <c r="W105" s="14" t="s">
        <v>5242</v>
      </c>
      <c r="X105" s="14" t="s">
        <v>5243</v>
      </c>
      <c r="Y105" s="14" t="s">
        <v>5244</v>
      </c>
      <c r="Z105" s="14" t="s">
        <v>99</v>
      </c>
      <c r="AA105" s="14" t="s">
        <v>5245</v>
      </c>
      <c r="AB105" s="14" t="s">
        <v>5246</v>
      </c>
      <c r="AC105" s="14" t="s">
        <v>99</v>
      </c>
      <c r="AD105" s="14" t="s">
        <v>99</v>
      </c>
      <c r="AE105" s="14" t="s">
        <v>99</v>
      </c>
      <c r="AF105" s="14" t="s">
        <v>99</v>
      </c>
      <c r="AG105" s="14">
        <v>16.0</v>
      </c>
      <c r="AH105" s="14">
        <v>29.0</v>
      </c>
      <c r="AI105" s="14">
        <v>35.0</v>
      </c>
      <c r="AJ105" s="14">
        <v>0.0</v>
      </c>
      <c r="AK105" s="14">
        <v>7.0</v>
      </c>
      <c r="AL105" s="14" t="s">
        <v>1033</v>
      </c>
      <c r="AM105" s="14" t="s">
        <v>442</v>
      </c>
      <c r="AN105" s="14" t="s">
        <v>5247</v>
      </c>
      <c r="AO105" s="14" t="s">
        <v>99</v>
      </c>
      <c r="AP105" s="14" t="s">
        <v>99</v>
      </c>
      <c r="AQ105" s="14" t="s">
        <v>5248</v>
      </c>
      <c r="AR105" s="14" t="s">
        <v>5249</v>
      </c>
      <c r="AS105" s="14" t="s">
        <v>99</v>
      </c>
      <c r="AT105" s="14" t="s">
        <v>99</v>
      </c>
      <c r="AU105" s="14">
        <v>2012.0</v>
      </c>
      <c r="AV105" s="14" t="s">
        <v>99</v>
      </c>
      <c r="AW105" s="14" t="s">
        <v>99</v>
      </c>
      <c r="AX105" s="14" t="s">
        <v>99</v>
      </c>
      <c r="AY105" s="14" t="s">
        <v>99</v>
      </c>
      <c r="AZ105" s="14" t="s">
        <v>99</v>
      </c>
      <c r="BA105" s="14" t="s">
        <v>99</v>
      </c>
      <c r="BB105" s="14">
        <v>871.0</v>
      </c>
      <c r="BC105" s="14">
        <v>890.0</v>
      </c>
      <c r="BD105" s="14" t="s">
        <v>99</v>
      </c>
      <c r="BE105" s="14" t="s">
        <v>5250</v>
      </c>
      <c r="BF105" s="15" t="str">
        <f>HYPERLINK("http://dx.doi.org/10.1016/B978-0-12-385140-6.00064-5","http://dx.doi.org/10.1016/B978-0-12-385140-6.00064-5")</f>
        <v>http://dx.doi.org/10.1016/B978-0-12-385140-6.00064-5</v>
      </c>
      <c r="BG105" s="14" t="s">
        <v>99</v>
      </c>
      <c r="BH105" s="14" t="s">
        <v>99</v>
      </c>
      <c r="BI105" s="14">
        <v>20.0</v>
      </c>
      <c r="BJ105" s="14" t="s">
        <v>990</v>
      </c>
      <c r="BK105" s="14" t="s">
        <v>302</v>
      </c>
      <c r="BL105" s="14" t="s">
        <v>991</v>
      </c>
      <c r="BM105" s="14" t="s">
        <v>5251</v>
      </c>
      <c r="BN105" s="14" t="s">
        <v>99</v>
      </c>
      <c r="BO105" s="14" t="s">
        <v>99</v>
      </c>
      <c r="BP105" s="14" t="s">
        <v>99</v>
      </c>
      <c r="BQ105" s="14" t="s">
        <v>99</v>
      </c>
      <c r="BR105" s="14" t="s">
        <v>124</v>
      </c>
      <c r="BS105" s="14" t="s">
        <v>5252</v>
      </c>
      <c r="BT105" s="14" t="str">
        <f>HYPERLINK("https%3A%2F%2Fwww.webofscience.com%2Fwos%2Fwoscc%2Ffull-record%2FWOS:000322237000066","View Full Record in Web of Science")</f>
        <v>View Full Record in Web of Science</v>
      </c>
    </row>
    <row r="106" ht="12.75" customHeight="1">
      <c r="A106" s="14" t="s">
        <v>97</v>
      </c>
      <c r="B106" s="14" t="s">
        <v>5347</v>
      </c>
      <c r="C106" s="14" t="s">
        <v>99</v>
      </c>
      <c r="D106" s="14" t="s">
        <v>99</v>
      </c>
      <c r="E106" s="14" t="s">
        <v>99</v>
      </c>
      <c r="F106" s="14" t="s">
        <v>5348</v>
      </c>
      <c r="G106" s="14" t="s">
        <v>99</v>
      </c>
      <c r="H106" s="14" t="s">
        <v>99</v>
      </c>
      <c r="I106" s="14" t="s">
        <v>5349</v>
      </c>
      <c r="J106" s="14" t="s">
        <v>3436</v>
      </c>
      <c r="K106" s="14" t="s">
        <v>99</v>
      </c>
      <c r="L106" s="14" t="s">
        <v>99</v>
      </c>
      <c r="M106" s="14" t="s">
        <v>103</v>
      </c>
      <c r="N106" s="14" t="s">
        <v>104</v>
      </c>
      <c r="O106" s="14" t="s">
        <v>99</v>
      </c>
      <c r="P106" s="14" t="s">
        <v>99</v>
      </c>
      <c r="Q106" s="14" t="s">
        <v>99</v>
      </c>
      <c r="R106" s="14" t="s">
        <v>99</v>
      </c>
      <c r="S106" s="14" t="s">
        <v>99</v>
      </c>
      <c r="T106" s="14" t="s">
        <v>5350</v>
      </c>
      <c r="U106" s="14" t="s">
        <v>5351</v>
      </c>
      <c r="V106" s="14" t="s">
        <v>5352</v>
      </c>
      <c r="W106" s="14" t="s">
        <v>5353</v>
      </c>
      <c r="X106" s="14" t="s">
        <v>5354</v>
      </c>
      <c r="Y106" s="14" t="s">
        <v>5355</v>
      </c>
      <c r="Z106" s="14" t="s">
        <v>5356</v>
      </c>
      <c r="AA106" s="14" t="s">
        <v>99</v>
      </c>
      <c r="AB106" s="14" t="s">
        <v>99</v>
      </c>
      <c r="AC106" s="14" t="s">
        <v>5357</v>
      </c>
      <c r="AD106" s="14" t="s">
        <v>5358</v>
      </c>
      <c r="AE106" s="14" t="s">
        <v>5359</v>
      </c>
      <c r="AF106" s="14" t="s">
        <v>99</v>
      </c>
      <c r="AG106" s="14">
        <v>60.0</v>
      </c>
      <c r="AH106" s="14">
        <v>53.0</v>
      </c>
      <c r="AI106" s="14">
        <v>58.0</v>
      </c>
      <c r="AJ106" s="14">
        <v>4.0</v>
      </c>
      <c r="AK106" s="14">
        <v>131.0</v>
      </c>
      <c r="AL106" s="14" t="s">
        <v>1731</v>
      </c>
      <c r="AM106" s="14" t="s">
        <v>1594</v>
      </c>
      <c r="AN106" s="14" t="s">
        <v>3448</v>
      </c>
      <c r="AO106" s="14" t="s">
        <v>3449</v>
      </c>
      <c r="AP106" s="14" t="s">
        <v>3450</v>
      </c>
      <c r="AQ106" s="14" t="s">
        <v>99</v>
      </c>
      <c r="AR106" s="14" t="s">
        <v>3451</v>
      </c>
      <c r="AS106" s="14" t="s">
        <v>3452</v>
      </c>
      <c r="AT106" s="14" t="s">
        <v>1058</v>
      </c>
      <c r="AU106" s="14">
        <v>2011.0</v>
      </c>
      <c r="AV106" s="14">
        <v>64.0</v>
      </c>
      <c r="AW106" s="14">
        <v>8.0</v>
      </c>
      <c r="AX106" s="14" t="s">
        <v>99</v>
      </c>
      <c r="AY106" s="14" t="s">
        <v>99</v>
      </c>
      <c r="AZ106" s="14" t="s">
        <v>99</v>
      </c>
      <c r="BA106" s="14" t="s">
        <v>99</v>
      </c>
      <c r="BB106" s="14">
        <v>2183.0</v>
      </c>
      <c r="BC106" s="14">
        <v>2193.0</v>
      </c>
      <c r="BD106" s="14" t="s">
        <v>99</v>
      </c>
      <c r="BE106" s="14" t="s">
        <v>5360</v>
      </c>
      <c r="BF106" s="15" t="str">
        <f>HYPERLINK("http://dx.doi.org/10.1007/s12665-011-1046-4","http://dx.doi.org/10.1007/s12665-011-1046-4")</f>
        <v>http://dx.doi.org/10.1007/s12665-011-1046-4</v>
      </c>
      <c r="BG106" s="14" t="s">
        <v>99</v>
      </c>
      <c r="BH106" s="14" t="s">
        <v>99</v>
      </c>
      <c r="BI106" s="14">
        <v>11.0</v>
      </c>
      <c r="BJ106" s="14" t="s">
        <v>3454</v>
      </c>
      <c r="BK106" s="14" t="s">
        <v>122</v>
      </c>
      <c r="BL106" s="14" t="s">
        <v>3455</v>
      </c>
      <c r="BM106" s="14" t="s">
        <v>5361</v>
      </c>
      <c r="BN106" s="14" t="s">
        <v>99</v>
      </c>
      <c r="BO106" s="14" t="s">
        <v>99</v>
      </c>
      <c r="BP106" s="14" t="s">
        <v>99</v>
      </c>
      <c r="BQ106" s="14" t="s">
        <v>99</v>
      </c>
      <c r="BR106" s="14" t="s">
        <v>124</v>
      </c>
      <c r="BS106" s="14" t="s">
        <v>5362</v>
      </c>
      <c r="BT106" s="14" t="str">
        <f>HYPERLINK("https%3A%2F%2Fwww.webofscience.com%2Fwos%2Fwoscc%2Ffull-record%2FWOS:000297165900017","View Full Record in Web of Science")</f>
        <v>View Full Record in Web of Science</v>
      </c>
    </row>
    <row r="107" ht="12.75" customHeight="1">
      <c r="A107" s="14" t="s">
        <v>97</v>
      </c>
      <c r="B107" s="14" t="s">
        <v>5363</v>
      </c>
      <c r="C107" s="14" t="s">
        <v>99</v>
      </c>
      <c r="D107" s="14" t="s">
        <v>99</v>
      </c>
      <c r="E107" s="14" t="s">
        <v>99</v>
      </c>
      <c r="F107" s="14" t="s">
        <v>5364</v>
      </c>
      <c r="G107" s="14" t="s">
        <v>99</v>
      </c>
      <c r="H107" s="14" t="s">
        <v>99</v>
      </c>
      <c r="I107" s="14" t="s">
        <v>5365</v>
      </c>
      <c r="J107" s="14" t="s">
        <v>2500</v>
      </c>
      <c r="K107" s="14" t="s">
        <v>99</v>
      </c>
      <c r="L107" s="14" t="s">
        <v>99</v>
      </c>
      <c r="M107" s="14" t="s">
        <v>103</v>
      </c>
      <c r="N107" s="14" t="s">
        <v>104</v>
      </c>
      <c r="O107" s="14" t="s">
        <v>99</v>
      </c>
      <c r="P107" s="14" t="s">
        <v>99</v>
      </c>
      <c r="Q107" s="14" t="s">
        <v>99</v>
      </c>
      <c r="R107" s="14" t="s">
        <v>99</v>
      </c>
      <c r="S107" s="14" t="s">
        <v>99</v>
      </c>
      <c r="T107" s="14" t="s">
        <v>99</v>
      </c>
      <c r="U107" s="14" t="s">
        <v>5366</v>
      </c>
      <c r="V107" s="14" t="s">
        <v>5367</v>
      </c>
      <c r="W107" s="14" t="s">
        <v>5368</v>
      </c>
      <c r="X107" s="14" t="s">
        <v>5369</v>
      </c>
      <c r="Y107" s="14" t="s">
        <v>5370</v>
      </c>
      <c r="Z107" s="14" t="s">
        <v>5371</v>
      </c>
      <c r="AA107" s="14" t="s">
        <v>5372</v>
      </c>
      <c r="AB107" s="14" t="s">
        <v>5373</v>
      </c>
      <c r="AC107" s="14" t="s">
        <v>5374</v>
      </c>
      <c r="AD107" s="14" t="s">
        <v>5375</v>
      </c>
      <c r="AE107" s="14" t="s">
        <v>5376</v>
      </c>
      <c r="AF107" s="14" t="s">
        <v>99</v>
      </c>
      <c r="AG107" s="14">
        <v>69.0</v>
      </c>
      <c r="AH107" s="14">
        <v>65.0</v>
      </c>
      <c r="AI107" s="14">
        <v>80.0</v>
      </c>
      <c r="AJ107" s="14">
        <v>2.0</v>
      </c>
      <c r="AK107" s="14">
        <v>181.0</v>
      </c>
      <c r="AL107" s="14" t="s">
        <v>2512</v>
      </c>
      <c r="AM107" s="14" t="s">
        <v>2513</v>
      </c>
      <c r="AN107" s="14" t="s">
        <v>2514</v>
      </c>
      <c r="AO107" s="14" t="s">
        <v>2515</v>
      </c>
      <c r="AP107" s="14" t="s">
        <v>99</v>
      </c>
      <c r="AQ107" s="14" t="s">
        <v>99</v>
      </c>
      <c r="AR107" s="14" t="s">
        <v>2500</v>
      </c>
      <c r="AS107" s="14" t="s">
        <v>2516</v>
      </c>
      <c r="AT107" s="14" t="s">
        <v>5377</v>
      </c>
      <c r="AU107" s="14">
        <v>2011.0</v>
      </c>
      <c r="AV107" s="14">
        <v>6.0</v>
      </c>
      <c r="AW107" s="14">
        <v>11.0</v>
      </c>
      <c r="AX107" s="14" t="s">
        <v>99</v>
      </c>
      <c r="AY107" s="14" t="s">
        <v>99</v>
      </c>
      <c r="AZ107" s="14" t="s">
        <v>99</v>
      </c>
      <c r="BA107" s="14" t="s">
        <v>99</v>
      </c>
      <c r="BB107" s="14" t="s">
        <v>99</v>
      </c>
      <c r="BC107" s="14" t="s">
        <v>99</v>
      </c>
      <c r="BD107" s="14" t="s">
        <v>5378</v>
      </c>
      <c r="BE107" s="14" t="s">
        <v>5379</v>
      </c>
      <c r="BF107" s="15" t="str">
        <f>HYPERLINK("http://dx.doi.org/10.1371/journal.pone.0027785","http://dx.doi.org/10.1371/journal.pone.0027785")</f>
        <v>http://dx.doi.org/10.1371/journal.pone.0027785</v>
      </c>
      <c r="BG107" s="14" t="s">
        <v>99</v>
      </c>
      <c r="BH107" s="14" t="s">
        <v>99</v>
      </c>
      <c r="BI107" s="14">
        <v>12.0</v>
      </c>
      <c r="BJ107" s="14" t="s">
        <v>799</v>
      </c>
      <c r="BK107" s="14" t="s">
        <v>122</v>
      </c>
      <c r="BL107" s="14" t="s">
        <v>801</v>
      </c>
      <c r="BM107" s="14" t="s">
        <v>5380</v>
      </c>
      <c r="BN107" s="14">
        <v>2.2114695E7</v>
      </c>
      <c r="BO107" s="14" t="s">
        <v>1251</v>
      </c>
      <c r="BP107" s="14" t="s">
        <v>99</v>
      </c>
      <c r="BQ107" s="14" t="s">
        <v>99</v>
      </c>
      <c r="BR107" s="14" t="s">
        <v>124</v>
      </c>
      <c r="BS107" s="14" t="s">
        <v>5381</v>
      </c>
      <c r="BT107" s="14" t="str">
        <f>HYPERLINK("https%3A%2F%2Fwww.webofscience.com%2Fwos%2Fwoscc%2Ffull-record%2FWOS:000297555400114","View Full Record in Web of Science")</f>
        <v>View Full Record in Web of Science</v>
      </c>
    </row>
    <row r="108" ht="12.75" customHeight="1">
      <c r="A108" s="14" t="s">
        <v>97</v>
      </c>
      <c r="B108" s="14" t="s">
        <v>5455</v>
      </c>
      <c r="C108" s="14" t="s">
        <v>99</v>
      </c>
      <c r="D108" s="14" t="s">
        <v>99</v>
      </c>
      <c r="E108" s="14" t="s">
        <v>99</v>
      </c>
      <c r="F108" s="14" t="s">
        <v>5456</v>
      </c>
      <c r="G108" s="14" t="s">
        <v>99</v>
      </c>
      <c r="H108" s="14" t="s">
        <v>99</v>
      </c>
      <c r="I108" s="14" t="s">
        <v>5457</v>
      </c>
      <c r="J108" s="14" t="s">
        <v>3729</v>
      </c>
      <c r="K108" s="14" t="s">
        <v>99</v>
      </c>
      <c r="L108" s="14" t="s">
        <v>99</v>
      </c>
      <c r="M108" s="14" t="s">
        <v>103</v>
      </c>
      <c r="N108" s="14" t="s">
        <v>104</v>
      </c>
      <c r="O108" s="14" t="s">
        <v>99</v>
      </c>
      <c r="P108" s="14" t="s">
        <v>99</v>
      </c>
      <c r="Q108" s="14" t="s">
        <v>99</v>
      </c>
      <c r="R108" s="14" t="s">
        <v>99</v>
      </c>
      <c r="S108" s="14" t="s">
        <v>99</v>
      </c>
      <c r="T108" s="14" t="s">
        <v>5458</v>
      </c>
      <c r="U108" s="14" t="s">
        <v>5459</v>
      </c>
      <c r="V108" s="14" t="s">
        <v>5460</v>
      </c>
      <c r="W108" s="14" t="s">
        <v>5461</v>
      </c>
      <c r="X108" s="14" t="s">
        <v>5462</v>
      </c>
      <c r="Y108" s="14" t="s">
        <v>5463</v>
      </c>
      <c r="Z108" s="14" t="s">
        <v>5464</v>
      </c>
      <c r="AA108" s="14" t="s">
        <v>5465</v>
      </c>
      <c r="AB108" s="14" t="s">
        <v>5466</v>
      </c>
      <c r="AC108" s="14" t="s">
        <v>5467</v>
      </c>
      <c r="AD108" s="14" t="s">
        <v>5468</v>
      </c>
      <c r="AE108" s="14" t="s">
        <v>5469</v>
      </c>
      <c r="AF108" s="14" t="s">
        <v>99</v>
      </c>
      <c r="AG108" s="14">
        <v>89.0</v>
      </c>
      <c r="AH108" s="14">
        <v>149.0</v>
      </c>
      <c r="AI108" s="14">
        <v>173.0</v>
      </c>
      <c r="AJ108" s="14">
        <v>2.0</v>
      </c>
      <c r="AK108" s="14">
        <v>124.0</v>
      </c>
      <c r="AL108" s="14" t="s">
        <v>1544</v>
      </c>
      <c r="AM108" s="14" t="s">
        <v>274</v>
      </c>
      <c r="AN108" s="14" t="s">
        <v>1545</v>
      </c>
      <c r="AO108" s="14" t="s">
        <v>3739</v>
      </c>
      <c r="AP108" s="14" t="s">
        <v>3740</v>
      </c>
      <c r="AQ108" s="14" t="s">
        <v>99</v>
      </c>
      <c r="AR108" s="14" t="s">
        <v>3741</v>
      </c>
      <c r="AS108" s="14" t="s">
        <v>3742</v>
      </c>
      <c r="AT108" s="14" t="s">
        <v>5470</v>
      </c>
      <c r="AU108" s="14">
        <v>2011.0</v>
      </c>
      <c r="AV108" s="14">
        <v>366.0</v>
      </c>
      <c r="AW108" s="14">
        <v>1578.0</v>
      </c>
      <c r="AX108" s="14" t="s">
        <v>99</v>
      </c>
      <c r="AY108" s="14" t="s">
        <v>99</v>
      </c>
      <c r="AZ108" s="14" t="s">
        <v>1738</v>
      </c>
      <c r="BA108" s="14" t="s">
        <v>99</v>
      </c>
      <c r="BB108" s="14">
        <v>2598.0</v>
      </c>
      <c r="BC108" s="14">
        <v>2610.0</v>
      </c>
      <c r="BD108" s="14" t="s">
        <v>99</v>
      </c>
      <c r="BE108" s="14" t="s">
        <v>5471</v>
      </c>
      <c r="BF108" s="15" t="str">
        <f>HYPERLINK("http://dx.doi.org/10.1098/rstb.2011.0116","http://dx.doi.org/10.1098/rstb.2011.0116")</f>
        <v>http://dx.doi.org/10.1098/rstb.2011.0116</v>
      </c>
      <c r="BG108" s="14" t="s">
        <v>99</v>
      </c>
      <c r="BH108" s="14" t="s">
        <v>99</v>
      </c>
      <c r="BI108" s="14">
        <v>13.0</v>
      </c>
      <c r="BJ108" s="14" t="s">
        <v>1803</v>
      </c>
      <c r="BK108" s="14" t="s">
        <v>122</v>
      </c>
      <c r="BL108" s="14" t="s">
        <v>1804</v>
      </c>
      <c r="BM108" s="14" t="s">
        <v>5472</v>
      </c>
      <c r="BN108" s="14">
        <v>2.1844039E7</v>
      </c>
      <c r="BO108" s="14" t="s">
        <v>99</v>
      </c>
      <c r="BP108" s="14" t="s">
        <v>99</v>
      </c>
      <c r="BQ108" s="14" t="s">
        <v>99</v>
      </c>
      <c r="BR108" s="14" t="s">
        <v>124</v>
      </c>
      <c r="BS108" s="14" t="s">
        <v>5473</v>
      </c>
      <c r="BT108" s="14" t="str">
        <f>HYPERLINK("https%3A%2F%2Fwww.webofscience.com%2Fwos%2Fwoscc%2Ffull-record%2FWOS:000293858100002","View Full Record in Web of Science")</f>
        <v>View Full Record in Web of Science</v>
      </c>
    </row>
    <row r="109" ht="12.75" customHeight="1">
      <c r="A109" s="14" t="s">
        <v>97</v>
      </c>
      <c r="B109" s="14" t="s">
        <v>5626</v>
      </c>
      <c r="C109" s="14" t="s">
        <v>99</v>
      </c>
      <c r="D109" s="14" t="s">
        <v>99</v>
      </c>
      <c r="E109" s="14" t="s">
        <v>99</v>
      </c>
      <c r="F109" s="14" t="s">
        <v>5627</v>
      </c>
      <c r="G109" s="14" t="s">
        <v>99</v>
      </c>
      <c r="H109" s="14" t="s">
        <v>99</v>
      </c>
      <c r="I109" s="14" t="s">
        <v>5628</v>
      </c>
      <c r="J109" s="14" t="s">
        <v>3413</v>
      </c>
      <c r="K109" s="14" t="s">
        <v>99</v>
      </c>
      <c r="L109" s="14" t="s">
        <v>99</v>
      </c>
      <c r="M109" s="14" t="s">
        <v>103</v>
      </c>
      <c r="N109" s="14" t="s">
        <v>2284</v>
      </c>
      <c r="O109" s="14" t="s">
        <v>5629</v>
      </c>
      <c r="P109" s="14" t="s">
        <v>5630</v>
      </c>
      <c r="Q109" s="14" t="s">
        <v>5631</v>
      </c>
      <c r="R109" s="14" t="s">
        <v>5632</v>
      </c>
      <c r="S109" s="14" t="s">
        <v>99</v>
      </c>
      <c r="T109" s="14" t="s">
        <v>5633</v>
      </c>
      <c r="U109" s="14" t="s">
        <v>5634</v>
      </c>
      <c r="V109" s="14" t="s">
        <v>5635</v>
      </c>
      <c r="W109" s="14" t="s">
        <v>5636</v>
      </c>
      <c r="X109" s="14" t="s">
        <v>5637</v>
      </c>
      <c r="Y109" s="14" t="s">
        <v>5638</v>
      </c>
      <c r="Z109" s="14" t="s">
        <v>5639</v>
      </c>
      <c r="AA109" s="14" t="s">
        <v>5640</v>
      </c>
      <c r="AB109" s="14" t="s">
        <v>5641</v>
      </c>
      <c r="AC109" s="14" t="s">
        <v>99</v>
      </c>
      <c r="AD109" s="14" t="s">
        <v>99</v>
      </c>
      <c r="AE109" s="14" t="s">
        <v>99</v>
      </c>
      <c r="AF109" s="14" t="s">
        <v>99</v>
      </c>
      <c r="AG109" s="14">
        <v>33.0</v>
      </c>
      <c r="AH109" s="14">
        <v>30.0</v>
      </c>
      <c r="AI109" s="14">
        <v>38.0</v>
      </c>
      <c r="AJ109" s="14">
        <v>2.0</v>
      </c>
      <c r="AK109" s="14">
        <v>76.0</v>
      </c>
      <c r="AL109" s="14" t="s">
        <v>441</v>
      </c>
      <c r="AM109" s="14" t="s">
        <v>442</v>
      </c>
      <c r="AN109" s="14" t="s">
        <v>443</v>
      </c>
      <c r="AO109" s="14" t="s">
        <v>3425</v>
      </c>
      <c r="AP109" s="14" t="s">
        <v>3426</v>
      </c>
      <c r="AQ109" s="14" t="s">
        <v>99</v>
      </c>
      <c r="AR109" s="14" t="s">
        <v>3427</v>
      </c>
      <c r="AS109" s="14" t="s">
        <v>3428</v>
      </c>
      <c r="AT109" s="14" t="s">
        <v>5642</v>
      </c>
      <c r="AU109" s="14">
        <v>2011.0</v>
      </c>
      <c r="AV109" s="14">
        <v>222.0</v>
      </c>
      <c r="AW109" s="14">
        <v>14.0</v>
      </c>
      <c r="AX109" s="14" t="s">
        <v>99</v>
      </c>
      <c r="AY109" s="14" t="s">
        <v>99</v>
      </c>
      <c r="AZ109" s="14" t="s">
        <v>1738</v>
      </c>
      <c r="BA109" s="14" t="s">
        <v>99</v>
      </c>
      <c r="BB109" s="14">
        <v>2333.0</v>
      </c>
      <c r="BC109" s="14">
        <v>2341.0</v>
      </c>
      <c r="BD109" s="14" t="s">
        <v>99</v>
      </c>
      <c r="BE109" s="14" t="s">
        <v>5643</v>
      </c>
      <c r="BF109" s="15" t="str">
        <f>HYPERLINK("http://dx.doi.org/10.1016/j.ecolmodel.2011.03.042","http://dx.doi.org/10.1016/j.ecolmodel.2011.03.042")</f>
        <v>http://dx.doi.org/10.1016/j.ecolmodel.2011.03.042</v>
      </c>
      <c r="BG109" s="14" t="s">
        <v>99</v>
      </c>
      <c r="BH109" s="14" t="s">
        <v>99</v>
      </c>
      <c r="BI109" s="14">
        <v>9.0</v>
      </c>
      <c r="BJ109" s="14" t="s">
        <v>259</v>
      </c>
      <c r="BK109" s="14" t="s">
        <v>2311</v>
      </c>
      <c r="BL109" s="14" t="s">
        <v>260</v>
      </c>
      <c r="BM109" s="14" t="s">
        <v>5644</v>
      </c>
      <c r="BN109" s="14" t="s">
        <v>99</v>
      </c>
      <c r="BO109" s="14" t="s">
        <v>99</v>
      </c>
      <c r="BP109" s="14" t="s">
        <v>99</v>
      </c>
      <c r="BQ109" s="14" t="s">
        <v>99</v>
      </c>
      <c r="BR109" s="14" t="s">
        <v>124</v>
      </c>
      <c r="BS109" s="14" t="s">
        <v>5645</v>
      </c>
      <c r="BT109" s="14" t="str">
        <f>HYPERLINK("https%3A%2F%2Fwww.webofscience.com%2Fwos%2Fwoscc%2Ffull-record%2FWOS:000293038700014","View Full Record in Web of Science")</f>
        <v>View Full Record in Web of Science</v>
      </c>
    </row>
    <row r="110" ht="12.75" customHeight="1">
      <c r="A110" s="14" t="s">
        <v>97</v>
      </c>
      <c r="B110" s="14" t="s">
        <v>5777</v>
      </c>
      <c r="C110" s="14" t="s">
        <v>99</v>
      </c>
      <c r="D110" s="14" t="s">
        <v>99</v>
      </c>
      <c r="E110" s="14" t="s">
        <v>99</v>
      </c>
      <c r="F110" s="14" t="s">
        <v>5778</v>
      </c>
      <c r="G110" s="14" t="s">
        <v>99</v>
      </c>
      <c r="H110" s="14" t="s">
        <v>99</v>
      </c>
      <c r="I110" s="14" t="s">
        <v>5779</v>
      </c>
      <c r="J110" s="14" t="s">
        <v>5780</v>
      </c>
      <c r="K110" s="14" t="s">
        <v>99</v>
      </c>
      <c r="L110" s="14" t="s">
        <v>99</v>
      </c>
      <c r="M110" s="14" t="s">
        <v>103</v>
      </c>
      <c r="N110" s="14" t="s">
        <v>104</v>
      </c>
      <c r="O110" s="14" t="s">
        <v>99</v>
      </c>
      <c r="P110" s="14" t="s">
        <v>99</v>
      </c>
      <c r="Q110" s="14" t="s">
        <v>99</v>
      </c>
      <c r="R110" s="14" t="s">
        <v>99</v>
      </c>
      <c r="S110" s="14" t="s">
        <v>99</v>
      </c>
      <c r="T110" s="14" t="s">
        <v>99</v>
      </c>
      <c r="U110" s="14" t="s">
        <v>5781</v>
      </c>
      <c r="V110" s="14" t="s">
        <v>5782</v>
      </c>
      <c r="W110" s="14" t="s">
        <v>5783</v>
      </c>
      <c r="X110" s="14" t="s">
        <v>5784</v>
      </c>
      <c r="Y110" s="14" t="s">
        <v>5785</v>
      </c>
      <c r="Z110" s="14" t="s">
        <v>2363</v>
      </c>
      <c r="AA110" s="14" t="s">
        <v>5786</v>
      </c>
      <c r="AB110" s="14" t="s">
        <v>5787</v>
      </c>
      <c r="AC110" s="14" t="s">
        <v>5788</v>
      </c>
      <c r="AD110" s="14" t="s">
        <v>5789</v>
      </c>
      <c r="AE110" s="14" t="s">
        <v>5790</v>
      </c>
      <c r="AF110" s="14" t="s">
        <v>99</v>
      </c>
      <c r="AG110" s="14">
        <v>102.0</v>
      </c>
      <c r="AH110" s="14">
        <v>250.0</v>
      </c>
      <c r="AI110" s="14">
        <v>297.0</v>
      </c>
      <c r="AJ110" s="14">
        <v>7.0</v>
      </c>
      <c r="AK110" s="14">
        <v>306.0</v>
      </c>
      <c r="AL110" s="14" t="s">
        <v>982</v>
      </c>
      <c r="AM110" s="14" t="s">
        <v>789</v>
      </c>
      <c r="AN110" s="14" t="s">
        <v>983</v>
      </c>
      <c r="AO110" s="14" t="s">
        <v>5791</v>
      </c>
      <c r="AP110" s="14" t="s">
        <v>5792</v>
      </c>
      <c r="AQ110" s="14" t="s">
        <v>99</v>
      </c>
      <c r="AR110" s="14" t="s">
        <v>5793</v>
      </c>
      <c r="AS110" s="14" t="s">
        <v>5794</v>
      </c>
      <c r="AT110" s="14" t="s">
        <v>5795</v>
      </c>
      <c r="AU110" s="14">
        <v>2011.0</v>
      </c>
      <c r="AV110" s="14">
        <v>25.0</v>
      </c>
      <c r="AW110" s="14" t="s">
        <v>99</v>
      </c>
      <c r="AX110" s="14" t="s">
        <v>99</v>
      </c>
      <c r="AY110" s="14" t="s">
        <v>99</v>
      </c>
      <c r="AZ110" s="14" t="s">
        <v>99</v>
      </c>
      <c r="BA110" s="14" t="s">
        <v>99</v>
      </c>
      <c r="BB110" s="14" t="s">
        <v>99</v>
      </c>
      <c r="BC110" s="14" t="s">
        <v>99</v>
      </c>
      <c r="BD110" s="14" t="s">
        <v>5796</v>
      </c>
      <c r="BE110" s="14" t="s">
        <v>5797</v>
      </c>
      <c r="BF110" s="15" t="str">
        <f>HYPERLINK("http://dx.doi.org/10.1029/2010GB003838","http://dx.doi.org/10.1029/2010GB003838")</f>
        <v>http://dx.doi.org/10.1029/2010GB003838</v>
      </c>
      <c r="BG110" s="14" t="s">
        <v>99</v>
      </c>
      <c r="BH110" s="14" t="s">
        <v>99</v>
      </c>
      <c r="BI110" s="14">
        <v>16.0</v>
      </c>
      <c r="BJ110" s="14" t="s">
        <v>5798</v>
      </c>
      <c r="BK110" s="14" t="s">
        <v>122</v>
      </c>
      <c r="BL110" s="14" t="s">
        <v>5799</v>
      </c>
      <c r="BM110" s="14" t="s">
        <v>5800</v>
      </c>
      <c r="BN110" s="14" t="s">
        <v>99</v>
      </c>
      <c r="BO110" s="14" t="s">
        <v>425</v>
      </c>
      <c r="BP110" s="14" t="s">
        <v>99</v>
      </c>
      <c r="BQ110" s="14" t="s">
        <v>99</v>
      </c>
      <c r="BR110" s="14" t="s">
        <v>124</v>
      </c>
      <c r="BS110" s="14" t="s">
        <v>5801</v>
      </c>
      <c r="BT110" s="14" t="str">
        <f>HYPERLINK("https%3A%2F%2Fwww.webofscience.com%2Fwos%2Fwoscc%2Ffull-record%2FWOS:000289085400001","View Full Record in Web of Science")</f>
        <v>View Full Record in Web of Science</v>
      </c>
    </row>
    <row r="111" ht="12.75" customHeight="1">
      <c r="A111" s="14" t="s">
        <v>97</v>
      </c>
      <c r="B111" s="14" t="s">
        <v>5924</v>
      </c>
      <c r="C111" s="14" t="s">
        <v>99</v>
      </c>
      <c r="D111" s="14" t="s">
        <v>99</v>
      </c>
      <c r="E111" s="14" t="s">
        <v>99</v>
      </c>
      <c r="F111" s="14" t="s">
        <v>5925</v>
      </c>
      <c r="G111" s="14" t="s">
        <v>99</v>
      </c>
      <c r="H111" s="14" t="s">
        <v>99</v>
      </c>
      <c r="I111" s="14" t="s">
        <v>5926</v>
      </c>
      <c r="J111" s="14" t="s">
        <v>851</v>
      </c>
      <c r="K111" s="14" t="s">
        <v>99</v>
      </c>
      <c r="L111" s="14" t="s">
        <v>99</v>
      </c>
      <c r="M111" s="14" t="s">
        <v>103</v>
      </c>
      <c r="N111" s="14" t="s">
        <v>104</v>
      </c>
      <c r="O111" s="14" t="s">
        <v>99</v>
      </c>
      <c r="P111" s="14" t="s">
        <v>99</v>
      </c>
      <c r="Q111" s="14" t="s">
        <v>99</v>
      </c>
      <c r="R111" s="14" t="s">
        <v>99</v>
      </c>
      <c r="S111" s="14" t="s">
        <v>99</v>
      </c>
      <c r="T111" s="14" t="s">
        <v>5927</v>
      </c>
      <c r="U111" s="14" t="s">
        <v>5928</v>
      </c>
      <c r="V111" s="14" t="s">
        <v>5929</v>
      </c>
      <c r="W111" s="14" t="s">
        <v>5930</v>
      </c>
      <c r="X111" s="14" t="s">
        <v>5931</v>
      </c>
      <c r="Y111" s="14" t="s">
        <v>5932</v>
      </c>
      <c r="Z111" s="14" t="s">
        <v>5933</v>
      </c>
      <c r="AA111" s="14" t="s">
        <v>5934</v>
      </c>
      <c r="AB111" s="14" t="s">
        <v>5935</v>
      </c>
      <c r="AC111" s="14" t="s">
        <v>99</v>
      </c>
      <c r="AD111" s="14" t="s">
        <v>99</v>
      </c>
      <c r="AE111" s="14" t="s">
        <v>99</v>
      </c>
      <c r="AF111" s="14" t="s">
        <v>99</v>
      </c>
      <c r="AG111" s="14">
        <v>51.0</v>
      </c>
      <c r="AH111" s="14">
        <v>408.0</v>
      </c>
      <c r="AI111" s="14">
        <v>434.0</v>
      </c>
      <c r="AJ111" s="14">
        <v>1.0</v>
      </c>
      <c r="AK111" s="14">
        <v>256.0</v>
      </c>
      <c r="AL111" s="14" t="s">
        <v>1822</v>
      </c>
      <c r="AM111" s="14" t="s">
        <v>342</v>
      </c>
      <c r="AN111" s="14" t="s">
        <v>343</v>
      </c>
      <c r="AO111" s="14" t="s">
        <v>864</v>
      </c>
      <c r="AP111" s="14" t="s">
        <v>865</v>
      </c>
      <c r="AQ111" s="14" t="s">
        <v>99</v>
      </c>
      <c r="AR111" s="14" t="s">
        <v>866</v>
      </c>
      <c r="AS111" s="14" t="s">
        <v>867</v>
      </c>
      <c r="AT111" s="14" t="s">
        <v>935</v>
      </c>
      <c r="AU111" s="14">
        <v>2011.0</v>
      </c>
      <c r="AV111" s="14">
        <v>20.0</v>
      </c>
      <c r="AW111" s="14">
        <v>1.0</v>
      </c>
      <c r="AX111" s="14" t="s">
        <v>99</v>
      </c>
      <c r="AY111" s="14" t="s">
        <v>99</v>
      </c>
      <c r="AZ111" s="14" t="s">
        <v>99</v>
      </c>
      <c r="BA111" s="14" t="s">
        <v>99</v>
      </c>
      <c r="BB111" s="14">
        <v>58.0</v>
      </c>
      <c r="BC111" s="14">
        <v>72.0</v>
      </c>
      <c r="BD111" s="14" t="s">
        <v>99</v>
      </c>
      <c r="BE111" s="14" t="s">
        <v>5936</v>
      </c>
      <c r="BF111" s="15" t="str">
        <f>HYPERLINK("http://dx.doi.org/10.1111/j.1466-8238.2010.00575.x","http://dx.doi.org/10.1111/j.1466-8238.2010.00575.x")</f>
        <v>http://dx.doi.org/10.1111/j.1466-8238.2010.00575.x</v>
      </c>
      <c r="BG111" s="14" t="s">
        <v>99</v>
      </c>
      <c r="BH111" s="14" t="s">
        <v>99</v>
      </c>
      <c r="BI111" s="14">
        <v>15.0</v>
      </c>
      <c r="BJ111" s="14" t="s">
        <v>869</v>
      </c>
      <c r="BK111" s="14" t="s">
        <v>122</v>
      </c>
      <c r="BL111" s="14" t="s">
        <v>870</v>
      </c>
      <c r="BM111" s="14" t="s">
        <v>5937</v>
      </c>
      <c r="BN111" s="14" t="s">
        <v>99</v>
      </c>
      <c r="BO111" s="14" t="s">
        <v>99</v>
      </c>
      <c r="BP111" s="14" t="s">
        <v>99</v>
      </c>
      <c r="BQ111" s="14" t="s">
        <v>99</v>
      </c>
      <c r="BR111" s="14" t="s">
        <v>124</v>
      </c>
      <c r="BS111" s="14" t="s">
        <v>5938</v>
      </c>
      <c r="BT111" s="14" t="str">
        <f>HYPERLINK("https%3A%2F%2Fwww.webofscience.com%2Fwos%2Fwoscc%2Ffull-record%2FWOS:000285109200005","View Full Record in Web of Science")</f>
        <v>View Full Record in Web of Science</v>
      </c>
    </row>
    <row r="112" ht="12.75" customHeight="1">
      <c r="A112" s="14" t="s">
        <v>97</v>
      </c>
      <c r="B112" s="14" t="s">
        <v>5939</v>
      </c>
      <c r="C112" s="14" t="s">
        <v>99</v>
      </c>
      <c r="D112" s="14" t="s">
        <v>99</v>
      </c>
      <c r="E112" s="14" t="s">
        <v>99</v>
      </c>
      <c r="F112" s="14" t="s">
        <v>5940</v>
      </c>
      <c r="G112" s="14" t="s">
        <v>99</v>
      </c>
      <c r="H112" s="14" t="s">
        <v>99</v>
      </c>
      <c r="I112" s="14" t="s">
        <v>5941</v>
      </c>
      <c r="J112" s="14" t="s">
        <v>5942</v>
      </c>
      <c r="K112" s="14" t="s">
        <v>99</v>
      </c>
      <c r="L112" s="14" t="s">
        <v>99</v>
      </c>
      <c r="M112" s="14" t="s">
        <v>103</v>
      </c>
      <c r="N112" s="14" t="s">
        <v>104</v>
      </c>
      <c r="O112" s="14" t="s">
        <v>99</v>
      </c>
      <c r="P112" s="14" t="s">
        <v>99</v>
      </c>
      <c r="Q112" s="14" t="s">
        <v>99</v>
      </c>
      <c r="R112" s="14" t="s">
        <v>99</v>
      </c>
      <c r="S112" s="14" t="s">
        <v>99</v>
      </c>
      <c r="T112" s="14" t="s">
        <v>5943</v>
      </c>
      <c r="U112" s="14" t="s">
        <v>5944</v>
      </c>
      <c r="V112" s="14" t="s">
        <v>5945</v>
      </c>
      <c r="W112" s="14" t="s">
        <v>5946</v>
      </c>
      <c r="X112" s="14" t="s">
        <v>5947</v>
      </c>
      <c r="Y112" s="14" t="s">
        <v>5948</v>
      </c>
      <c r="Z112" s="14" t="s">
        <v>5949</v>
      </c>
      <c r="AA112" s="14" t="s">
        <v>5950</v>
      </c>
      <c r="AB112" s="14" t="s">
        <v>5951</v>
      </c>
      <c r="AC112" s="14" t="s">
        <v>5952</v>
      </c>
      <c r="AD112" s="14" t="s">
        <v>5953</v>
      </c>
      <c r="AE112" s="14" t="s">
        <v>5954</v>
      </c>
      <c r="AF112" s="14" t="s">
        <v>99</v>
      </c>
      <c r="AG112" s="14">
        <v>64.0</v>
      </c>
      <c r="AH112" s="14">
        <v>25.0</v>
      </c>
      <c r="AI112" s="14">
        <v>27.0</v>
      </c>
      <c r="AJ112" s="14">
        <v>1.0</v>
      </c>
      <c r="AK112" s="14">
        <v>48.0</v>
      </c>
      <c r="AL112" s="14" t="s">
        <v>5955</v>
      </c>
      <c r="AM112" s="14" t="s">
        <v>5956</v>
      </c>
      <c r="AN112" s="14" t="s">
        <v>5957</v>
      </c>
      <c r="AO112" s="14" t="s">
        <v>5958</v>
      </c>
      <c r="AP112" s="14" t="s">
        <v>5959</v>
      </c>
      <c r="AQ112" s="14" t="s">
        <v>99</v>
      </c>
      <c r="AR112" s="14" t="s">
        <v>5960</v>
      </c>
      <c r="AS112" s="14" t="s">
        <v>5961</v>
      </c>
      <c r="AT112" s="14" t="s">
        <v>99</v>
      </c>
      <c r="AU112" s="14">
        <v>2011.0</v>
      </c>
      <c r="AV112" s="14">
        <v>111.0</v>
      </c>
      <c r="AW112" s="14">
        <v>2.0</v>
      </c>
      <c r="AX112" s="14" t="s">
        <v>99</v>
      </c>
      <c r="AY112" s="14" t="s">
        <v>99</v>
      </c>
      <c r="AZ112" s="14" t="s">
        <v>99</v>
      </c>
      <c r="BA112" s="14" t="s">
        <v>99</v>
      </c>
      <c r="BB112" s="14">
        <v>120.0</v>
      </c>
      <c r="BC112" s="14">
        <v>131.0</v>
      </c>
      <c r="BD112" s="14" t="s">
        <v>99</v>
      </c>
      <c r="BE112" s="14" t="s">
        <v>5962</v>
      </c>
      <c r="BF112" s="15" t="str">
        <f>HYPERLINK("http://dx.doi.org/10.1071/MU10009","http://dx.doi.org/10.1071/MU10009")</f>
        <v>http://dx.doi.org/10.1071/MU10009</v>
      </c>
      <c r="BG112" s="14" t="s">
        <v>99</v>
      </c>
      <c r="BH112" s="14" t="s">
        <v>99</v>
      </c>
      <c r="BI112" s="14">
        <v>12.0</v>
      </c>
      <c r="BJ112" s="14" t="s">
        <v>1183</v>
      </c>
      <c r="BK112" s="14" t="s">
        <v>122</v>
      </c>
      <c r="BL112" s="14" t="s">
        <v>121</v>
      </c>
      <c r="BM112" s="14" t="s">
        <v>5963</v>
      </c>
      <c r="BN112" s="14" t="s">
        <v>99</v>
      </c>
      <c r="BO112" s="14" t="s">
        <v>99</v>
      </c>
      <c r="BP112" s="14" t="s">
        <v>99</v>
      </c>
      <c r="BQ112" s="14" t="s">
        <v>99</v>
      </c>
      <c r="BR112" s="14" t="s">
        <v>124</v>
      </c>
      <c r="BS112" s="14" t="s">
        <v>5964</v>
      </c>
      <c r="BT112" s="14" t="str">
        <f>HYPERLINK("https%3A%2F%2Fwww.webofscience.com%2Fwos%2Fwoscc%2Ffull-record%2FWOS:000291035900004","View Full Record in Web of Science")</f>
        <v>View Full Record in Web of Science</v>
      </c>
    </row>
    <row r="113" ht="12.75" customHeight="1">
      <c r="A113" s="14" t="s">
        <v>97</v>
      </c>
      <c r="B113" s="14" t="s">
        <v>6065</v>
      </c>
      <c r="C113" s="14" t="s">
        <v>99</v>
      </c>
      <c r="D113" s="14" t="s">
        <v>99</v>
      </c>
      <c r="E113" s="14" t="s">
        <v>99</v>
      </c>
      <c r="F113" s="14" t="s">
        <v>6066</v>
      </c>
      <c r="G113" s="14" t="s">
        <v>99</v>
      </c>
      <c r="H113" s="14" t="s">
        <v>99</v>
      </c>
      <c r="I113" s="14" t="s">
        <v>6067</v>
      </c>
      <c r="J113" s="14" t="s">
        <v>3842</v>
      </c>
      <c r="K113" s="14" t="s">
        <v>99</v>
      </c>
      <c r="L113" s="14" t="s">
        <v>99</v>
      </c>
      <c r="M113" s="14" t="s">
        <v>103</v>
      </c>
      <c r="N113" s="14" t="s">
        <v>104</v>
      </c>
      <c r="O113" s="14" t="s">
        <v>99</v>
      </c>
      <c r="P113" s="14" t="s">
        <v>99</v>
      </c>
      <c r="Q113" s="14" t="s">
        <v>99</v>
      </c>
      <c r="R113" s="14" t="s">
        <v>99</v>
      </c>
      <c r="S113" s="14" t="s">
        <v>99</v>
      </c>
      <c r="T113" s="14" t="s">
        <v>6068</v>
      </c>
      <c r="U113" s="14" t="s">
        <v>6069</v>
      </c>
      <c r="V113" s="14" t="s">
        <v>6070</v>
      </c>
      <c r="W113" s="14" t="s">
        <v>6071</v>
      </c>
      <c r="X113" s="14" t="s">
        <v>6072</v>
      </c>
      <c r="Y113" s="14" t="s">
        <v>6073</v>
      </c>
      <c r="Z113" s="14" t="s">
        <v>6074</v>
      </c>
      <c r="AA113" s="14" t="s">
        <v>6075</v>
      </c>
      <c r="AB113" s="14" t="s">
        <v>6076</v>
      </c>
      <c r="AC113" s="14" t="s">
        <v>6077</v>
      </c>
      <c r="AD113" s="14" t="s">
        <v>6078</v>
      </c>
      <c r="AE113" s="14" t="s">
        <v>6079</v>
      </c>
      <c r="AF113" s="14" t="s">
        <v>99</v>
      </c>
      <c r="AG113" s="14">
        <v>59.0</v>
      </c>
      <c r="AH113" s="14">
        <v>32.0</v>
      </c>
      <c r="AI113" s="14">
        <v>33.0</v>
      </c>
      <c r="AJ113" s="14">
        <v>0.0</v>
      </c>
      <c r="AK113" s="14">
        <v>53.0</v>
      </c>
      <c r="AL113" s="14" t="s">
        <v>341</v>
      </c>
      <c r="AM113" s="14" t="s">
        <v>342</v>
      </c>
      <c r="AN113" s="14" t="s">
        <v>343</v>
      </c>
      <c r="AO113" s="14" t="s">
        <v>3853</v>
      </c>
      <c r="AP113" s="14" t="s">
        <v>3854</v>
      </c>
      <c r="AQ113" s="14" t="s">
        <v>99</v>
      </c>
      <c r="AR113" s="14" t="s">
        <v>3855</v>
      </c>
      <c r="AS113" s="14" t="s">
        <v>3856</v>
      </c>
      <c r="AT113" s="14" t="s">
        <v>2372</v>
      </c>
      <c r="AU113" s="14">
        <v>2010.0</v>
      </c>
      <c r="AV113" s="14">
        <v>13.0</v>
      </c>
      <c r="AW113" s="14">
        <v>5.0</v>
      </c>
      <c r="AX113" s="14" t="s">
        <v>99</v>
      </c>
      <c r="AY113" s="14" t="s">
        <v>99</v>
      </c>
      <c r="AZ113" s="14" t="s">
        <v>99</v>
      </c>
      <c r="BA113" s="14" t="s">
        <v>99</v>
      </c>
      <c r="BB113" s="14">
        <v>495.0</v>
      </c>
      <c r="BC113" s="14">
        <v>504.0</v>
      </c>
      <c r="BD113" s="14" t="s">
        <v>99</v>
      </c>
      <c r="BE113" s="14" t="s">
        <v>6080</v>
      </c>
      <c r="BF113" s="15" t="str">
        <f>HYPERLINK("http://dx.doi.org/10.1111/j.1469-1795.2010.00369.x","http://dx.doi.org/10.1111/j.1469-1795.2010.00369.x")</f>
        <v>http://dx.doi.org/10.1111/j.1469-1795.2010.00369.x</v>
      </c>
      <c r="BG113" s="14" t="s">
        <v>99</v>
      </c>
      <c r="BH113" s="14" t="s">
        <v>99</v>
      </c>
      <c r="BI113" s="14">
        <v>10.0</v>
      </c>
      <c r="BJ113" s="14" t="s">
        <v>550</v>
      </c>
      <c r="BK113" s="14" t="s">
        <v>122</v>
      </c>
      <c r="BL113" s="14" t="s">
        <v>352</v>
      </c>
      <c r="BM113" s="14" t="s">
        <v>6081</v>
      </c>
      <c r="BN113" s="14" t="s">
        <v>99</v>
      </c>
      <c r="BO113" s="14" t="s">
        <v>373</v>
      </c>
      <c r="BP113" s="14" t="s">
        <v>99</v>
      </c>
      <c r="BQ113" s="14" t="s">
        <v>99</v>
      </c>
      <c r="BR113" s="14" t="s">
        <v>124</v>
      </c>
      <c r="BS113" s="14" t="s">
        <v>6082</v>
      </c>
      <c r="BT113" s="14" t="str">
        <f>HYPERLINK("https%3A%2F%2Fwww.webofscience.com%2Fwos%2Fwoscc%2Ffull-record%2FWOS:000282370500011","View Full Record in Web of Science")</f>
        <v>View Full Record in Web of Science</v>
      </c>
    </row>
    <row r="114" ht="12.75" customHeight="1">
      <c r="A114" s="14" t="s">
        <v>97</v>
      </c>
      <c r="B114" s="14" t="s">
        <v>6214</v>
      </c>
      <c r="C114" s="14" t="s">
        <v>99</v>
      </c>
      <c r="D114" s="14" t="s">
        <v>99</v>
      </c>
      <c r="E114" s="14" t="s">
        <v>99</v>
      </c>
      <c r="F114" s="14" t="s">
        <v>6215</v>
      </c>
      <c r="G114" s="14" t="s">
        <v>99</v>
      </c>
      <c r="H114" s="14" t="s">
        <v>99</v>
      </c>
      <c r="I114" s="14" t="s">
        <v>6216</v>
      </c>
      <c r="J114" s="14" t="s">
        <v>6217</v>
      </c>
      <c r="K114" s="14" t="s">
        <v>99</v>
      </c>
      <c r="L114" s="14" t="s">
        <v>99</v>
      </c>
      <c r="M114" s="14" t="s">
        <v>103</v>
      </c>
      <c r="N114" s="14" t="s">
        <v>104</v>
      </c>
      <c r="O114" s="14" t="s">
        <v>99</v>
      </c>
      <c r="P114" s="14" t="s">
        <v>99</v>
      </c>
      <c r="Q114" s="14" t="s">
        <v>99</v>
      </c>
      <c r="R114" s="14" t="s">
        <v>99</v>
      </c>
      <c r="S114" s="14" t="s">
        <v>99</v>
      </c>
      <c r="T114" s="14" t="s">
        <v>99</v>
      </c>
      <c r="U114" s="14" t="s">
        <v>6218</v>
      </c>
      <c r="V114" s="14" t="s">
        <v>6219</v>
      </c>
      <c r="W114" s="14" t="s">
        <v>6220</v>
      </c>
      <c r="X114" s="14" t="s">
        <v>6221</v>
      </c>
      <c r="Y114" s="14" t="s">
        <v>6222</v>
      </c>
      <c r="Z114" s="14" t="s">
        <v>6223</v>
      </c>
      <c r="AA114" s="14" t="s">
        <v>6224</v>
      </c>
      <c r="AB114" s="14" t="s">
        <v>6225</v>
      </c>
      <c r="AC114" s="14" t="s">
        <v>6226</v>
      </c>
      <c r="AD114" s="14" t="s">
        <v>6227</v>
      </c>
      <c r="AE114" s="14" t="s">
        <v>6228</v>
      </c>
      <c r="AF114" s="14" t="s">
        <v>99</v>
      </c>
      <c r="AG114" s="14">
        <v>101.0</v>
      </c>
      <c r="AH114" s="14">
        <v>33.0</v>
      </c>
      <c r="AI114" s="14">
        <v>44.0</v>
      </c>
      <c r="AJ114" s="14">
        <v>1.0</v>
      </c>
      <c r="AK114" s="14">
        <v>56.0</v>
      </c>
      <c r="AL114" s="14" t="s">
        <v>6229</v>
      </c>
      <c r="AM114" s="14" t="s">
        <v>6230</v>
      </c>
      <c r="AN114" s="14" t="s">
        <v>6231</v>
      </c>
      <c r="AO114" s="14" t="s">
        <v>6232</v>
      </c>
      <c r="AP114" s="14" t="s">
        <v>6233</v>
      </c>
      <c r="AQ114" s="14" t="s">
        <v>99</v>
      </c>
      <c r="AR114" s="14" t="s">
        <v>6234</v>
      </c>
      <c r="AS114" s="14" t="s">
        <v>6235</v>
      </c>
      <c r="AT114" s="14" t="s">
        <v>474</v>
      </c>
      <c r="AU114" s="14">
        <v>2010.0</v>
      </c>
      <c r="AV114" s="14">
        <v>50.0</v>
      </c>
      <c r="AW114" s="14">
        <v>2.0</v>
      </c>
      <c r="AX114" s="14" t="s">
        <v>99</v>
      </c>
      <c r="AY114" s="14" t="s">
        <v>99</v>
      </c>
      <c r="AZ114" s="14" t="s">
        <v>99</v>
      </c>
      <c r="BA114" s="14" t="s">
        <v>99</v>
      </c>
      <c r="BB114" s="14">
        <v>201.0</v>
      </c>
      <c r="BC114" s="14">
        <v>212.0</v>
      </c>
      <c r="BD114" s="14" t="s">
        <v>99</v>
      </c>
      <c r="BE114" s="14" t="s">
        <v>6236</v>
      </c>
      <c r="BF114" s="15" t="str">
        <f>HYPERLINK("http://dx.doi.org/10.1093/icb/icq072","http://dx.doi.org/10.1093/icb/icq072")</f>
        <v>http://dx.doi.org/10.1093/icb/icq072</v>
      </c>
      <c r="BG114" s="14" t="s">
        <v>99</v>
      </c>
      <c r="BH114" s="14" t="s">
        <v>99</v>
      </c>
      <c r="BI114" s="14">
        <v>12.0</v>
      </c>
      <c r="BJ114" s="14" t="s">
        <v>121</v>
      </c>
      <c r="BK114" s="14" t="s">
        <v>122</v>
      </c>
      <c r="BL114" s="14" t="s">
        <v>121</v>
      </c>
      <c r="BM114" s="14" t="s">
        <v>6237</v>
      </c>
      <c r="BN114" s="14">
        <v>2.1558199E7</v>
      </c>
      <c r="BO114" s="14" t="s">
        <v>238</v>
      </c>
      <c r="BP114" s="14" t="s">
        <v>99</v>
      </c>
      <c r="BQ114" s="14" t="s">
        <v>99</v>
      </c>
      <c r="BR114" s="14" t="s">
        <v>124</v>
      </c>
      <c r="BS114" s="14" t="s">
        <v>6238</v>
      </c>
      <c r="BT114" s="14" t="str">
        <f>HYPERLINK("https%3A%2F%2Fwww.webofscience.com%2Fwos%2Fwoscc%2Ffull-record%2FWOS:000280279800005","View Full Record in Web of Science")</f>
        <v>View Full Record in Web of Science</v>
      </c>
    </row>
    <row r="115" ht="12.75" customHeight="1">
      <c r="A115" s="14" t="s">
        <v>97</v>
      </c>
      <c r="B115" s="14" t="s">
        <v>6346</v>
      </c>
      <c r="C115" s="14" t="s">
        <v>99</v>
      </c>
      <c r="D115" s="14" t="s">
        <v>99</v>
      </c>
      <c r="E115" s="14" t="s">
        <v>99</v>
      </c>
      <c r="F115" s="14" t="s">
        <v>6347</v>
      </c>
      <c r="G115" s="14" t="s">
        <v>99</v>
      </c>
      <c r="H115" s="14" t="s">
        <v>99</v>
      </c>
      <c r="I115" s="14" t="s">
        <v>6348</v>
      </c>
      <c r="J115" s="14" t="s">
        <v>4070</v>
      </c>
      <c r="K115" s="14" t="s">
        <v>99</v>
      </c>
      <c r="L115" s="14" t="s">
        <v>99</v>
      </c>
      <c r="M115" s="14" t="s">
        <v>103</v>
      </c>
      <c r="N115" s="14" t="s">
        <v>104</v>
      </c>
      <c r="O115" s="14" t="s">
        <v>99</v>
      </c>
      <c r="P115" s="14" t="s">
        <v>99</v>
      </c>
      <c r="Q115" s="14" t="s">
        <v>99</v>
      </c>
      <c r="R115" s="14" t="s">
        <v>99</v>
      </c>
      <c r="S115" s="14" t="s">
        <v>99</v>
      </c>
      <c r="T115" s="14" t="s">
        <v>6349</v>
      </c>
      <c r="U115" s="14" t="s">
        <v>6350</v>
      </c>
      <c r="V115" s="14" t="s">
        <v>6351</v>
      </c>
      <c r="W115" s="14" t="s">
        <v>6352</v>
      </c>
      <c r="X115" s="14" t="s">
        <v>6353</v>
      </c>
      <c r="Y115" s="14" t="s">
        <v>6354</v>
      </c>
      <c r="Z115" s="14" t="s">
        <v>6355</v>
      </c>
      <c r="AA115" s="14" t="s">
        <v>6356</v>
      </c>
      <c r="AB115" s="14" t="s">
        <v>6357</v>
      </c>
      <c r="AC115" s="14" t="s">
        <v>6358</v>
      </c>
      <c r="AD115" s="14" t="s">
        <v>6359</v>
      </c>
      <c r="AE115" s="14" t="s">
        <v>6360</v>
      </c>
      <c r="AF115" s="14" t="s">
        <v>99</v>
      </c>
      <c r="AG115" s="14">
        <v>40.0</v>
      </c>
      <c r="AH115" s="14">
        <v>165.0</v>
      </c>
      <c r="AI115" s="14">
        <v>186.0</v>
      </c>
      <c r="AJ115" s="14">
        <v>0.0</v>
      </c>
      <c r="AK115" s="14">
        <v>145.0</v>
      </c>
      <c r="AL115" s="14" t="s">
        <v>1544</v>
      </c>
      <c r="AM115" s="14" t="s">
        <v>274</v>
      </c>
      <c r="AN115" s="14" t="s">
        <v>1545</v>
      </c>
      <c r="AO115" s="14" t="s">
        <v>4079</v>
      </c>
      <c r="AP115" s="14" t="s">
        <v>4080</v>
      </c>
      <c r="AQ115" s="14" t="s">
        <v>99</v>
      </c>
      <c r="AR115" s="14" t="s">
        <v>4081</v>
      </c>
      <c r="AS115" s="14" t="s">
        <v>4082</v>
      </c>
      <c r="AT115" s="14" t="s">
        <v>6361</v>
      </c>
      <c r="AU115" s="14">
        <v>2010.0</v>
      </c>
      <c r="AV115" s="14">
        <v>277.0</v>
      </c>
      <c r="AW115" s="14">
        <v>1686.0</v>
      </c>
      <c r="AX115" s="14" t="s">
        <v>99</v>
      </c>
      <c r="AY115" s="14" t="s">
        <v>99</v>
      </c>
      <c r="AZ115" s="14" t="s">
        <v>99</v>
      </c>
      <c r="BA115" s="14" t="s">
        <v>99</v>
      </c>
      <c r="BB115" s="14">
        <v>1353.0</v>
      </c>
      <c r="BC115" s="14">
        <v>1360.0</v>
      </c>
      <c r="BD115" s="14" t="s">
        <v>99</v>
      </c>
      <c r="BE115" s="14" t="s">
        <v>6362</v>
      </c>
      <c r="BF115" s="15" t="str">
        <f>HYPERLINK("http://dx.doi.org/10.1098/rspb.2009.1020","http://dx.doi.org/10.1098/rspb.2009.1020")</f>
        <v>http://dx.doi.org/10.1098/rspb.2009.1020</v>
      </c>
      <c r="BG115" s="14" t="s">
        <v>99</v>
      </c>
      <c r="BH115" s="14" t="s">
        <v>99</v>
      </c>
      <c r="BI115" s="14">
        <v>8.0</v>
      </c>
      <c r="BJ115" s="14" t="s">
        <v>1552</v>
      </c>
      <c r="BK115" s="14" t="s">
        <v>122</v>
      </c>
      <c r="BL115" s="14" t="s">
        <v>1553</v>
      </c>
      <c r="BM115" s="14" t="s">
        <v>6363</v>
      </c>
      <c r="BN115" s="14">
        <v>2.0031989E7</v>
      </c>
      <c r="BO115" s="14" t="s">
        <v>99</v>
      </c>
      <c r="BP115" s="14" t="s">
        <v>99</v>
      </c>
      <c r="BQ115" s="14" t="s">
        <v>99</v>
      </c>
      <c r="BR115" s="14" t="s">
        <v>124</v>
      </c>
      <c r="BS115" s="14" t="s">
        <v>6364</v>
      </c>
      <c r="BT115" s="14" t="str">
        <f>HYPERLINK("https%3A%2F%2Fwww.webofscience.com%2Fwos%2Fwoscc%2Ffull-record%2FWOS:000276003400008","View Full Record in Web of Science")</f>
        <v>View Full Record in Web of Science</v>
      </c>
    </row>
    <row r="116" ht="12.75" customHeight="1">
      <c r="A116" s="14" t="s">
        <v>97</v>
      </c>
      <c r="B116" s="14" t="s">
        <v>6365</v>
      </c>
      <c r="C116" s="14" t="s">
        <v>99</v>
      </c>
      <c r="D116" s="14" t="s">
        <v>99</v>
      </c>
      <c r="E116" s="14" t="s">
        <v>99</v>
      </c>
      <c r="F116" s="14" t="s">
        <v>6366</v>
      </c>
      <c r="G116" s="14" t="s">
        <v>99</v>
      </c>
      <c r="H116" s="14" t="s">
        <v>99</v>
      </c>
      <c r="I116" s="14" t="s">
        <v>6367</v>
      </c>
      <c r="J116" s="14" t="s">
        <v>826</v>
      </c>
      <c r="K116" s="14" t="s">
        <v>99</v>
      </c>
      <c r="L116" s="14" t="s">
        <v>99</v>
      </c>
      <c r="M116" s="14" t="s">
        <v>103</v>
      </c>
      <c r="N116" s="14" t="s">
        <v>104</v>
      </c>
      <c r="O116" s="14" t="s">
        <v>99</v>
      </c>
      <c r="P116" s="14" t="s">
        <v>99</v>
      </c>
      <c r="Q116" s="14" t="s">
        <v>99</v>
      </c>
      <c r="R116" s="14" t="s">
        <v>99</v>
      </c>
      <c r="S116" s="14" t="s">
        <v>99</v>
      </c>
      <c r="T116" s="14" t="s">
        <v>6368</v>
      </c>
      <c r="U116" s="14" t="s">
        <v>6369</v>
      </c>
      <c r="V116" s="14" t="s">
        <v>6370</v>
      </c>
      <c r="W116" s="14" t="s">
        <v>6371</v>
      </c>
      <c r="X116" s="14" t="s">
        <v>6372</v>
      </c>
      <c r="Y116" s="14" t="s">
        <v>6373</v>
      </c>
      <c r="Z116" s="14" t="s">
        <v>6374</v>
      </c>
      <c r="AA116" s="14" t="s">
        <v>6375</v>
      </c>
      <c r="AB116" s="14" t="s">
        <v>6376</v>
      </c>
      <c r="AC116" s="14" t="s">
        <v>6377</v>
      </c>
      <c r="AD116" s="14" t="s">
        <v>6378</v>
      </c>
      <c r="AE116" s="14" t="s">
        <v>6379</v>
      </c>
      <c r="AF116" s="14" t="s">
        <v>99</v>
      </c>
      <c r="AG116" s="14">
        <v>85.0</v>
      </c>
      <c r="AH116" s="14">
        <v>24.0</v>
      </c>
      <c r="AI116" s="14">
        <v>25.0</v>
      </c>
      <c r="AJ116" s="14">
        <v>0.0</v>
      </c>
      <c r="AK116" s="14">
        <v>54.0</v>
      </c>
      <c r="AL116" s="14" t="s">
        <v>341</v>
      </c>
      <c r="AM116" s="14" t="s">
        <v>342</v>
      </c>
      <c r="AN116" s="14" t="s">
        <v>343</v>
      </c>
      <c r="AO116" s="14" t="s">
        <v>839</v>
      </c>
      <c r="AP116" s="14" t="s">
        <v>840</v>
      </c>
      <c r="AQ116" s="14" t="s">
        <v>99</v>
      </c>
      <c r="AR116" s="14" t="s">
        <v>841</v>
      </c>
      <c r="AS116" s="14" t="s">
        <v>842</v>
      </c>
      <c r="AT116" s="14" t="s">
        <v>640</v>
      </c>
      <c r="AU116" s="14">
        <v>2010.0</v>
      </c>
      <c r="AV116" s="14">
        <v>20.0</v>
      </c>
      <c r="AW116" s="14">
        <v>3.0</v>
      </c>
      <c r="AX116" s="14" t="s">
        <v>99</v>
      </c>
      <c r="AY116" s="14" t="s">
        <v>99</v>
      </c>
      <c r="AZ116" s="14" t="s">
        <v>99</v>
      </c>
      <c r="BA116" s="14" t="s">
        <v>99</v>
      </c>
      <c r="BB116" s="14">
        <v>297.0</v>
      </c>
      <c r="BC116" s="14">
        <v>311.0</v>
      </c>
      <c r="BD116" s="14" t="s">
        <v>99</v>
      </c>
      <c r="BE116" s="14" t="s">
        <v>6380</v>
      </c>
      <c r="BF116" s="15" t="str">
        <f>HYPERLINK("http://dx.doi.org/10.1002/aqc.1079","http://dx.doi.org/10.1002/aqc.1079")</f>
        <v>http://dx.doi.org/10.1002/aqc.1079</v>
      </c>
      <c r="BG116" s="14" t="s">
        <v>99</v>
      </c>
      <c r="BH116" s="14" t="s">
        <v>99</v>
      </c>
      <c r="BI116" s="14">
        <v>15.0</v>
      </c>
      <c r="BJ116" s="14" t="s">
        <v>844</v>
      </c>
      <c r="BK116" s="14" t="s">
        <v>122</v>
      </c>
      <c r="BL116" s="14" t="s">
        <v>845</v>
      </c>
      <c r="BM116" s="14" t="s">
        <v>6381</v>
      </c>
      <c r="BN116" s="14" t="s">
        <v>99</v>
      </c>
      <c r="BO116" s="14" t="s">
        <v>99</v>
      </c>
      <c r="BP116" s="14" t="s">
        <v>99</v>
      </c>
      <c r="BQ116" s="14" t="s">
        <v>99</v>
      </c>
      <c r="BR116" s="14" t="s">
        <v>124</v>
      </c>
      <c r="BS116" s="14" t="s">
        <v>6382</v>
      </c>
      <c r="BT116" s="14" t="str">
        <f>HYPERLINK("https%3A%2F%2Fwww.webofscience.com%2Fwos%2Fwoscc%2Ffull-record%2FWOS:000277830200007","View Full Record in Web of Science")</f>
        <v>View Full Record in Web of Science</v>
      </c>
    </row>
    <row r="117" ht="12.75" customHeight="1">
      <c r="A117" s="14" t="s">
        <v>97</v>
      </c>
      <c r="B117" s="14" t="s">
        <v>6418</v>
      </c>
      <c r="C117" s="14" t="s">
        <v>99</v>
      </c>
      <c r="D117" s="14" t="s">
        <v>99</v>
      </c>
      <c r="E117" s="14" t="s">
        <v>99</v>
      </c>
      <c r="F117" s="14" t="s">
        <v>6419</v>
      </c>
      <c r="G117" s="14" t="s">
        <v>99</v>
      </c>
      <c r="H117" s="14" t="s">
        <v>99</v>
      </c>
      <c r="I117" s="14" t="s">
        <v>6420</v>
      </c>
      <c r="J117" s="14" t="s">
        <v>2500</v>
      </c>
      <c r="K117" s="14" t="s">
        <v>99</v>
      </c>
      <c r="L117" s="14" t="s">
        <v>99</v>
      </c>
      <c r="M117" s="14" t="s">
        <v>103</v>
      </c>
      <c r="N117" s="14" t="s">
        <v>104</v>
      </c>
      <c r="O117" s="14" t="s">
        <v>99</v>
      </c>
      <c r="P117" s="14" t="s">
        <v>99</v>
      </c>
      <c r="Q117" s="14" t="s">
        <v>99</v>
      </c>
      <c r="R117" s="14" t="s">
        <v>99</v>
      </c>
      <c r="S117" s="14" t="s">
        <v>99</v>
      </c>
      <c r="T117" s="14" t="s">
        <v>99</v>
      </c>
      <c r="U117" s="14" t="s">
        <v>6421</v>
      </c>
      <c r="V117" s="14" t="s">
        <v>6422</v>
      </c>
      <c r="W117" s="14" t="s">
        <v>6423</v>
      </c>
      <c r="X117" s="14" t="s">
        <v>6424</v>
      </c>
      <c r="Y117" s="14" t="s">
        <v>6425</v>
      </c>
      <c r="Z117" s="14" t="s">
        <v>6426</v>
      </c>
      <c r="AA117" s="14" t="s">
        <v>6427</v>
      </c>
      <c r="AB117" s="14" t="s">
        <v>6428</v>
      </c>
      <c r="AC117" s="14" t="s">
        <v>6429</v>
      </c>
      <c r="AD117" s="14" t="s">
        <v>6429</v>
      </c>
      <c r="AE117" s="14" t="s">
        <v>6430</v>
      </c>
      <c r="AF117" s="14" t="s">
        <v>99</v>
      </c>
      <c r="AG117" s="14">
        <v>86.0</v>
      </c>
      <c r="AH117" s="14">
        <v>888.0</v>
      </c>
      <c r="AI117" s="14">
        <v>1076.0</v>
      </c>
      <c r="AJ117" s="14">
        <v>14.0</v>
      </c>
      <c r="AK117" s="14">
        <v>156.0</v>
      </c>
      <c r="AL117" s="14" t="s">
        <v>2512</v>
      </c>
      <c r="AM117" s="14" t="s">
        <v>2513</v>
      </c>
      <c r="AN117" s="14" t="s">
        <v>2514</v>
      </c>
      <c r="AO117" s="14" t="s">
        <v>2515</v>
      </c>
      <c r="AP117" s="14" t="s">
        <v>99</v>
      </c>
      <c r="AQ117" s="14" t="s">
        <v>99</v>
      </c>
      <c r="AR117" s="14" t="s">
        <v>2500</v>
      </c>
      <c r="AS117" s="14" t="s">
        <v>2516</v>
      </c>
      <c r="AT117" s="14" t="s">
        <v>6431</v>
      </c>
      <c r="AU117" s="14">
        <v>2010.0</v>
      </c>
      <c r="AV117" s="14">
        <v>5.0</v>
      </c>
      <c r="AW117" s="14">
        <v>4.0</v>
      </c>
      <c r="AX117" s="14" t="s">
        <v>99</v>
      </c>
      <c r="AY117" s="14" t="s">
        <v>99</v>
      </c>
      <c r="AZ117" s="14" t="s">
        <v>99</v>
      </c>
      <c r="BA117" s="14" t="s">
        <v>99</v>
      </c>
      <c r="BB117" s="14" t="s">
        <v>99</v>
      </c>
      <c r="BC117" s="14" t="s">
        <v>99</v>
      </c>
      <c r="BD117" s="14" t="s">
        <v>6432</v>
      </c>
      <c r="BE117" s="14" t="s">
        <v>6433</v>
      </c>
      <c r="BF117" s="15" t="str">
        <f>HYPERLINK("http://dx.doi.org/10.1371/journal.pone.0010095","http://dx.doi.org/10.1371/journal.pone.0010095")</f>
        <v>http://dx.doi.org/10.1371/journal.pone.0010095</v>
      </c>
      <c r="BG117" s="14" t="s">
        <v>99</v>
      </c>
      <c r="BH117" s="14" t="s">
        <v>99</v>
      </c>
      <c r="BI117" s="14">
        <v>10.0</v>
      </c>
      <c r="BJ117" s="14" t="s">
        <v>799</v>
      </c>
      <c r="BK117" s="14" t="s">
        <v>122</v>
      </c>
      <c r="BL117" s="14" t="s">
        <v>801</v>
      </c>
      <c r="BM117" s="14" t="s">
        <v>6434</v>
      </c>
      <c r="BN117" s="14">
        <v>2.038671E7</v>
      </c>
      <c r="BO117" s="14" t="s">
        <v>1251</v>
      </c>
      <c r="BP117" s="14" t="s">
        <v>99</v>
      </c>
      <c r="BQ117" s="14" t="s">
        <v>99</v>
      </c>
      <c r="BR117" s="14" t="s">
        <v>124</v>
      </c>
      <c r="BS117" s="14" t="s">
        <v>6435</v>
      </c>
      <c r="BT117" s="14" t="str">
        <f>HYPERLINK("https%3A%2F%2Fwww.webofscience.com%2Fwos%2Fwoscc%2Ffull-record%2FWOS:000276482000021","View Full Record in Web of Science")</f>
        <v>View Full Record in Web of Science</v>
      </c>
    </row>
    <row r="118" ht="12.75" customHeight="1">
      <c r="A118" s="14" t="s">
        <v>97</v>
      </c>
      <c r="B118" s="14" t="s">
        <v>6562</v>
      </c>
      <c r="C118" s="14" t="s">
        <v>99</v>
      </c>
      <c r="D118" s="14" t="s">
        <v>99</v>
      </c>
      <c r="E118" s="14" t="s">
        <v>99</v>
      </c>
      <c r="F118" s="14" t="s">
        <v>6563</v>
      </c>
      <c r="G118" s="14" t="s">
        <v>99</v>
      </c>
      <c r="H118" s="14" t="s">
        <v>99</v>
      </c>
      <c r="I118" s="14" t="s">
        <v>6564</v>
      </c>
      <c r="J118" s="14" t="s">
        <v>749</v>
      </c>
      <c r="K118" s="14" t="s">
        <v>99</v>
      </c>
      <c r="L118" s="14" t="s">
        <v>99</v>
      </c>
      <c r="M118" s="14" t="s">
        <v>103</v>
      </c>
      <c r="N118" s="14" t="s">
        <v>104</v>
      </c>
      <c r="O118" s="14" t="s">
        <v>99</v>
      </c>
      <c r="P118" s="14" t="s">
        <v>99</v>
      </c>
      <c r="Q118" s="14" t="s">
        <v>99</v>
      </c>
      <c r="R118" s="14" t="s">
        <v>99</v>
      </c>
      <c r="S118" s="14" t="s">
        <v>99</v>
      </c>
      <c r="T118" s="14" t="s">
        <v>6565</v>
      </c>
      <c r="U118" s="14" t="s">
        <v>6566</v>
      </c>
      <c r="V118" s="14" t="s">
        <v>6567</v>
      </c>
      <c r="W118" s="14" t="s">
        <v>6568</v>
      </c>
      <c r="X118" s="14" t="s">
        <v>1536</v>
      </c>
      <c r="Y118" s="14" t="s">
        <v>6569</v>
      </c>
      <c r="Z118" s="14" t="s">
        <v>6570</v>
      </c>
      <c r="AA118" s="14" t="s">
        <v>99</v>
      </c>
      <c r="AB118" s="14" t="s">
        <v>6571</v>
      </c>
      <c r="AC118" s="14" t="s">
        <v>99</v>
      </c>
      <c r="AD118" s="14" t="s">
        <v>99</v>
      </c>
      <c r="AE118" s="14" t="s">
        <v>99</v>
      </c>
      <c r="AF118" s="14" t="s">
        <v>99</v>
      </c>
      <c r="AG118" s="14">
        <v>45.0</v>
      </c>
      <c r="AH118" s="14">
        <v>85.0</v>
      </c>
      <c r="AI118" s="14">
        <v>87.0</v>
      </c>
      <c r="AJ118" s="14">
        <v>1.0</v>
      </c>
      <c r="AK118" s="14">
        <v>50.0</v>
      </c>
      <c r="AL118" s="14" t="s">
        <v>762</v>
      </c>
      <c r="AM118" s="14" t="s">
        <v>763</v>
      </c>
      <c r="AN118" s="14" t="s">
        <v>764</v>
      </c>
      <c r="AO118" s="14" t="s">
        <v>765</v>
      </c>
      <c r="AP118" s="14" t="s">
        <v>99</v>
      </c>
      <c r="AQ118" s="14" t="s">
        <v>99</v>
      </c>
      <c r="AR118" s="14" t="s">
        <v>767</v>
      </c>
      <c r="AS118" s="14" t="s">
        <v>768</v>
      </c>
      <c r="AT118" s="14" t="s">
        <v>99</v>
      </c>
      <c r="AU118" s="14">
        <v>2010.0</v>
      </c>
      <c r="AV118" s="14">
        <v>413.0</v>
      </c>
      <c r="AW118" s="14" t="s">
        <v>99</v>
      </c>
      <c r="AX118" s="14" t="s">
        <v>99</v>
      </c>
      <c r="AY118" s="14" t="s">
        <v>99</v>
      </c>
      <c r="AZ118" s="14" t="s">
        <v>99</v>
      </c>
      <c r="BA118" s="14" t="s">
        <v>99</v>
      </c>
      <c r="BB118" s="14">
        <v>241.0</v>
      </c>
      <c r="BC118" s="14">
        <v>252.0</v>
      </c>
      <c r="BD118" s="14" t="s">
        <v>99</v>
      </c>
      <c r="BE118" s="14" t="s">
        <v>6572</v>
      </c>
      <c r="BF118" s="15" t="str">
        <f>HYPERLINK("http://dx.doi.org/10.3354/meps08592","http://dx.doi.org/10.3354/meps08592")</f>
        <v>http://dx.doi.org/10.3354/meps08592</v>
      </c>
      <c r="BG118" s="14" t="s">
        <v>99</v>
      </c>
      <c r="BH118" s="14" t="s">
        <v>99</v>
      </c>
      <c r="BI118" s="14">
        <v>12.0</v>
      </c>
      <c r="BJ118" s="14" t="s">
        <v>301</v>
      </c>
      <c r="BK118" s="14" t="s">
        <v>122</v>
      </c>
      <c r="BL118" s="14" t="s">
        <v>303</v>
      </c>
      <c r="BM118" s="14" t="s">
        <v>6573</v>
      </c>
      <c r="BN118" s="14" t="s">
        <v>99</v>
      </c>
      <c r="BO118" s="14" t="s">
        <v>6574</v>
      </c>
      <c r="BP118" s="14" t="s">
        <v>99</v>
      </c>
      <c r="BQ118" s="14" t="s">
        <v>99</v>
      </c>
      <c r="BR118" s="14" t="s">
        <v>124</v>
      </c>
      <c r="BS118" s="14" t="s">
        <v>6575</v>
      </c>
      <c r="BT118" s="14" t="str">
        <f>HYPERLINK("https%3A%2F%2Fwww.webofscience.com%2Fwos%2Fwoscc%2Ffull-record%2FWOS:000281566900019","View Full Record in Web of Science")</f>
        <v>View Full Record in Web of Science</v>
      </c>
    </row>
    <row r="119" ht="12.75" customHeight="1">
      <c r="A119" s="14" t="s">
        <v>97</v>
      </c>
      <c r="B119" s="14" t="s">
        <v>6576</v>
      </c>
      <c r="C119" s="14" t="s">
        <v>99</v>
      </c>
      <c r="D119" s="14" t="s">
        <v>99</v>
      </c>
      <c r="E119" s="14" t="s">
        <v>99</v>
      </c>
      <c r="F119" s="14" t="s">
        <v>6577</v>
      </c>
      <c r="G119" s="14" t="s">
        <v>99</v>
      </c>
      <c r="H119" s="14" t="s">
        <v>99</v>
      </c>
      <c r="I119" s="14" t="s">
        <v>6578</v>
      </c>
      <c r="J119" s="14" t="s">
        <v>726</v>
      </c>
      <c r="K119" s="14" t="s">
        <v>99</v>
      </c>
      <c r="L119" s="14" t="s">
        <v>99</v>
      </c>
      <c r="M119" s="14" t="s">
        <v>103</v>
      </c>
      <c r="N119" s="14" t="s">
        <v>104</v>
      </c>
      <c r="O119" s="14" t="s">
        <v>99</v>
      </c>
      <c r="P119" s="14" t="s">
        <v>99</v>
      </c>
      <c r="Q119" s="14" t="s">
        <v>99</v>
      </c>
      <c r="R119" s="14" t="s">
        <v>99</v>
      </c>
      <c r="S119" s="14" t="s">
        <v>99</v>
      </c>
      <c r="T119" s="14" t="s">
        <v>6579</v>
      </c>
      <c r="U119" s="14" t="s">
        <v>6580</v>
      </c>
      <c r="V119" s="14" t="s">
        <v>6581</v>
      </c>
      <c r="W119" s="14" t="s">
        <v>6582</v>
      </c>
      <c r="X119" s="14" t="s">
        <v>6583</v>
      </c>
      <c r="Y119" s="14" t="s">
        <v>6584</v>
      </c>
      <c r="Z119" s="14" t="s">
        <v>6585</v>
      </c>
      <c r="AA119" s="14" t="s">
        <v>6586</v>
      </c>
      <c r="AB119" s="14" t="s">
        <v>6587</v>
      </c>
      <c r="AC119" s="14" t="s">
        <v>6588</v>
      </c>
      <c r="AD119" s="14" t="s">
        <v>6588</v>
      </c>
      <c r="AE119" s="14" t="s">
        <v>6589</v>
      </c>
      <c r="AF119" s="14" t="s">
        <v>99</v>
      </c>
      <c r="AG119" s="14">
        <v>53.0</v>
      </c>
      <c r="AH119" s="14">
        <v>492.0</v>
      </c>
      <c r="AI119" s="14">
        <v>592.0</v>
      </c>
      <c r="AJ119" s="14">
        <v>9.0</v>
      </c>
      <c r="AK119" s="14">
        <v>413.0</v>
      </c>
      <c r="AL119" s="14" t="s">
        <v>6590</v>
      </c>
      <c r="AM119" s="14" t="s">
        <v>6591</v>
      </c>
      <c r="AN119" s="14" t="s">
        <v>6592</v>
      </c>
      <c r="AO119" s="14" t="s">
        <v>739</v>
      </c>
      <c r="AP119" s="14" t="s">
        <v>99</v>
      </c>
      <c r="AQ119" s="14" t="s">
        <v>99</v>
      </c>
      <c r="AR119" s="14" t="s">
        <v>741</v>
      </c>
      <c r="AS119" s="14" t="s">
        <v>742</v>
      </c>
      <c r="AT119" s="14" t="s">
        <v>935</v>
      </c>
      <c r="AU119" s="14">
        <v>2010.0</v>
      </c>
      <c r="AV119" s="14">
        <v>16.0</v>
      </c>
      <c r="AW119" s="14">
        <v>1.0</v>
      </c>
      <c r="AX119" s="14" t="s">
        <v>99</v>
      </c>
      <c r="AY119" s="14" t="s">
        <v>99</v>
      </c>
      <c r="AZ119" s="14" t="s">
        <v>99</v>
      </c>
      <c r="BA119" s="14" t="s">
        <v>99</v>
      </c>
      <c r="BB119" s="14">
        <v>95.0</v>
      </c>
      <c r="BC119" s="14">
        <v>108.0</v>
      </c>
      <c r="BD119" s="14" t="s">
        <v>99</v>
      </c>
      <c r="BE119" s="14" t="s">
        <v>6593</v>
      </c>
      <c r="BF119" s="15" t="str">
        <f>HYPERLINK("http://dx.doi.org/10.1111/j.1472-4642.2009.00633.x","http://dx.doi.org/10.1111/j.1472-4642.2009.00633.x")</f>
        <v>http://dx.doi.org/10.1111/j.1472-4642.2009.00633.x</v>
      </c>
      <c r="BG119" s="14" t="s">
        <v>99</v>
      </c>
      <c r="BH119" s="14" t="s">
        <v>99</v>
      </c>
      <c r="BI119" s="14">
        <v>14.0</v>
      </c>
      <c r="BJ119" s="14" t="s">
        <v>550</v>
      </c>
      <c r="BK119" s="14" t="s">
        <v>122</v>
      </c>
      <c r="BL119" s="14" t="s">
        <v>352</v>
      </c>
      <c r="BM119" s="14" t="s">
        <v>6594</v>
      </c>
      <c r="BN119" s="14" t="s">
        <v>99</v>
      </c>
      <c r="BO119" s="14" t="s">
        <v>238</v>
      </c>
      <c r="BP119" s="14" t="s">
        <v>99</v>
      </c>
      <c r="BQ119" s="14" t="s">
        <v>99</v>
      </c>
      <c r="BR119" s="14" t="s">
        <v>124</v>
      </c>
      <c r="BS119" s="14" t="s">
        <v>6595</v>
      </c>
      <c r="BT119" s="14" t="str">
        <f>HYPERLINK("https%3A%2F%2Fwww.webofscience.com%2Fwos%2Fwoscc%2Ffull-record%2FWOS:000273723100010","View Full Record in Web of Science")</f>
        <v>View Full Record in Web of Science</v>
      </c>
    </row>
    <row r="120" ht="12.75" customHeight="1">
      <c r="A120" s="14" t="s">
        <v>97</v>
      </c>
      <c r="B120" s="14" t="s">
        <v>6695</v>
      </c>
      <c r="C120" s="14" t="s">
        <v>99</v>
      </c>
      <c r="D120" s="14" t="s">
        <v>99</v>
      </c>
      <c r="E120" s="14" t="s">
        <v>99</v>
      </c>
      <c r="F120" s="14" t="s">
        <v>6696</v>
      </c>
      <c r="G120" s="14" t="s">
        <v>99</v>
      </c>
      <c r="H120" s="14" t="s">
        <v>99</v>
      </c>
      <c r="I120" s="14" t="s">
        <v>6697</v>
      </c>
      <c r="J120" s="14" t="s">
        <v>430</v>
      </c>
      <c r="K120" s="14" t="s">
        <v>99</v>
      </c>
      <c r="L120" s="14" t="s">
        <v>99</v>
      </c>
      <c r="M120" s="14" t="s">
        <v>103</v>
      </c>
      <c r="N120" s="14" t="s">
        <v>104</v>
      </c>
      <c r="O120" s="14" t="s">
        <v>99</v>
      </c>
      <c r="P120" s="14" t="s">
        <v>99</v>
      </c>
      <c r="Q120" s="14" t="s">
        <v>99</v>
      </c>
      <c r="R120" s="14" t="s">
        <v>99</v>
      </c>
      <c r="S120" s="14" t="s">
        <v>99</v>
      </c>
      <c r="T120" s="14" t="s">
        <v>6698</v>
      </c>
      <c r="U120" s="14" t="s">
        <v>6699</v>
      </c>
      <c r="V120" s="14" t="s">
        <v>6700</v>
      </c>
      <c r="W120" s="14" t="s">
        <v>6701</v>
      </c>
      <c r="X120" s="14" t="s">
        <v>6702</v>
      </c>
      <c r="Y120" s="14" t="s">
        <v>6703</v>
      </c>
      <c r="Z120" s="14" t="s">
        <v>6704</v>
      </c>
      <c r="AA120" s="14" t="s">
        <v>6705</v>
      </c>
      <c r="AB120" s="14" t="s">
        <v>6706</v>
      </c>
      <c r="AC120" s="14" t="s">
        <v>99</v>
      </c>
      <c r="AD120" s="14" t="s">
        <v>99</v>
      </c>
      <c r="AE120" s="14" t="s">
        <v>99</v>
      </c>
      <c r="AF120" s="14" t="s">
        <v>99</v>
      </c>
      <c r="AG120" s="14">
        <v>49.0</v>
      </c>
      <c r="AH120" s="14">
        <v>16.0</v>
      </c>
      <c r="AI120" s="14">
        <v>19.0</v>
      </c>
      <c r="AJ120" s="14">
        <v>0.0</v>
      </c>
      <c r="AK120" s="14">
        <v>27.0</v>
      </c>
      <c r="AL120" s="14" t="s">
        <v>441</v>
      </c>
      <c r="AM120" s="14" t="s">
        <v>442</v>
      </c>
      <c r="AN120" s="14" t="s">
        <v>443</v>
      </c>
      <c r="AO120" s="14" t="s">
        <v>444</v>
      </c>
      <c r="AP120" s="14" t="s">
        <v>445</v>
      </c>
      <c r="AQ120" s="14" t="s">
        <v>99</v>
      </c>
      <c r="AR120" s="14" t="s">
        <v>446</v>
      </c>
      <c r="AS120" s="14" t="s">
        <v>447</v>
      </c>
      <c r="AT120" s="14" t="s">
        <v>1160</v>
      </c>
      <c r="AU120" s="14">
        <v>2009.0</v>
      </c>
      <c r="AV120" s="14">
        <v>258.0</v>
      </c>
      <c r="AW120" s="14">
        <v>7.0</v>
      </c>
      <c r="AX120" s="14" t="s">
        <v>99</v>
      </c>
      <c r="AY120" s="14" t="s">
        <v>99</v>
      </c>
      <c r="AZ120" s="14" t="s">
        <v>99</v>
      </c>
      <c r="BA120" s="14" t="s">
        <v>99</v>
      </c>
      <c r="BB120" s="14">
        <v>1586.0</v>
      </c>
      <c r="BC120" s="14">
        <v>1593.0</v>
      </c>
      <c r="BD120" s="14" t="s">
        <v>99</v>
      </c>
      <c r="BE120" s="14" t="s">
        <v>6707</v>
      </c>
      <c r="BF120" s="15" t="str">
        <f>HYPERLINK("http://dx.doi.org/10.1016/j.foreco.2009.07.013","http://dx.doi.org/10.1016/j.foreco.2009.07.013")</f>
        <v>http://dx.doi.org/10.1016/j.foreco.2009.07.013</v>
      </c>
      <c r="BG120" s="14" t="s">
        <v>99</v>
      </c>
      <c r="BH120" s="14" t="s">
        <v>99</v>
      </c>
      <c r="BI120" s="14">
        <v>8.0</v>
      </c>
      <c r="BJ120" s="14" t="s">
        <v>281</v>
      </c>
      <c r="BK120" s="14" t="s">
        <v>122</v>
      </c>
      <c r="BL120" s="14" t="s">
        <v>281</v>
      </c>
      <c r="BM120" s="14" t="s">
        <v>6708</v>
      </c>
      <c r="BN120" s="14" t="s">
        <v>99</v>
      </c>
      <c r="BO120" s="14" t="s">
        <v>99</v>
      </c>
      <c r="BP120" s="14" t="s">
        <v>99</v>
      </c>
      <c r="BQ120" s="14" t="s">
        <v>99</v>
      </c>
      <c r="BR120" s="14" t="s">
        <v>124</v>
      </c>
      <c r="BS120" s="14" t="s">
        <v>6709</v>
      </c>
      <c r="BT120" s="14" t="str">
        <f>HYPERLINK("https%3A%2F%2Fwww.webofscience.com%2Fwos%2Fwoscc%2Ffull-record%2FWOS:000270152300065","View Full Record in Web of Science")</f>
        <v>View Full Record in Web of Science</v>
      </c>
    </row>
    <row r="121" ht="12.75" customHeight="1">
      <c r="A121" s="14" t="s">
        <v>97</v>
      </c>
      <c r="B121" s="14" t="s">
        <v>6710</v>
      </c>
      <c r="C121" s="14" t="s">
        <v>99</v>
      </c>
      <c r="D121" s="14" t="s">
        <v>99</v>
      </c>
      <c r="E121" s="14" t="s">
        <v>99</v>
      </c>
      <c r="F121" s="14" t="s">
        <v>6711</v>
      </c>
      <c r="G121" s="14" t="s">
        <v>99</v>
      </c>
      <c r="H121" s="14" t="s">
        <v>99</v>
      </c>
      <c r="I121" s="14" t="s">
        <v>6712</v>
      </c>
      <c r="J121" s="14" t="s">
        <v>6713</v>
      </c>
      <c r="K121" s="14" t="s">
        <v>99</v>
      </c>
      <c r="L121" s="14" t="s">
        <v>99</v>
      </c>
      <c r="M121" s="14" t="s">
        <v>103</v>
      </c>
      <c r="N121" s="14" t="s">
        <v>104</v>
      </c>
      <c r="O121" s="14" t="s">
        <v>99</v>
      </c>
      <c r="P121" s="14" t="s">
        <v>99</v>
      </c>
      <c r="Q121" s="14" t="s">
        <v>99</v>
      </c>
      <c r="R121" s="14" t="s">
        <v>99</v>
      </c>
      <c r="S121" s="14" t="s">
        <v>99</v>
      </c>
      <c r="T121" s="14" t="s">
        <v>6714</v>
      </c>
      <c r="U121" s="14" t="s">
        <v>6715</v>
      </c>
      <c r="V121" s="14" t="s">
        <v>6716</v>
      </c>
      <c r="W121" s="14" t="s">
        <v>6717</v>
      </c>
      <c r="X121" s="14" t="s">
        <v>6718</v>
      </c>
      <c r="Y121" s="14" t="s">
        <v>6719</v>
      </c>
      <c r="Z121" s="14" t="s">
        <v>6720</v>
      </c>
      <c r="AA121" s="14" t="s">
        <v>6721</v>
      </c>
      <c r="AB121" s="14" t="s">
        <v>6722</v>
      </c>
      <c r="AC121" s="14" t="s">
        <v>6723</v>
      </c>
      <c r="AD121" s="14" t="s">
        <v>6723</v>
      </c>
      <c r="AE121" s="14" t="s">
        <v>6724</v>
      </c>
      <c r="AF121" s="14" t="s">
        <v>99</v>
      </c>
      <c r="AG121" s="14">
        <v>67.0</v>
      </c>
      <c r="AH121" s="14">
        <v>45.0</v>
      </c>
      <c r="AI121" s="14">
        <v>49.0</v>
      </c>
      <c r="AJ121" s="14">
        <v>0.0</v>
      </c>
      <c r="AK121" s="14">
        <v>33.0</v>
      </c>
      <c r="AL121" s="14" t="s">
        <v>341</v>
      </c>
      <c r="AM121" s="14" t="s">
        <v>342</v>
      </c>
      <c r="AN121" s="14" t="s">
        <v>343</v>
      </c>
      <c r="AO121" s="14" t="s">
        <v>6725</v>
      </c>
      <c r="AP121" s="14" t="s">
        <v>6726</v>
      </c>
      <c r="AQ121" s="14" t="s">
        <v>99</v>
      </c>
      <c r="AR121" s="14" t="s">
        <v>6727</v>
      </c>
      <c r="AS121" s="14" t="s">
        <v>6728</v>
      </c>
      <c r="AT121" s="14" t="s">
        <v>421</v>
      </c>
      <c r="AU121" s="14">
        <v>2009.0</v>
      </c>
      <c r="AV121" s="14">
        <v>34.0</v>
      </c>
      <c r="AW121" s="14">
        <v>6.0</v>
      </c>
      <c r="AX121" s="14" t="s">
        <v>99</v>
      </c>
      <c r="AY121" s="14" t="s">
        <v>99</v>
      </c>
      <c r="AZ121" s="14" t="s">
        <v>99</v>
      </c>
      <c r="BA121" s="14" t="s">
        <v>99</v>
      </c>
      <c r="BB121" s="14">
        <v>705.0</v>
      </c>
      <c r="BC121" s="14">
        <v>716.0</v>
      </c>
      <c r="BD121" s="14" t="s">
        <v>99</v>
      </c>
      <c r="BE121" s="14" t="s">
        <v>6729</v>
      </c>
      <c r="BF121" s="15" t="str">
        <f>HYPERLINK("http://dx.doi.org/10.1111/j.1442-9993.2009.01979.x","http://dx.doi.org/10.1111/j.1442-9993.2009.01979.x")</f>
        <v>http://dx.doi.org/10.1111/j.1442-9993.2009.01979.x</v>
      </c>
      <c r="BG121" s="14" t="s">
        <v>99</v>
      </c>
      <c r="BH121" s="14" t="s">
        <v>99</v>
      </c>
      <c r="BI121" s="14">
        <v>12.0</v>
      </c>
      <c r="BJ121" s="14" t="s">
        <v>259</v>
      </c>
      <c r="BK121" s="14" t="s">
        <v>122</v>
      </c>
      <c r="BL121" s="14" t="s">
        <v>260</v>
      </c>
      <c r="BM121" s="14" t="s">
        <v>6730</v>
      </c>
      <c r="BN121" s="14" t="s">
        <v>99</v>
      </c>
      <c r="BO121" s="14" t="s">
        <v>99</v>
      </c>
      <c r="BP121" s="14" t="s">
        <v>99</v>
      </c>
      <c r="BQ121" s="14" t="s">
        <v>99</v>
      </c>
      <c r="BR121" s="14" t="s">
        <v>124</v>
      </c>
      <c r="BS121" s="14" t="s">
        <v>6731</v>
      </c>
      <c r="BT121" s="14" t="str">
        <f>HYPERLINK("https%3A%2F%2Fwww.webofscience.com%2Fwos%2Fwoscc%2Ffull-record%2FWOS:000269675600012","View Full Record in Web of Science")</f>
        <v>View Full Record in Web of Science</v>
      </c>
    </row>
    <row r="122" ht="12.75" customHeight="1">
      <c r="A122" s="14" t="s">
        <v>97</v>
      </c>
      <c r="B122" s="14" t="s">
        <v>7117</v>
      </c>
      <c r="C122" s="14" t="s">
        <v>99</v>
      </c>
      <c r="D122" s="14" t="s">
        <v>99</v>
      </c>
      <c r="E122" s="14" t="s">
        <v>99</v>
      </c>
      <c r="F122" s="14" t="s">
        <v>7118</v>
      </c>
      <c r="G122" s="14" t="s">
        <v>99</v>
      </c>
      <c r="H122" s="14" t="s">
        <v>99</v>
      </c>
      <c r="I122" s="14" t="s">
        <v>7119</v>
      </c>
      <c r="J122" s="14" t="s">
        <v>404</v>
      </c>
      <c r="K122" s="14" t="s">
        <v>99</v>
      </c>
      <c r="L122" s="14" t="s">
        <v>99</v>
      </c>
      <c r="M122" s="14" t="s">
        <v>103</v>
      </c>
      <c r="N122" s="14" t="s">
        <v>104</v>
      </c>
      <c r="O122" s="14" t="s">
        <v>99</v>
      </c>
      <c r="P122" s="14" t="s">
        <v>99</v>
      </c>
      <c r="Q122" s="14" t="s">
        <v>99</v>
      </c>
      <c r="R122" s="14" t="s">
        <v>99</v>
      </c>
      <c r="S122" s="14" t="s">
        <v>99</v>
      </c>
      <c r="T122" s="14" t="s">
        <v>7120</v>
      </c>
      <c r="U122" s="14" t="s">
        <v>7121</v>
      </c>
      <c r="V122" s="14" t="s">
        <v>7122</v>
      </c>
      <c r="W122" s="14" t="s">
        <v>7123</v>
      </c>
      <c r="X122" s="14" t="s">
        <v>7124</v>
      </c>
      <c r="Y122" s="14" t="s">
        <v>7125</v>
      </c>
      <c r="Z122" s="14" t="s">
        <v>7126</v>
      </c>
      <c r="AA122" s="14" t="s">
        <v>99</v>
      </c>
      <c r="AB122" s="14" t="s">
        <v>99</v>
      </c>
      <c r="AC122" s="14" t="s">
        <v>7127</v>
      </c>
      <c r="AD122" s="14" t="s">
        <v>7128</v>
      </c>
      <c r="AE122" s="14" t="s">
        <v>7129</v>
      </c>
      <c r="AF122" s="14" t="s">
        <v>99</v>
      </c>
      <c r="AG122" s="14">
        <v>82.0</v>
      </c>
      <c r="AH122" s="14">
        <v>24.0</v>
      </c>
      <c r="AI122" s="14">
        <v>26.0</v>
      </c>
      <c r="AJ122" s="14">
        <v>0.0</v>
      </c>
      <c r="AK122" s="14">
        <v>25.0</v>
      </c>
      <c r="AL122" s="14" t="s">
        <v>341</v>
      </c>
      <c r="AM122" s="14" t="s">
        <v>342</v>
      </c>
      <c r="AN122" s="14" t="s">
        <v>343</v>
      </c>
      <c r="AO122" s="14" t="s">
        <v>417</v>
      </c>
      <c r="AP122" s="14" t="s">
        <v>418</v>
      </c>
      <c r="AQ122" s="14" t="s">
        <v>99</v>
      </c>
      <c r="AR122" s="14" t="s">
        <v>419</v>
      </c>
      <c r="AS122" s="14" t="s">
        <v>420</v>
      </c>
      <c r="AT122" s="14" t="s">
        <v>1058</v>
      </c>
      <c r="AU122" s="14">
        <v>2008.0</v>
      </c>
      <c r="AV122" s="14">
        <v>18.0</v>
      </c>
      <c r="AW122" s="14">
        <v>8.0</v>
      </c>
      <c r="AX122" s="14" t="s">
        <v>99</v>
      </c>
      <c r="AY122" s="14" t="s">
        <v>99</v>
      </c>
      <c r="AZ122" s="14" t="s">
        <v>99</v>
      </c>
      <c r="BA122" s="14" t="s">
        <v>99</v>
      </c>
      <c r="BB122" s="14">
        <v>1932.0</v>
      </c>
      <c r="BC122" s="14">
        <v>1955.0</v>
      </c>
      <c r="BD122" s="14" t="s">
        <v>99</v>
      </c>
      <c r="BE122" s="14" t="s">
        <v>7130</v>
      </c>
      <c r="BF122" s="15" t="str">
        <f>HYPERLINK("http://dx.doi.org/10.1890/07-1254.1","http://dx.doi.org/10.1890/07-1254.1")</f>
        <v>http://dx.doi.org/10.1890/07-1254.1</v>
      </c>
      <c r="BG122" s="14" t="s">
        <v>99</v>
      </c>
      <c r="BH122" s="14" t="s">
        <v>99</v>
      </c>
      <c r="BI122" s="14">
        <v>24.0</v>
      </c>
      <c r="BJ122" s="14" t="s">
        <v>423</v>
      </c>
      <c r="BK122" s="14" t="s">
        <v>122</v>
      </c>
      <c r="BL122" s="14" t="s">
        <v>260</v>
      </c>
      <c r="BM122" s="14" t="s">
        <v>7131</v>
      </c>
      <c r="BN122" s="14">
        <v>1.9263889E7</v>
      </c>
      <c r="BO122" s="14" t="s">
        <v>99</v>
      </c>
      <c r="BP122" s="14" t="s">
        <v>99</v>
      </c>
      <c r="BQ122" s="14" t="s">
        <v>99</v>
      </c>
      <c r="BR122" s="14" t="s">
        <v>124</v>
      </c>
      <c r="BS122" s="14" t="s">
        <v>7132</v>
      </c>
      <c r="BT122" s="14" t="str">
        <f>HYPERLINK("https%3A%2F%2Fwww.webofscience.com%2Fwos%2Fwoscc%2Ffull-record%2FWOS:000262605500010","View Full Record in Web of Science")</f>
        <v>View Full Record in Web of Science</v>
      </c>
    </row>
    <row r="123" ht="12.75" customHeight="1">
      <c r="A123" s="14" t="s">
        <v>97</v>
      </c>
      <c r="B123" s="14" t="s">
        <v>7279</v>
      </c>
      <c r="C123" s="14" t="s">
        <v>99</v>
      </c>
      <c r="D123" s="14" t="s">
        <v>99</v>
      </c>
      <c r="E123" s="14" t="s">
        <v>99</v>
      </c>
      <c r="F123" s="14" t="s">
        <v>7280</v>
      </c>
      <c r="G123" s="14" t="s">
        <v>99</v>
      </c>
      <c r="H123" s="14" t="s">
        <v>99</v>
      </c>
      <c r="I123" s="14" t="s">
        <v>7281</v>
      </c>
      <c r="J123" s="14" t="s">
        <v>5088</v>
      </c>
      <c r="K123" s="14" t="s">
        <v>99</v>
      </c>
      <c r="L123" s="14" t="s">
        <v>99</v>
      </c>
      <c r="M123" s="14" t="s">
        <v>103</v>
      </c>
      <c r="N123" s="14" t="s">
        <v>104</v>
      </c>
      <c r="O123" s="14" t="s">
        <v>99</v>
      </c>
      <c r="P123" s="14" t="s">
        <v>99</v>
      </c>
      <c r="Q123" s="14" t="s">
        <v>99</v>
      </c>
      <c r="R123" s="14" t="s">
        <v>99</v>
      </c>
      <c r="S123" s="14" t="s">
        <v>99</v>
      </c>
      <c r="T123" s="14" t="s">
        <v>99</v>
      </c>
      <c r="U123" s="14" t="s">
        <v>7282</v>
      </c>
      <c r="V123" s="14" t="s">
        <v>7283</v>
      </c>
      <c r="W123" s="14" t="s">
        <v>7284</v>
      </c>
      <c r="X123" s="14" t="s">
        <v>7285</v>
      </c>
      <c r="Y123" s="14" t="s">
        <v>7286</v>
      </c>
      <c r="Z123" s="14" t="s">
        <v>7287</v>
      </c>
      <c r="AA123" s="14" t="s">
        <v>7288</v>
      </c>
      <c r="AB123" s="14" t="s">
        <v>7289</v>
      </c>
      <c r="AC123" s="14" t="s">
        <v>7290</v>
      </c>
      <c r="AD123" s="14" t="s">
        <v>7291</v>
      </c>
      <c r="AE123" s="14" t="s">
        <v>7292</v>
      </c>
      <c r="AF123" s="14" t="s">
        <v>99</v>
      </c>
      <c r="AG123" s="14">
        <v>82.0</v>
      </c>
      <c r="AH123" s="14">
        <v>363.0</v>
      </c>
      <c r="AI123" s="14">
        <v>447.0</v>
      </c>
      <c r="AJ123" s="14">
        <v>7.0</v>
      </c>
      <c r="AK123" s="14">
        <v>289.0</v>
      </c>
      <c r="AL123" s="14" t="s">
        <v>1593</v>
      </c>
      <c r="AM123" s="14" t="s">
        <v>1594</v>
      </c>
      <c r="AN123" s="14" t="s">
        <v>1595</v>
      </c>
      <c r="AO123" s="14" t="s">
        <v>5097</v>
      </c>
      <c r="AP123" s="14" t="s">
        <v>5098</v>
      </c>
      <c r="AQ123" s="14" t="s">
        <v>99</v>
      </c>
      <c r="AR123" s="14" t="s">
        <v>5099</v>
      </c>
      <c r="AS123" s="14" t="s">
        <v>5100</v>
      </c>
      <c r="AT123" s="14" t="s">
        <v>421</v>
      </c>
      <c r="AU123" s="14">
        <v>2008.0</v>
      </c>
      <c r="AV123" s="14">
        <v>18.0</v>
      </c>
      <c r="AW123" s="14" t="s">
        <v>99</v>
      </c>
      <c r="AX123" s="14" t="s">
        <v>99</v>
      </c>
      <c r="AY123" s="14">
        <v>1.0</v>
      </c>
      <c r="AZ123" s="14" t="s">
        <v>99</v>
      </c>
      <c r="BA123" s="14" t="s">
        <v>99</v>
      </c>
      <c r="BB123" s="14" t="s">
        <v>7293</v>
      </c>
      <c r="BC123" s="14" t="s">
        <v>7294</v>
      </c>
      <c r="BD123" s="14" t="s">
        <v>99</v>
      </c>
      <c r="BE123" s="14" t="s">
        <v>7295</v>
      </c>
      <c r="BF123" s="15" t="str">
        <f>HYPERLINK("http://dx.doi.org/10.1017/S0959270908000439","http://dx.doi.org/10.1017/S0959270908000439")</f>
        <v>http://dx.doi.org/10.1017/S0959270908000439</v>
      </c>
      <c r="BG123" s="14" t="s">
        <v>99</v>
      </c>
      <c r="BH123" s="14" t="s">
        <v>99</v>
      </c>
      <c r="BI123" s="14">
        <v>25.0</v>
      </c>
      <c r="BJ123" s="14" t="s">
        <v>5102</v>
      </c>
      <c r="BK123" s="14" t="s">
        <v>122</v>
      </c>
      <c r="BL123" s="14" t="s">
        <v>5103</v>
      </c>
      <c r="BM123" s="14" t="s">
        <v>7296</v>
      </c>
      <c r="BN123" s="14" t="s">
        <v>99</v>
      </c>
      <c r="BO123" s="14" t="s">
        <v>238</v>
      </c>
      <c r="BP123" s="14" t="s">
        <v>99</v>
      </c>
      <c r="BQ123" s="14" t="s">
        <v>99</v>
      </c>
      <c r="BR123" s="14" t="s">
        <v>124</v>
      </c>
      <c r="BS123" s="14" t="s">
        <v>7297</v>
      </c>
      <c r="BT123" s="14" t="str">
        <f>HYPERLINK("https%3A%2F%2Fwww.webofscience.com%2Fwos%2Fwoscc%2Ffull-record%2FWOS:000259453100005","View Full Record in Web of Science")</f>
        <v>View Full Record in Web of Science</v>
      </c>
    </row>
    <row r="124" ht="12.75" customHeight="1">
      <c r="A124" s="14" t="s">
        <v>97</v>
      </c>
      <c r="B124" s="14" t="s">
        <v>7298</v>
      </c>
      <c r="C124" s="14" t="s">
        <v>99</v>
      </c>
      <c r="D124" s="14" t="s">
        <v>99</v>
      </c>
      <c r="E124" s="14" t="s">
        <v>99</v>
      </c>
      <c r="F124" s="14" t="s">
        <v>7299</v>
      </c>
      <c r="G124" s="14" t="s">
        <v>99</v>
      </c>
      <c r="H124" s="14" t="s">
        <v>99</v>
      </c>
      <c r="I124" s="14" t="s">
        <v>7300</v>
      </c>
      <c r="J124" s="14" t="s">
        <v>2500</v>
      </c>
      <c r="K124" s="14" t="s">
        <v>99</v>
      </c>
      <c r="L124" s="14" t="s">
        <v>99</v>
      </c>
      <c r="M124" s="14" t="s">
        <v>103</v>
      </c>
      <c r="N124" s="14" t="s">
        <v>104</v>
      </c>
      <c r="O124" s="14" t="s">
        <v>99</v>
      </c>
      <c r="P124" s="14" t="s">
        <v>99</v>
      </c>
      <c r="Q124" s="14" t="s">
        <v>99</v>
      </c>
      <c r="R124" s="14" t="s">
        <v>99</v>
      </c>
      <c r="S124" s="14" t="s">
        <v>99</v>
      </c>
      <c r="T124" s="14" t="s">
        <v>99</v>
      </c>
      <c r="U124" s="14" t="s">
        <v>7301</v>
      </c>
      <c r="V124" s="14" t="s">
        <v>7302</v>
      </c>
      <c r="W124" s="14" t="s">
        <v>7303</v>
      </c>
      <c r="X124" s="14" t="s">
        <v>7304</v>
      </c>
      <c r="Y124" s="14" t="s">
        <v>7305</v>
      </c>
      <c r="Z124" s="14" t="s">
        <v>7306</v>
      </c>
      <c r="AA124" s="14" t="s">
        <v>7307</v>
      </c>
      <c r="AB124" s="14" t="s">
        <v>7308</v>
      </c>
      <c r="AC124" s="14" t="s">
        <v>7309</v>
      </c>
      <c r="AD124" s="14" t="s">
        <v>7310</v>
      </c>
      <c r="AE124" s="14" t="s">
        <v>7311</v>
      </c>
      <c r="AF124" s="14" t="s">
        <v>99</v>
      </c>
      <c r="AG124" s="14">
        <v>52.0</v>
      </c>
      <c r="AH124" s="14">
        <v>218.0</v>
      </c>
      <c r="AI124" s="14">
        <v>241.0</v>
      </c>
      <c r="AJ124" s="14">
        <v>0.0</v>
      </c>
      <c r="AK124" s="14">
        <v>194.0</v>
      </c>
      <c r="AL124" s="14" t="s">
        <v>2512</v>
      </c>
      <c r="AM124" s="14" t="s">
        <v>2513</v>
      </c>
      <c r="AN124" s="14" t="s">
        <v>2514</v>
      </c>
      <c r="AO124" s="14" t="s">
        <v>2515</v>
      </c>
      <c r="AP124" s="14" t="s">
        <v>99</v>
      </c>
      <c r="AQ124" s="14" t="s">
        <v>99</v>
      </c>
      <c r="AR124" s="14" t="s">
        <v>2500</v>
      </c>
      <c r="AS124" s="14" t="s">
        <v>2516</v>
      </c>
      <c r="AT124" s="14" t="s">
        <v>7312</v>
      </c>
      <c r="AU124" s="14">
        <v>2008.0</v>
      </c>
      <c r="AV124" s="14">
        <v>3.0</v>
      </c>
      <c r="AW124" s="14">
        <v>8.0</v>
      </c>
      <c r="AX124" s="14" t="s">
        <v>99</v>
      </c>
      <c r="AY124" s="14" t="s">
        <v>99</v>
      </c>
      <c r="AZ124" s="14" t="s">
        <v>99</v>
      </c>
      <c r="BA124" s="14" t="s">
        <v>99</v>
      </c>
      <c r="BB124" s="14" t="s">
        <v>99</v>
      </c>
      <c r="BC124" s="14" t="s">
        <v>99</v>
      </c>
      <c r="BD124" s="14" t="s">
        <v>7313</v>
      </c>
      <c r="BE124" s="14" t="s">
        <v>7314</v>
      </c>
      <c r="BF124" s="15" t="str">
        <f>HYPERLINK("http://dx.doi.org/10.1371/journal.pone.0003039","http://dx.doi.org/10.1371/journal.pone.0003039")</f>
        <v>http://dx.doi.org/10.1371/journal.pone.0003039</v>
      </c>
      <c r="BG124" s="14" t="s">
        <v>99</v>
      </c>
      <c r="BH124" s="14" t="s">
        <v>99</v>
      </c>
      <c r="BI124" s="14">
        <v>9.0</v>
      </c>
      <c r="BJ124" s="14" t="s">
        <v>799</v>
      </c>
      <c r="BK124" s="14" t="s">
        <v>122</v>
      </c>
      <c r="BL124" s="14" t="s">
        <v>801</v>
      </c>
      <c r="BM124" s="14" t="s">
        <v>7315</v>
      </c>
      <c r="BN124" s="14">
        <v>1.8728776E7</v>
      </c>
      <c r="BO124" s="14" t="s">
        <v>1251</v>
      </c>
      <c r="BP124" s="14" t="s">
        <v>99</v>
      </c>
      <c r="BQ124" s="14" t="s">
        <v>99</v>
      </c>
      <c r="BR124" s="14" t="s">
        <v>124</v>
      </c>
      <c r="BS124" s="14" t="s">
        <v>7316</v>
      </c>
      <c r="BT124" s="14" t="str">
        <f>HYPERLINK("https%3A%2F%2Fwww.webofscience.com%2Fwos%2Fwoscc%2Ffull-record%2FWOS:000264796400003","View Full Record in Web of Science")</f>
        <v>View Full Record in Web of Science</v>
      </c>
    </row>
    <row r="125" ht="12.75" customHeight="1">
      <c r="A125" s="14" t="s">
        <v>97</v>
      </c>
      <c r="B125" s="14" t="s">
        <v>7372</v>
      </c>
      <c r="C125" s="14" t="s">
        <v>99</v>
      </c>
      <c r="D125" s="14" t="s">
        <v>99</v>
      </c>
      <c r="E125" s="14" t="s">
        <v>99</v>
      </c>
      <c r="F125" s="14" t="s">
        <v>7373</v>
      </c>
      <c r="G125" s="14" t="s">
        <v>99</v>
      </c>
      <c r="H125" s="14" t="s">
        <v>99</v>
      </c>
      <c r="I125" s="14" t="s">
        <v>7374</v>
      </c>
      <c r="J125" s="14" t="s">
        <v>1102</v>
      </c>
      <c r="K125" s="14" t="s">
        <v>99</v>
      </c>
      <c r="L125" s="14" t="s">
        <v>99</v>
      </c>
      <c r="M125" s="14" t="s">
        <v>103</v>
      </c>
      <c r="N125" s="14" t="s">
        <v>104</v>
      </c>
      <c r="O125" s="14" t="s">
        <v>99</v>
      </c>
      <c r="P125" s="14" t="s">
        <v>99</v>
      </c>
      <c r="Q125" s="14" t="s">
        <v>99</v>
      </c>
      <c r="R125" s="14" t="s">
        <v>99</v>
      </c>
      <c r="S125" s="14" t="s">
        <v>99</v>
      </c>
      <c r="T125" s="14" t="s">
        <v>7375</v>
      </c>
      <c r="U125" s="14" t="s">
        <v>7376</v>
      </c>
      <c r="V125" s="14" t="s">
        <v>7377</v>
      </c>
      <c r="W125" s="14" t="s">
        <v>7378</v>
      </c>
      <c r="X125" s="14" t="s">
        <v>7379</v>
      </c>
      <c r="Y125" s="14" t="s">
        <v>7380</v>
      </c>
      <c r="Z125" s="14" t="s">
        <v>7381</v>
      </c>
      <c r="AA125" s="14" t="s">
        <v>7382</v>
      </c>
      <c r="AB125" s="14" t="s">
        <v>7383</v>
      </c>
      <c r="AC125" s="14" t="s">
        <v>7384</v>
      </c>
      <c r="AD125" s="14" t="s">
        <v>7385</v>
      </c>
      <c r="AE125" s="14" t="s">
        <v>99</v>
      </c>
      <c r="AF125" s="14" t="s">
        <v>99</v>
      </c>
      <c r="AG125" s="14">
        <v>74.0</v>
      </c>
      <c r="AH125" s="14">
        <v>413.0</v>
      </c>
      <c r="AI125" s="14">
        <v>475.0</v>
      </c>
      <c r="AJ125" s="14">
        <v>7.0</v>
      </c>
      <c r="AK125" s="14">
        <v>285.0</v>
      </c>
      <c r="AL125" s="14" t="s">
        <v>493</v>
      </c>
      <c r="AM125" s="14" t="s">
        <v>468</v>
      </c>
      <c r="AN125" s="14" t="s">
        <v>635</v>
      </c>
      <c r="AO125" s="14" t="s">
        <v>1112</v>
      </c>
      <c r="AP125" s="14" t="s">
        <v>1113</v>
      </c>
      <c r="AQ125" s="14" t="s">
        <v>99</v>
      </c>
      <c r="AR125" s="14" t="s">
        <v>1114</v>
      </c>
      <c r="AS125" s="14" t="s">
        <v>1115</v>
      </c>
      <c r="AT125" s="14" t="s">
        <v>525</v>
      </c>
      <c r="AU125" s="14">
        <v>2008.0</v>
      </c>
      <c r="AV125" s="14">
        <v>141.0</v>
      </c>
      <c r="AW125" s="14">
        <v>7.0</v>
      </c>
      <c r="AX125" s="14" t="s">
        <v>99</v>
      </c>
      <c r="AY125" s="14" t="s">
        <v>99</v>
      </c>
      <c r="AZ125" s="14" t="s">
        <v>99</v>
      </c>
      <c r="BA125" s="14" t="s">
        <v>99</v>
      </c>
      <c r="BB125" s="14">
        <v>1745.0</v>
      </c>
      <c r="BC125" s="14">
        <v>1757.0</v>
      </c>
      <c r="BD125" s="14" t="s">
        <v>99</v>
      </c>
      <c r="BE125" s="14" t="s">
        <v>7386</v>
      </c>
      <c r="BF125" s="15" t="str">
        <f>HYPERLINK("http://dx.doi.org/10.1016/j.biocon.2008.04.024","http://dx.doi.org/10.1016/j.biocon.2008.04.024")</f>
        <v>http://dx.doi.org/10.1016/j.biocon.2008.04.024</v>
      </c>
      <c r="BG125" s="14" t="s">
        <v>99</v>
      </c>
      <c r="BH125" s="14" t="s">
        <v>99</v>
      </c>
      <c r="BI125" s="14">
        <v>13.0</v>
      </c>
      <c r="BJ125" s="14" t="s">
        <v>351</v>
      </c>
      <c r="BK125" s="14" t="s">
        <v>122</v>
      </c>
      <c r="BL125" s="14" t="s">
        <v>352</v>
      </c>
      <c r="BM125" s="14" t="s">
        <v>7387</v>
      </c>
      <c r="BN125" s="14" t="s">
        <v>99</v>
      </c>
      <c r="BO125" s="14" t="s">
        <v>99</v>
      </c>
      <c r="BP125" s="14" t="s">
        <v>99</v>
      </c>
      <c r="BQ125" s="14" t="s">
        <v>99</v>
      </c>
      <c r="BR125" s="14" t="s">
        <v>124</v>
      </c>
      <c r="BS125" s="14" t="s">
        <v>7388</v>
      </c>
      <c r="BT125" s="14" t="str">
        <f>HYPERLINK("https%3A%2F%2Fwww.webofscience.com%2Fwos%2Fwoscc%2Ffull-record%2FWOS:000258306300002","View Full Record in Web of Science")</f>
        <v>View Full Record in Web of Science</v>
      </c>
    </row>
    <row r="126" ht="12.75" customHeight="1">
      <c r="A126" s="14" t="s">
        <v>97</v>
      </c>
      <c r="B126" s="14" t="s">
        <v>7677</v>
      </c>
      <c r="C126" s="14" t="s">
        <v>99</v>
      </c>
      <c r="D126" s="14" t="s">
        <v>99</v>
      </c>
      <c r="E126" s="14" t="s">
        <v>99</v>
      </c>
      <c r="F126" s="14" t="s">
        <v>7678</v>
      </c>
      <c r="G126" s="14" t="s">
        <v>99</v>
      </c>
      <c r="H126" s="14" t="s">
        <v>99</v>
      </c>
      <c r="I126" s="14" t="s">
        <v>7679</v>
      </c>
      <c r="J126" s="14" t="s">
        <v>7680</v>
      </c>
      <c r="K126" s="14" t="s">
        <v>99</v>
      </c>
      <c r="L126" s="14" t="s">
        <v>99</v>
      </c>
      <c r="M126" s="14" t="s">
        <v>103</v>
      </c>
      <c r="N126" s="14" t="s">
        <v>104</v>
      </c>
      <c r="O126" s="14" t="s">
        <v>99</v>
      </c>
      <c r="P126" s="14" t="s">
        <v>99</v>
      </c>
      <c r="Q126" s="14" t="s">
        <v>99</v>
      </c>
      <c r="R126" s="14" t="s">
        <v>99</v>
      </c>
      <c r="S126" s="14" t="s">
        <v>99</v>
      </c>
      <c r="T126" s="14" t="s">
        <v>7681</v>
      </c>
      <c r="U126" s="14" t="s">
        <v>7682</v>
      </c>
      <c r="V126" s="14" t="s">
        <v>7683</v>
      </c>
      <c r="W126" s="14" t="s">
        <v>7684</v>
      </c>
      <c r="X126" s="14" t="s">
        <v>7685</v>
      </c>
      <c r="Y126" s="14" t="s">
        <v>7686</v>
      </c>
      <c r="Z126" s="14" t="s">
        <v>7687</v>
      </c>
      <c r="AA126" s="14" t="s">
        <v>99</v>
      </c>
      <c r="AB126" s="14" t="s">
        <v>7688</v>
      </c>
      <c r="AC126" s="14" t="s">
        <v>99</v>
      </c>
      <c r="AD126" s="14" t="s">
        <v>99</v>
      </c>
      <c r="AE126" s="14" t="s">
        <v>99</v>
      </c>
      <c r="AF126" s="14" t="s">
        <v>99</v>
      </c>
      <c r="AG126" s="14">
        <v>37.0</v>
      </c>
      <c r="AH126" s="14">
        <v>391.0</v>
      </c>
      <c r="AI126" s="14">
        <v>461.0</v>
      </c>
      <c r="AJ126" s="14">
        <v>5.0</v>
      </c>
      <c r="AK126" s="14">
        <v>223.0</v>
      </c>
      <c r="AL126" s="14" t="s">
        <v>1731</v>
      </c>
      <c r="AM126" s="14" t="s">
        <v>1732</v>
      </c>
      <c r="AN126" s="14" t="s">
        <v>1733</v>
      </c>
      <c r="AO126" s="14" t="s">
        <v>7689</v>
      </c>
      <c r="AP126" s="14" t="s">
        <v>7690</v>
      </c>
      <c r="AQ126" s="14" t="s">
        <v>99</v>
      </c>
      <c r="AR126" s="14" t="s">
        <v>7691</v>
      </c>
      <c r="AS126" s="14" t="s">
        <v>7692</v>
      </c>
      <c r="AT126" s="14" t="s">
        <v>718</v>
      </c>
      <c r="AU126" s="14">
        <v>2008.0</v>
      </c>
      <c r="AV126" s="14">
        <v>10.0</v>
      </c>
      <c r="AW126" s="14">
        <v>4.0</v>
      </c>
      <c r="AX126" s="14" t="s">
        <v>99</v>
      </c>
      <c r="AY126" s="14" t="s">
        <v>99</v>
      </c>
      <c r="AZ126" s="14" t="s">
        <v>99</v>
      </c>
      <c r="BA126" s="14" t="s">
        <v>99</v>
      </c>
      <c r="BB126" s="14">
        <v>391.0</v>
      </c>
      <c r="BC126" s="14">
        <v>398.0</v>
      </c>
      <c r="BD126" s="14" t="s">
        <v>99</v>
      </c>
      <c r="BE126" s="14" t="s">
        <v>7693</v>
      </c>
      <c r="BF126" s="15" t="str">
        <f>HYPERLINK("http://dx.doi.org/10.1007/s10530-007-9138-5","http://dx.doi.org/10.1007/s10530-007-9138-5")</f>
        <v>http://dx.doi.org/10.1007/s10530-007-9138-5</v>
      </c>
      <c r="BG126" s="14" t="s">
        <v>99</v>
      </c>
      <c r="BH126" s="14" t="s">
        <v>99</v>
      </c>
      <c r="BI126" s="14">
        <v>8.0</v>
      </c>
      <c r="BJ126" s="14" t="s">
        <v>550</v>
      </c>
      <c r="BK126" s="14" t="s">
        <v>800</v>
      </c>
      <c r="BL126" s="14" t="s">
        <v>352</v>
      </c>
      <c r="BM126" s="14" t="s">
        <v>7694</v>
      </c>
      <c r="BN126" s="14" t="s">
        <v>99</v>
      </c>
      <c r="BO126" s="14" t="s">
        <v>99</v>
      </c>
      <c r="BP126" s="14" t="s">
        <v>99</v>
      </c>
      <c r="BQ126" s="14" t="s">
        <v>99</v>
      </c>
      <c r="BR126" s="14" t="s">
        <v>124</v>
      </c>
      <c r="BS126" s="14" t="s">
        <v>7695</v>
      </c>
      <c r="BT126" s="14" t="str">
        <f>HYPERLINK("https%3A%2F%2Fwww.webofscience.com%2Fwos%2Fwoscc%2Ffull-record%2FWOS:000254086900002","View Full Record in Web of Science")</f>
        <v>View Full Record in Web of Science</v>
      </c>
    </row>
    <row r="127" ht="12.75" customHeight="1">
      <c r="A127" s="14" t="s">
        <v>959</v>
      </c>
      <c r="B127" s="14" t="s">
        <v>7812</v>
      </c>
      <c r="C127" s="14" t="s">
        <v>99</v>
      </c>
      <c r="D127" s="14" t="s">
        <v>7813</v>
      </c>
      <c r="E127" s="14" t="s">
        <v>99</v>
      </c>
      <c r="F127" s="14" t="s">
        <v>7814</v>
      </c>
      <c r="G127" s="14" t="s">
        <v>99</v>
      </c>
      <c r="H127" s="14" t="s">
        <v>99</v>
      </c>
      <c r="I127" s="14" t="s">
        <v>7815</v>
      </c>
      <c r="J127" s="14" t="s">
        <v>7816</v>
      </c>
      <c r="K127" s="14" t="s">
        <v>7817</v>
      </c>
      <c r="L127" s="14" t="s">
        <v>99</v>
      </c>
      <c r="M127" s="14" t="s">
        <v>103</v>
      </c>
      <c r="N127" s="14" t="s">
        <v>291</v>
      </c>
      <c r="O127" s="14" t="s">
        <v>99</v>
      </c>
      <c r="P127" s="14" t="s">
        <v>99</v>
      </c>
      <c r="Q127" s="14" t="s">
        <v>99</v>
      </c>
      <c r="R127" s="14" t="s">
        <v>99</v>
      </c>
      <c r="S127" s="14" t="s">
        <v>99</v>
      </c>
      <c r="T127" s="14" t="s">
        <v>99</v>
      </c>
      <c r="U127" s="14" t="s">
        <v>7818</v>
      </c>
      <c r="V127" s="14" t="s">
        <v>7819</v>
      </c>
      <c r="W127" s="14" t="s">
        <v>7820</v>
      </c>
      <c r="X127" s="14" t="s">
        <v>7821</v>
      </c>
      <c r="Y127" s="14" t="s">
        <v>7822</v>
      </c>
      <c r="Z127" s="14" t="s">
        <v>99</v>
      </c>
      <c r="AA127" s="14" t="s">
        <v>7823</v>
      </c>
      <c r="AB127" s="14" t="s">
        <v>7824</v>
      </c>
      <c r="AC127" s="14" t="s">
        <v>99</v>
      </c>
      <c r="AD127" s="14" t="s">
        <v>99</v>
      </c>
      <c r="AE127" s="14" t="s">
        <v>99</v>
      </c>
      <c r="AF127" s="14" t="s">
        <v>99</v>
      </c>
      <c r="AG127" s="14">
        <v>169.0</v>
      </c>
      <c r="AH127" s="14">
        <v>165.0</v>
      </c>
      <c r="AI127" s="14">
        <v>207.0</v>
      </c>
      <c r="AJ127" s="14">
        <v>2.0</v>
      </c>
      <c r="AK127" s="14">
        <v>21.0</v>
      </c>
      <c r="AL127" s="14" t="s">
        <v>7825</v>
      </c>
      <c r="AM127" s="14" t="s">
        <v>2235</v>
      </c>
      <c r="AN127" s="14" t="s">
        <v>7826</v>
      </c>
      <c r="AO127" s="14" t="s">
        <v>7827</v>
      </c>
      <c r="AP127" s="14" t="s">
        <v>99</v>
      </c>
      <c r="AQ127" s="14" t="s">
        <v>7828</v>
      </c>
      <c r="AR127" s="14" t="s">
        <v>7829</v>
      </c>
      <c r="AS127" s="14" t="s">
        <v>7830</v>
      </c>
      <c r="AT127" s="14" t="s">
        <v>99</v>
      </c>
      <c r="AU127" s="14">
        <v>2008.0</v>
      </c>
      <c r="AV127" s="14" t="s">
        <v>99</v>
      </c>
      <c r="AW127" s="14" t="s">
        <v>99</v>
      </c>
      <c r="AX127" s="14" t="s">
        <v>99</v>
      </c>
      <c r="AY127" s="14" t="s">
        <v>99</v>
      </c>
      <c r="AZ127" s="14" t="s">
        <v>99</v>
      </c>
      <c r="BA127" s="14" t="s">
        <v>99</v>
      </c>
      <c r="BB127" s="14">
        <v>107.0</v>
      </c>
      <c r="BC127" s="14">
        <v>146.0</v>
      </c>
      <c r="BD127" s="14" t="s">
        <v>99</v>
      </c>
      <c r="BE127" s="14" t="s">
        <v>7831</v>
      </c>
      <c r="BF127" s="15" t="str">
        <f>HYPERLINK("http://dx.doi.org/10.1016/B978-012088449-0.50007-8","http://dx.doi.org/10.1016/B978-012088449-0.50007-8")</f>
        <v>http://dx.doi.org/10.1016/B978-012088449-0.50007-8</v>
      </c>
      <c r="BG127" s="14" t="s">
        <v>99</v>
      </c>
      <c r="BH127" s="14" t="s">
        <v>99</v>
      </c>
      <c r="BI127" s="14">
        <v>40.0</v>
      </c>
      <c r="BJ127" s="14" t="s">
        <v>1274</v>
      </c>
      <c r="BK127" s="14" t="s">
        <v>302</v>
      </c>
      <c r="BL127" s="14" t="s">
        <v>397</v>
      </c>
      <c r="BM127" s="14" t="s">
        <v>7832</v>
      </c>
      <c r="BN127" s="14" t="s">
        <v>99</v>
      </c>
      <c r="BO127" s="14" t="s">
        <v>99</v>
      </c>
      <c r="BP127" s="14" t="s">
        <v>99</v>
      </c>
      <c r="BQ127" s="14" t="s">
        <v>99</v>
      </c>
      <c r="BR127" s="14" t="s">
        <v>124</v>
      </c>
      <c r="BS127" s="14" t="s">
        <v>7833</v>
      </c>
      <c r="BT127" s="14" t="str">
        <f>HYPERLINK("https%3A%2F%2Fwww.webofscience.com%2Fwos%2Fwoscc%2Ffull-record%2FWOS:000318618900006","View Full Record in Web of Science")</f>
        <v>View Full Record in Web of Science</v>
      </c>
    </row>
    <row r="128" ht="12.75" customHeight="1">
      <c r="A128" s="14" t="s">
        <v>97</v>
      </c>
      <c r="B128" s="14" t="s">
        <v>8076</v>
      </c>
      <c r="C128" s="14" t="s">
        <v>99</v>
      </c>
      <c r="D128" s="14" t="s">
        <v>99</v>
      </c>
      <c r="E128" s="14" t="s">
        <v>99</v>
      </c>
      <c r="F128" s="14" t="s">
        <v>8077</v>
      </c>
      <c r="G128" s="14" t="s">
        <v>99</v>
      </c>
      <c r="H128" s="14" t="s">
        <v>99</v>
      </c>
      <c r="I128" s="14" t="s">
        <v>8078</v>
      </c>
      <c r="J128" s="14" t="s">
        <v>1580</v>
      </c>
      <c r="K128" s="14" t="s">
        <v>99</v>
      </c>
      <c r="L128" s="14" t="s">
        <v>99</v>
      </c>
      <c r="M128" s="14" t="s">
        <v>103</v>
      </c>
      <c r="N128" s="14" t="s">
        <v>104</v>
      </c>
      <c r="O128" s="14" t="s">
        <v>99</v>
      </c>
      <c r="P128" s="14" t="s">
        <v>99</v>
      </c>
      <c r="Q128" s="14" t="s">
        <v>99</v>
      </c>
      <c r="R128" s="14" t="s">
        <v>99</v>
      </c>
      <c r="S128" s="14" t="s">
        <v>99</v>
      </c>
      <c r="T128" s="14" t="s">
        <v>8079</v>
      </c>
      <c r="U128" s="14" t="s">
        <v>8080</v>
      </c>
      <c r="V128" s="14" t="s">
        <v>8081</v>
      </c>
      <c r="W128" s="14" t="s">
        <v>8082</v>
      </c>
      <c r="X128" s="14" t="s">
        <v>8083</v>
      </c>
      <c r="Y128" s="14" t="s">
        <v>8084</v>
      </c>
      <c r="Z128" s="14" t="s">
        <v>8085</v>
      </c>
      <c r="AA128" s="14" t="s">
        <v>8086</v>
      </c>
      <c r="AB128" s="14" t="s">
        <v>99</v>
      </c>
      <c r="AC128" s="14" t="s">
        <v>99</v>
      </c>
      <c r="AD128" s="14" t="s">
        <v>99</v>
      </c>
      <c r="AE128" s="14" t="s">
        <v>99</v>
      </c>
      <c r="AF128" s="14" t="s">
        <v>99</v>
      </c>
      <c r="AG128" s="14">
        <v>23.0</v>
      </c>
      <c r="AH128" s="14">
        <v>28.0</v>
      </c>
      <c r="AI128" s="14">
        <v>33.0</v>
      </c>
      <c r="AJ128" s="14">
        <v>0.0</v>
      </c>
      <c r="AK128" s="14">
        <v>31.0</v>
      </c>
      <c r="AL128" s="14" t="s">
        <v>1593</v>
      </c>
      <c r="AM128" s="14" t="s">
        <v>1594</v>
      </c>
      <c r="AN128" s="14" t="s">
        <v>1595</v>
      </c>
      <c r="AO128" s="14" t="s">
        <v>1596</v>
      </c>
      <c r="AP128" s="14" t="s">
        <v>1597</v>
      </c>
      <c r="AQ128" s="14" t="s">
        <v>99</v>
      </c>
      <c r="AR128" s="14" t="s">
        <v>1580</v>
      </c>
      <c r="AS128" s="14" t="s">
        <v>1598</v>
      </c>
      <c r="AT128" s="14" t="s">
        <v>718</v>
      </c>
      <c r="AU128" s="14">
        <v>2007.0</v>
      </c>
      <c r="AV128" s="14">
        <v>41.0</v>
      </c>
      <c r="AW128" s="14">
        <v>2.0</v>
      </c>
      <c r="AX128" s="14" t="s">
        <v>99</v>
      </c>
      <c r="AY128" s="14" t="s">
        <v>99</v>
      </c>
      <c r="AZ128" s="14" t="s">
        <v>99</v>
      </c>
      <c r="BA128" s="14" t="s">
        <v>99</v>
      </c>
      <c r="BB128" s="14">
        <v>263.0</v>
      </c>
      <c r="BC128" s="14">
        <v>271.0</v>
      </c>
      <c r="BD128" s="14" t="s">
        <v>99</v>
      </c>
      <c r="BE128" s="14" t="s">
        <v>8087</v>
      </c>
      <c r="BF128" s="15" t="str">
        <f>HYPERLINK("http://dx.doi.org/10.1017/S0030605307001883","http://dx.doi.org/10.1017/S0030605307001883")</f>
        <v>http://dx.doi.org/10.1017/S0030605307001883</v>
      </c>
      <c r="BG128" s="14" t="s">
        <v>99</v>
      </c>
      <c r="BH128" s="14" t="s">
        <v>99</v>
      </c>
      <c r="BI128" s="14">
        <v>9.0</v>
      </c>
      <c r="BJ128" s="14" t="s">
        <v>550</v>
      </c>
      <c r="BK128" s="14" t="s">
        <v>122</v>
      </c>
      <c r="BL128" s="14" t="s">
        <v>352</v>
      </c>
      <c r="BM128" s="14" t="s">
        <v>8088</v>
      </c>
      <c r="BN128" s="14" t="s">
        <v>99</v>
      </c>
      <c r="BO128" s="14" t="s">
        <v>238</v>
      </c>
      <c r="BP128" s="14" t="s">
        <v>99</v>
      </c>
      <c r="BQ128" s="14" t="s">
        <v>99</v>
      </c>
      <c r="BR128" s="14" t="s">
        <v>124</v>
      </c>
      <c r="BS128" s="14" t="s">
        <v>8089</v>
      </c>
      <c r="BT128" s="14" t="str">
        <f>HYPERLINK("https%3A%2F%2Fwww.webofscience.com%2Fwos%2Fwoscc%2Ffull-record%2FWOS:000247440700024","View Full Record in Web of Science")</f>
        <v>View Full Record in Web of Science</v>
      </c>
    </row>
    <row r="129" ht="12.75" customHeight="1">
      <c r="A129" s="14" t="s">
        <v>97</v>
      </c>
      <c r="B129" s="14" t="s">
        <v>8090</v>
      </c>
      <c r="C129" s="14" t="s">
        <v>99</v>
      </c>
      <c r="D129" s="14" t="s">
        <v>99</v>
      </c>
      <c r="E129" s="14" t="s">
        <v>99</v>
      </c>
      <c r="F129" s="14" t="s">
        <v>8091</v>
      </c>
      <c r="G129" s="14" t="s">
        <v>99</v>
      </c>
      <c r="H129" s="14" t="s">
        <v>99</v>
      </c>
      <c r="I129" s="14" t="s">
        <v>8092</v>
      </c>
      <c r="J129" s="14" t="s">
        <v>8093</v>
      </c>
      <c r="K129" s="14" t="s">
        <v>99</v>
      </c>
      <c r="L129" s="14" t="s">
        <v>99</v>
      </c>
      <c r="M129" s="14" t="s">
        <v>103</v>
      </c>
      <c r="N129" s="14" t="s">
        <v>104</v>
      </c>
      <c r="O129" s="14" t="s">
        <v>99</v>
      </c>
      <c r="P129" s="14" t="s">
        <v>99</v>
      </c>
      <c r="Q129" s="14" t="s">
        <v>99</v>
      </c>
      <c r="R129" s="14" t="s">
        <v>99</v>
      </c>
      <c r="S129" s="14" t="s">
        <v>99</v>
      </c>
      <c r="T129" s="14" t="s">
        <v>8094</v>
      </c>
      <c r="U129" s="14" t="s">
        <v>8095</v>
      </c>
      <c r="V129" s="14" t="s">
        <v>8096</v>
      </c>
      <c r="W129" s="14" t="s">
        <v>8097</v>
      </c>
      <c r="X129" s="14" t="s">
        <v>8098</v>
      </c>
      <c r="Y129" s="14" t="s">
        <v>8099</v>
      </c>
      <c r="Z129" s="14" t="s">
        <v>8100</v>
      </c>
      <c r="AA129" s="14" t="s">
        <v>8101</v>
      </c>
      <c r="AB129" s="14" t="s">
        <v>8102</v>
      </c>
      <c r="AC129" s="14" t="s">
        <v>99</v>
      </c>
      <c r="AD129" s="14" t="s">
        <v>99</v>
      </c>
      <c r="AE129" s="14" t="s">
        <v>99</v>
      </c>
      <c r="AF129" s="14" t="s">
        <v>99</v>
      </c>
      <c r="AG129" s="14">
        <v>45.0</v>
      </c>
      <c r="AH129" s="14">
        <v>19.0</v>
      </c>
      <c r="AI129" s="14">
        <v>24.0</v>
      </c>
      <c r="AJ129" s="14">
        <v>0.0</v>
      </c>
      <c r="AK129" s="14">
        <v>49.0</v>
      </c>
      <c r="AL129" s="14" t="s">
        <v>161</v>
      </c>
      <c r="AM129" s="14" t="s">
        <v>162</v>
      </c>
      <c r="AN129" s="14" t="s">
        <v>8103</v>
      </c>
      <c r="AO129" s="14" t="s">
        <v>8104</v>
      </c>
      <c r="AP129" s="14" t="s">
        <v>99</v>
      </c>
      <c r="AQ129" s="14" t="s">
        <v>99</v>
      </c>
      <c r="AR129" s="14" t="s">
        <v>8105</v>
      </c>
      <c r="AS129" s="14" t="s">
        <v>8106</v>
      </c>
      <c r="AT129" s="14" t="s">
        <v>4313</v>
      </c>
      <c r="AU129" s="14">
        <v>2007.0</v>
      </c>
      <c r="AV129" s="14">
        <v>10.0</v>
      </c>
      <c r="AW129" s="14">
        <v>2.0</v>
      </c>
      <c r="AX129" s="14" t="s">
        <v>99</v>
      </c>
      <c r="AY129" s="14" t="s">
        <v>99</v>
      </c>
      <c r="AZ129" s="14" t="s">
        <v>99</v>
      </c>
      <c r="BA129" s="14" t="s">
        <v>99</v>
      </c>
      <c r="BB129" s="14">
        <v>140.0</v>
      </c>
      <c r="BC129" s="14">
        <v>152.0</v>
      </c>
      <c r="BD129" s="14" t="s">
        <v>99</v>
      </c>
      <c r="BE129" s="14" t="s">
        <v>8107</v>
      </c>
      <c r="BF129" s="15" t="str">
        <f>HYPERLINK("http://dx.doi.org/10.1080/14634980701350686","http://dx.doi.org/10.1080/14634980701350686")</f>
        <v>http://dx.doi.org/10.1080/14634980701350686</v>
      </c>
      <c r="BG129" s="14" t="s">
        <v>99</v>
      </c>
      <c r="BH129" s="14" t="s">
        <v>99</v>
      </c>
      <c r="BI129" s="14">
        <v>13.0</v>
      </c>
      <c r="BJ129" s="14" t="s">
        <v>8108</v>
      </c>
      <c r="BK129" s="14" t="s">
        <v>122</v>
      </c>
      <c r="BL129" s="14" t="s">
        <v>845</v>
      </c>
      <c r="BM129" s="14" t="s">
        <v>8109</v>
      </c>
      <c r="BN129" s="14" t="s">
        <v>99</v>
      </c>
      <c r="BO129" s="14" t="s">
        <v>99</v>
      </c>
      <c r="BP129" s="14" t="s">
        <v>99</v>
      </c>
      <c r="BQ129" s="14" t="s">
        <v>99</v>
      </c>
      <c r="BR129" s="14" t="s">
        <v>124</v>
      </c>
      <c r="BS129" s="14" t="s">
        <v>8110</v>
      </c>
      <c r="BT129" s="14" t="str">
        <f>HYPERLINK("https%3A%2F%2Fwww.webofscience.com%2Fwos%2Fwoscc%2Ffull-record%2FWOS:000247870000003","View Full Record in Web of Science")</f>
        <v>View Full Record in Web of Science</v>
      </c>
    </row>
    <row r="130" ht="12.75" customHeight="1">
      <c r="A130" s="14" t="s">
        <v>97</v>
      </c>
      <c r="B130" s="14" t="s">
        <v>8127</v>
      </c>
      <c r="C130" s="14" t="s">
        <v>99</v>
      </c>
      <c r="D130" s="14" t="s">
        <v>99</v>
      </c>
      <c r="E130" s="14" t="s">
        <v>99</v>
      </c>
      <c r="F130" s="14" t="s">
        <v>8128</v>
      </c>
      <c r="G130" s="14" t="s">
        <v>99</v>
      </c>
      <c r="H130" s="14" t="s">
        <v>99</v>
      </c>
      <c r="I130" s="14" t="s">
        <v>8129</v>
      </c>
      <c r="J130" s="14" t="s">
        <v>3575</v>
      </c>
      <c r="K130" s="14" t="s">
        <v>99</v>
      </c>
      <c r="L130" s="14" t="s">
        <v>99</v>
      </c>
      <c r="M130" s="14" t="s">
        <v>103</v>
      </c>
      <c r="N130" s="14" t="s">
        <v>104</v>
      </c>
      <c r="O130" s="14" t="s">
        <v>99</v>
      </c>
      <c r="P130" s="14" t="s">
        <v>99</v>
      </c>
      <c r="Q130" s="14" t="s">
        <v>99</v>
      </c>
      <c r="R130" s="14" t="s">
        <v>99</v>
      </c>
      <c r="S130" s="14" t="s">
        <v>99</v>
      </c>
      <c r="T130" s="14" t="s">
        <v>8130</v>
      </c>
      <c r="U130" s="14" t="s">
        <v>8131</v>
      </c>
      <c r="V130" s="14" t="s">
        <v>8132</v>
      </c>
      <c r="W130" s="14" t="s">
        <v>8133</v>
      </c>
      <c r="X130" s="14" t="s">
        <v>8134</v>
      </c>
      <c r="Y130" s="14" t="s">
        <v>8135</v>
      </c>
      <c r="Z130" s="14" t="s">
        <v>8136</v>
      </c>
      <c r="AA130" s="14" t="s">
        <v>8137</v>
      </c>
      <c r="AB130" s="14" t="s">
        <v>8138</v>
      </c>
      <c r="AC130" s="14" t="s">
        <v>99</v>
      </c>
      <c r="AD130" s="14" t="s">
        <v>99</v>
      </c>
      <c r="AE130" s="14" t="s">
        <v>99</v>
      </c>
      <c r="AF130" s="14" t="s">
        <v>99</v>
      </c>
      <c r="AG130" s="14">
        <v>77.0</v>
      </c>
      <c r="AH130" s="14">
        <v>105.0</v>
      </c>
      <c r="AI130" s="14">
        <v>114.0</v>
      </c>
      <c r="AJ130" s="14">
        <v>0.0</v>
      </c>
      <c r="AK130" s="14">
        <v>69.0</v>
      </c>
      <c r="AL130" s="14" t="s">
        <v>1731</v>
      </c>
      <c r="AM130" s="14" t="s">
        <v>1594</v>
      </c>
      <c r="AN130" s="14" t="s">
        <v>3585</v>
      </c>
      <c r="AO130" s="14" t="s">
        <v>3586</v>
      </c>
      <c r="AP130" s="14" t="s">
        <v>3587</v>
      </c>
      <c r="AQ130" s="14" t="s">
        <v>99</v>
      </c>
      <c r="AR130" s="14" t="s">
        <v>3575</v>
      </c>
      <c r="AS130" s="14" t="s">
        <v>3588</v>
      </c>
      <c r="AT130" s="14" t="s">
        <v>1485</v>
      </c>
      <c r="AU130" s="14">
        <v>2007.0</v>
      </c>
      <c r="AV130" s="14">
        <v>151.0</v>
      </c>
      <c r="AW130" s="14">
        <v>3.0</v>
      </c>
      <c r="AX130" s="14" t="s">
        <v>99</v>
      </c>
      <c r="AY130" s="14" t="s">
        <v>99</v>
      </c>
      <c r="AZ130" s="14" t="s">
        <v>99</v>
      </c>
      <c r="BA130" s="14" t="s">
        <v>99</v>
      </c>
      <c r="BB130" s="14">
        <v>544.0</v>
      </c>
      <c r="BC130" s="14">
        <v>559.0</v>
      </c>
      <c r="BD130" s="14" t="s">
        <v>99</v>
      </c>
      <c r="BE130" s="14" t="s">
        <v>8139</v>
      </c>
      <c r="BF130" s="15" t="str">
        <f>HYPERLINK("http://dx.doi.org/10.1007/s00442-006-0655-1","http://dx.doi.org/10.1007/s00442-006-0655-1")</f>
        <v>http://dx.doi.org/10.1007/s00442-006-0655-1</v>
      </c>
      <c r="BG130" s="14" t="s">
        <v>99</v>
      </c>
      <c r="BH130" s="14" t="s">
        <v>99</v>
      </c>
      <c r="BI130" s="14">
        <v>16.0</v>
      </c>
      <c r="BJ130" s="14" t="s">
        <v>259</v>
      </c>
      <c r="BK130" s="14" t="s">
        <v>122</v>
      </c>
      <c r="BL130" s="14" t="s">
        <v>260</v>
      </c>
      <c r="BM130" s="14" t="s">
        <v>8140</v>
      </c>
      <c r="BN130" s="14">
        <v>1.7242905E7</v>
      </c>
      <c r="BO130" s="14" t="s">
        <v>99</v>
      </c>
      <c r="BP130" s="14" t="s">
        <v>99</v>
      </c>
      <c r="BQ130" s="14" t="s">
        <v>99</v>
      </c>
      <c r="BR130" s="14" t="s">
        <v>124</v>
      </c>
      <c r="BS130" s="14" t="s">
        <v>8141</v>
      </c>
      <c r="BT130" s="14" t="str">
        <f>HYPERLINK("https%3A%2F%2Fwww.webofscience.com%2Fwos%2Fwoscc%2Ffull-record%2FWOS:000244692700016","View Full Record in Web of Science")</f>
        <v>View Full Record in Web of Science</v>
      </c>
    </row>
    <row r="131" ht="12.75" customHeight="1">
      <c r="A131" s="14" t="s">
        <v>97</v>
      </c>
      <c r="B131" s="14" t="s">
        <v>8157</v>
      </c>
      <c r="C131" s="14" t="s">
        <v>99</v>
      </c>
      <c r="D131" s="14" t="s">
        <v>99</v>
      </c>
      <c r="E131" s="14" t="s">
        <v>99</v>
      </c>
      <c r="F131" s="14" t="s">
        <v>8158</v>
      </c>
      <c r="G131" s="14" t="s">
        <v>99</v>
      </c>
      <c r="H131" s="14" t="s">
        <v>99</v>
      </c>
      <c r="I131" s="14" t="s">
        <v>8159</v>
      </c>
      <c r="J131" s="14" t="s">
        <v>2060</v>
      </c>
      <c r="K131" s="14" t="s">
        <v>99</v>
      </c>
      <c r="L131" s="14" t="s">
        <v>99</v>
      </c>
      <c r="M131" s="14" t="s">
        <v>103</v>
      </c>
      <c r="N131" s="14" t="s">
        <v>104</v>
      </c>
      <c r="O131" s="14" t="s">
        <v>99</v>
      </c>
      <c r="P131" s="14" t="s">
        <v>99</v>
      </c>
      <c r="Q131" s="14" t="s">
        <v>99</v>
      </c>
      <c r="R131" s="14" t="s">
        <v>99</v>
      </c>
      <c r="S131" s="14" t="s">
        <v>99</v>
      </c>
      <c r="T131" s="14" t="s">
        <v>8160</v>
      </c>
      <c r="U131" s="14" t="s">
        <v>8161</v>
      </c>
      <c r="V131" s="14" t="s">
        <v>8162</v>
      </c>
      <c r="W131" s="14" t="s">
        <v>8163</v>
      </c>
      <c r="X131" s="14" t="s">
        <v>8164</v>
      </c>
      <c r="Y131" s="14" t="s">
        <v>8165</v>
      </c>
      <c r="Z131" s="14" t="s">
        <v>8166</v>
      </c>
      <c r="AA131" s="14" t="s">
        <v>8167</v>
      </c>
      <c r="AB131" s="14" t="s">
        <v>8168</v>
      </c>
      <c r="AC131" s="14" t="s">
        <v>99</v>
      </c>
      <c r="AD131" s="14" t="s">
        <v>99</v>
      </c>
      <c r="AE131" s="14" t="s">
        <v>99</v>
      </c>
      <c r="AF131" s="14" t="s">
        <v>99</v>
      </c>
      <c r="AG131" s="14">
        <v>55.0</v>
      </c>
      <c r="AH131" s="14">
        <v>58.0</v>
      </c>
      <c r="AI131" s="14">
        <v>62.0</v>
      </c>
      <c r="AJ131" s="14">
        <v>0.0</v>
      </c>
      <c r="AK131" s="14">
        <v>20.0</v>
      </c>
      <c r="AL131" s="14" t="s">
        <v>2073</v>
      </c>
      <c r="AM131" s="14" t="s">
        <v>274</v>
      </c>
      <c r="AN131" s="14" t="s">
        <v>2074</v>
      </c>
      <c r="AO131" s="14" t="s">
        <v>2075</v>
      </c>
      <c r="AP131" s="14" t="s">
        <v>2076</v>
      </c>
      <c r="AQ131" s="14" t="s">
        <v>99</v>
      </c>
      <c r="AR131" s="14" t="s">
        <v>2077</v>
      </c>
      <c r="AS131" s="14" t="s">
        <v>2078</v>
      </c>
      <c r="AT131" s="14" t="s">
        <v>280</v>
      </c>
      <c r="AU131" s="14">
        <v>2007.0</v>
      </c>
      <c r="AV131" s="14">
        <v>71.0</v>
      </c>
      <c r="AW131" s="14" t="s">
        <v>5620</v>
      </c>
      <c r="AX131" s="14" t="s">
        <v>99</v>
      </c>
      <c r="AY131" s="14" t="s">
        <v>99</v>
      </c>
      <c r="AZ131" s="14" t="s">
        <v>99</v>
      </c>
      <c r="BA131" s="14" t="s">
        <v>99</v>
      </c>
      <c r="BB131" s="14">
        <v>429.0</v>
      </c>
      <c r="BC131" s="14">
        <v>442.0</v>
      </c>
      <c r="BD131" s="14" t="s">
        <v>99</v>
      </c>
      <c r="BE131" s="14" t="s">
        <v>8169</v>
      </c>
      <c r="BF131" s="15" t="str">
        <f>HYPERLINK("http://dx.doi.org/10.1016/j.ecss.2006.08.018","http://dx.doi.org/10.1016/j.ecss.2006.08.018")</f>
        <v>http://dx.doi.org/10.1016/j.ecss.2006.08.018</v>
      </c>
      <c r="BG131" s="14" t="s">
        <v>99</v>
      </c>
      <c r="BH131" s="14" t="s">
        <v>99</v>
      </c>
      <c r="BI131" s="14">
        <v>14.0</v>
      </c>
      <c r="BJ131" s="14" t="s">
        <v>720</v>
      </c>
      <c r="BK131" s="14" t="s">
        <v>122</v>
      </c>
      <c r="BL131" s="14" t="s">
        <v>720</v>
      </c>
      <c r="BM131" s="14" t="s">
        <v>8170</v>
      </c>
      <c r="BN131" s="14" t="s">
        <v>99</v>
      </c>
      <c r="BO131" s="14" t="s">
        <v>99</v>
      </c>
      <c r="BP131" s="14" t="s">
        <v>99</v>
      </c>
      <c r="BQ131" s="14" t="s">
        <v>99</v>
      </c>
      <c r="BR131" s="14" t="s">
        <v>124</v>
      </c>
      <c r="BS131" s="14" t="s">
        <v>8171</v>
      </c>
      <c r="BT131" s="14" t="str">
        <f>HYPERLINK("https%3A%2F%2Fwww.webofscience.com%2Fwos%2Fwoscc%2Ffull-record%2FWOS:000244177300008","View Full Record in Web of Science")</f>
        <v>View Full Record in Web of Science</v>
      </c>
    </row>
    <row r="132" ht="12.75" customHeight="1">
      <c r="A132" s="14" t="s">
        <v>97</v>
      </c>
      <c r="B132" s="14" t="s">
        <v>8284</v>
      </c>
      <c r="C132" s="14" t="s">
        <v>99</v>
      </c>
      <c r="D132" s="14" t="s">
        <v>99</v>
      </c>
      <c r="E132" s="14" t="s">
        <v>99</v>
      </c>
      <c r="F132" s="14" t="s">
        <v>8285</v>
      </c>
      <c r="G132" s="14" t="s">
        <v>99</v>
      </c>
      <c r="H132" s="14" t="s">
        <v>99</v>
      </c>
      <c r="I132" s="14" t="s">
        <v>8286</v>
      </c>
      <c r="J132" s="14" t="s">
        <v>7428</v>
      </c>
      <c r="K132" s="14" t="s">
        <v>99</v>
      </c>
      <c r="L132" s="14" t="s">
        <v>99</v>
      </c>
      <c r="M132" s="14" t="s">
        <v>103</v>
      </c>
      <c r="N132" s="14" t="s">
        <v>104</v>
      </c>
      <c r="O132" s="14" t="s">
        <v>99</v>
      </c>
      <c r="P132" s="14" t="s">
        <v>99</v>
      </c>
      <c r="Q132" s="14" t="s">
        <v>99</v>
      </c>
      <c r="R132" s="14" t="s">
        <v>99</v>
      </c>
      <c r="S132" s="14" t="s">
        <v>99</v>
      </c>
      <c r="T132" s="14" t="s">
        <v>8287</v>
      </c>
      <c r="U132" s="14" t="s">
        <v>8288</v>
      </c>
      <c r="V132" s="14" t="s">
        <v>8289</v>
      </c>
      <c r="W132" s="14" t="s">
        <v>8290</v>
      </c>
      <c r="X132" s="14" t="s">
        <v>8291</v>
      </c>
      <c r="Y132" s="14" t="s">
        <v>8292</v>
      </c>
      <c r="Z132" s="14" t="s">
        <v>8293</v>
      </c>
      <c r="AA132" s="14" t="s">
        <v>8294</v>
      </c>
      <c r="AB132" s="14" t="s">
        <v>8295</v>
      </c>
      <c r="AC132" s="14" t="s">
        <v>99</v>
      </c>
      <c r="AD132" s="14" t="s">
        <v>99</v>
      </c>
      <c r="AE132" s="14" t="s">
        <v>99</v>
      </c>
      <c r="AF132" s="14" t="s">
        <v>99</v>
      </c>
      <c r="AG132" s="14">
        <v>71.0</v>
      </c>
      <c r="AH132" s="14">
        <v>23.0</v>
      </c>
      <c r="AI132" s="14">
        <v>26.0</v>
      </c>
      <c r="AJ132" s="14">
        <v>1.0</v>
      </c>
      <c r="AK132" s="14">
        <v>41.0</v>
      </c>
      <c r="AL132" s="14" t="s">
        <v>341</v>
      </c>
      <c r="AM132" s="14" t="s">
        <v>342</v>
      </c>
      <c r="AN132" s="14" t="s">
        <v>343</v>
      </c>
      <c r="AO132" s="14" t="s">
        <v>7437</v>
      </c>
      <c r="AP132" s="14" t="s">
        <v>7438</v>
      </c>
      <c r="AQ132" s="14" t="s">
        <v>99</v>
      </c>
      <c r="AR132" s="14" t="s">
        <v>7439</v>
      </c>
      <c r="AS132" s="14" t="s">
        <v>7440</v>
      </c>
      <c r="AT132" s="14" t="s">
        <v>421</v>
      </c>
      <c r="AU132" s="14">
        <v>2006.0</v>
      </c>
      <c r="AV132" s="14">
        <v>94.0</v>
      </c>
      <c r="AW132" s="14">
        <v>5.0</v>
      </c>
      <c r="AX132" s="14" t="s">
        <v>99</v>
      </c>
      <c r="AY132" s="14" t="s">
        <v>99</v>
      </c>
      <c r="AZ132" s="14" t="s">
        <v>99</v>
      </c>
      <c r="BA132" s="14" t="s">
        <v>99</v>
      </c>
      <c r="BB132" s="14">
        <v>987.0</v>
      </c>
      <c r="BC132" s="14">
        <v>1002.0</v>
      </c>
      <c r="BD132" s="14" t="s">
        <v>99</v>
      </c>
      <c r="BE132" s="14" t="s">
        <v>8296</v>
      </c>
      <c r="BF132" s="15" t="str">
        <f>HYPERLINK("http://dx.doi.org/10.1111/j.1365-2745.2006.01140.x","http://dx.doi.org/10.1111/j.1365-2745.2006.01140.x")</f>
        <v>http://dx.doi.org/10.1111/j.1365-2745.2006.01140.x</v>
      </c>
      <c r="BG132" s="14" t="s">
        <v>99</v>
      </c>
      <c r="BH132" s="14" t="s">
        <v>99</v>
      </c>
      <c r="BI132" s="14">
        <v>16.0</v>
      </c>
      <c r="BJ132" s="14" t="s">
        <v>2924</v>
      </c>
      <c r="BK132" s="14" t="s">
        <v>122</v>
      </c>
      <c r="BL132" s="14" t="s">
        <v>2925</v>
      </c>
      <c r="BM132" s="14" t="s">
        <v>8297</v>
      </c>
      <c r="BN132" s="14" t="s">
        <v>99</v>
      </c>
      <c r="BO132" s="14" t="s">
        <v>99</v>
      </c>
      <c r="BP132" s="14" t="s">
        <v>99</v>
      </c>
      <c r="BQ132" s="14" t="s">
        <v>99</v>
      </c>
      <c r="BR132" s="14" t="s">
        <v>124</v>
      </c>
      <c r="BS132" s="14" t="s">
        <v>8298</v>
      </c>
      <c r="BT132" s="14" t="str">
        <f>HYPERLINK("https%3A%2F%2Fwww.webofscience.com%2Fwos%2Fwoscc%2Ffull-record%2FWOS:000239510400011","View Full Record in Web of Science")</f>
        <v>View Full Record in Web of Science</v>
      </c>
    </row>
    <row r="133" ht="12.75" customHeight="1">
      <c r="A133" s="14" t="s">
        <v>97</v>
      </c>
      <c r="B133" s="14" t="s">
        <v>8523</v>
      </c>
      <c r="C133" s="14" t="s">
        <v>99</v>
      </c>
      <c r="D133" s="14" t="s">
        <v>99</v>
      </c>
      <c r="E133" s="14" t="s">
        <v>99</v>
      </c>
      <c r="F133" s="14" t="s">
        <v>8523</v>
      </c>
      <c r="G133" s="14" t="s">
        <v>99</v>
      </c>
      <c r="H133" s="14" t="s">
        <v>99</v>
      </c>
      <c r="I133" s="14" t="s">
        <v>8524</v>
      </c>
      <c r="J133" s="14" t="s">
        <v>5603</v>
      </c>
      <c r="K133" s="14" t="s">
        <v>99</v>
      </c>
      <c r="L133" s="14" t="s">
        <v>99</v>
      </c>
      <c r="M133" s="14" t="s">
        <v>103</v>
      </c>
      <c r="N133" s="14" t="s">
        <v>104</v>
      </c>
      <c r="O133" s="14" t="s">
        <v>99</v>
      </c>
      <c r="P133" s="14" t="s">
        <v>99</v>
      </c>
      <c r="Q133" s="14" t="s">
        <v>99</v>
      </c>
      <c r="R133" s="14" t="s">
        <v>99</v>
      </c>
      <c r="S133" s="14" t="s">
        <v>99</v>
      </c>
      <c r="T133" s="14" t="s">
        <v>8525</v>
      </c>
      <c r="U133" s="14" t="s">
        <v>8526</v>
      </c>
      <c r="V133" s="14" t="s">
        <v>8527</v>
      </c>
      <c r="W133" s="14" t="s">
        <v>8528</v>
      </c>
      <c r="X133" s="14" t="s">
        <v>8529</v>
      </c>
      <c r="Y133" s="14" t="s">
        <v>8530</v>
      </c>
      <c r="Z133" s="14" t="s">
        <v>8531</v>
      </c>
      <c r="AA133" s="14" t="s">
        <v>8532</v>
      </c>
      <c r="AB133" s="14" t="s">
        <v>8533</v>
      </c>
      <c r="AC133" s="14" t="s">
        <v>99</v>
      </c>
      <c r="AD133" s="14" t="s">
        <v>99</v>
      </c>
      <c r="AE133" s="14" t="s">
        <v>99</v>
      </c>
      <c r="AF133" s="14" t="s">
        <v>99</v>
      </c>
      <c r="AG133" s="14">
        <v>24.0</v>
      </c>
      <c r="AH133" s="14">
        <v>172.0</v>
      </c>
      <c r="AI133" s="14">
        <v>202.0</v>
      </c>
      <c r="AJ133" s="14">
        <v>0.0</v>
      </c>
      <c r="AK133" s="14">
        <v>30.0</v>
      </c>
      <c r="AL133" s="14" t="s">
        <v>1033</v>
      </c>
      <c r="AM133" s="14" t="s">
        <v>442</v>
      </c>
      <c r="AN133" s="14" t="s">
        <v>1034</v>
      </c>
      <c r="AO133" s="14" t="s">
        <v>5616</v>
      </c>
      <c r="AP133" s="14" t="s">
        <v>99</v>
      </c>
      <c r="AQ133" s="14" t="s">
        <v>99</v>
      </c>
      <c r="AR133" s="14" t="s">
        <v>5618</v>
      </c>
      <c r="AS133" s="14" t="s">
        <v>5619</v>
      </c>
      <c r="AT133" s="14" t="s">
        <v>718</v>
      </c>
      <c r="AU133" s="14">
        <v>2006.0</v>
      </c>
      <c r="AV133" s="14">
        <v>113.0</v>
      </c>
      <c r="AW133" s="14" t="s">
        <v>7581</v>
      </c>
      <c r="AX133" s="14" t="s">
        <v>99</v>
      </c>
      <c r="AY133" s="14" t="s">
        <v>99</v>
      </c>
      <c r="AZ133" s="14" t="s">
        <v>99</v>
      </c>
      <c r="BA133" s="14" t="s">
        <v>99</v>
      </c>
      <c r="BB133" s="14">
        <v>254.0</v>
      </c>
      <c r="BC133" s="14">
        <v>263.0</v>
      </c>
      <c r="BD133" s="14" t="s">
        <v>99</v>
      </c>
      <c r="BE133" s="14" t="s">
        <v>8534</v>
      </c>
      <c r="BF133" s="15" t="str">
        <f>HYPERLINK("http://dx.doi.org/10.1016/j.agee.2005.10.019","http://dx.doi.org/10.1016/j.agee.2005.10.019")</f>
        <v>http://dx.doi.org/10.1016/j.agee.2005.10.019</v>
      </c>
      <c r="BG133" s="14" t="s">
        <v>99</v>
      </c>
      <c r="BH133" s="14" t="s">
        <v>99</v>
      </c>
      <c r="BI133" s="14">
        <v>10.0</v>
      </c>
      <c r="BJ133" s="14" t="s">
        <v>5622</v>
      </c>
      <c r="BK133" s="14" t="s">
        <v>122</v>
      </c>
      <c r="BL133" s="14" t="s">
        <v>5623</v>
      </c>
      <c r="BM133" s="14" t="s">
        <v>8535</v>
      </c>
      <c r="BN133" s="14" t="s">
        <v>99</v>
      </c>
      <c r="BO133" s="14" t="s">
        <v>99</v>
      </c>
      <c r="BP133" s="14" t="s">
        <v>99</v>
      </c>
      <c r="BQ133" s="14" t="s">
        <v>99</v>
      </c>
      <c r="BR133" s="14" t="s">
        <v>124</v>
      </c>
      <c r="BS133" s="14" t="s">
        <v>8536</v>
      </c>
      <c r="BT133" s="14" t="str">
        <f>HYPERLINK("https%3A%2F%2Fwww.webofscience.com%2Fwos%2Fwoscc%2Ffull-record%2FWOS:000235765100023","View Full Record in Web of Science")</f>
        <v>View Full Record in Web of Science</v>
      </c>
    </row>
    <row r="134" ht="12.75" customHeight="1">
      <c r="A134" s="14" t="s">
        <v>97</v>
      </c>
      <c r="B134" s="14" t="s">
        <v>8616</v>
      </c>
      <c r="C134" s="14" t="s">
        <v>99</v>
      </c>
      <c r="D134" s="14" t="s">
        <v>99</v>
      </c>
      <c r="E134" s="14" t="s">
        <v>99</v>
      </c>
      <c r="F134" s="14" t="s">
        <v>8617</v>
      </c>
      <c r="G134" s="14" t="s">
        <v>99</v>
      </c>
      <c r="H134" s="14" t="s">
        <v>99</v>
      </c>
      <c r="I134" s="14" t="s">
        <v>8618</v>
      </c>
      <c r="J134" s="14" t="s">
        <v>8619</v>
      </c>
      <c r="K134" s="14" t="s">
        <v>99</v>
      </c>
      <c r="L134" s="14" t="s">
        <v>99</v>
      </c>
      <c r="M134" s="14" t="s">
        <v>103</v>
      </c>
      <c r="N134" s="14" t="s">
        <v>104</v>
      </c>
      <c r="O134" s="14" t="s">
        <v>99</v>
      </c>
      <c r="P134" s="14" t="s">
        <v>99</v>
      </c>
      <c r="Q134" s="14" t="s">
        <v>99</v>
      </c>
      <c r="R134" s="14" t="s">
        <v>99</v>
      </c>
      <c r="S134" s="14" t="s">
        <v>99</v>
      </c>
      <c r="T134" s="14" t="s">
        <v>99</v>
      </c>
      <c r="U134" s="14" t="s">
        <v>8620</v>
      </c>
      <c r="V134" s="14" t="s">
        <v>8621</v>
      </c>
      <c r="W134" s="14" t="s">
        <v>8622</v>
      </c>
      <c r="X134" s="14" t="s">
        <v>8623</v>
      </c>
      <c r="Y134" s="14" t="s">
        <v>8624</v>
      </c>
      <c r="Z134" s="14" t="s">
        <v>8625</v>
      </c>
      <c r="AA134" s="14" t="s">
        <v>8626</v>
      </c>
      <c r="AB134" s="14" t="s">
        <v>8627</v>
      </c>
      <c r="AC134" s="14" t="s">
        <v>8628</v>
      </c>
      <c r="AD134" s="14" t="s">
        <v>8629</v>
      </c>
      <c r="AE134" s="14" t="s">
        <v>8630</v>
      </c>
      <c r="AF134" s="14" t="s">
        <v>99</v>
      </c>
      <c r="AG134" s="14">
        <v>82.0</v>
      </c>
      <c r="AH134" s="14">
        <v>60.0</v>
      </c>
      <c r="AI134" s="14">
        <v>72.0</v>
      </c>
      <c r="AJ134" s="14">
        <v>0.0</v>
      </c>
      <c r="AK134" s="14">
        <v>26.0</v>
      </c>
      <c r="AL134" s="14" t="s">
        <v>8631</v>
      </c>
      <c r="AM134" s="14" t="s">
        <v>274</v>
      </c>
      <c r="AN134" s="14" t="s">
        <v>8632</v>
      </c>
      <c r="AO134" s="14" t="s">
        <v>99</v>
      </c>
      <c r="AP134" s="14" t="s">
        <v>8633</v>
      </c>
      <c r="AQ134" s="14" t="s">
        <v>99</v>
      </c>
      <c r="AR134" s="14" t="s">
        <v>8634</v>
      </c>
      <c r="AS134" s="14" t="s">
        <v>8635</v>
      </c>
      <c r="AT134" s="14" t="s">
        <v>99</v>
      </c>
      <c r="AU134" s="14">
        <v>2006.0</v>
      </c>
      <c r="AV134" s="14">
        <v>2.0</v>
      </c>
      <c r="AW134" s="14" t="s">
        <v>99</v>
      </c>
      <c r="AX134" s="14" t="s">
        <v>99</v>
      </c>
      <c r="AY134" s="14" t="s">
        <v>99</v>
      </c>
      <c r="AZ134" s="14" t="s">
        <v>99</v>
      </c>
      <c r="BA134" s="14" t="s">
        <v>99</v>
      </c>
      <c r="BB134" s="14" t="s">
        <v>99</v>
      </c>
      <c r="BC134" s="14" t="s">
        <v>99</v>
      </c>
      <c r="BD134" s="14">
        <v>24.0</v>
      </c>
      <c r="BE134" s="14" t="s">
        <v>8636</v>
      </c>
      <c r="BF134" s="15" t="str">
        <f>HYPERLINK("http://dx.doi.org/10.1186/1746-4269-2-24","http://dx.doi.org/10.1186/1746-4269-2-24")</f>
        <v>http://dx.doi.org/10.1186/1746-4269-2-24</v>
      </c>
      <c r="BG134" s="14" t="s">
        <v>99</v>
      </c>
      <c r="BH134" s="14" t="s">
        <v>99</v>
      </c>
      <c r="BI134" s="14">
        <v>22.0</v>
      </c>
      <c r="BJ134" s="14" t="s">
        <v>8637</v>
      </c>
      <c r="BK134" s="14" t="s">
        <v>122</v>
      </c>
      <c r="BL134" s="14" t="s">
        <v>8638</v>
      </c>
      <c r="BM134" s="14" t="s">
        <v>8639</v>
      </c>
      <c r="BN134" s="14">
        <v>1.6681845E7</v>
      </c>
      <c r="BO134" s="14" t="s">
        <v>1251</v>
      </c>
      <c r="BP134" s="14" t="s">
        <v>99</v>
      </c>
      <c r="BQ134" s="14" t="s">
        <v>99</v>
      </c>
      <c r="BR134" s="14" t="s">
        <v>124</v>
      </c>
      <c r="BS134" s="14" t="s">
        <v>8640</v>
      </c>
      <c r="BT134" s="14" t="str">
        <f>HYPERLINK("https%3A%2F%2Fwww.webofscience.com%2Fwos%2Fwoscc%2Ffull-record%2FWOS:000209091500024","View Full Record in Web of Science")</f>
        <v>View Full Record in Web of Science</v>
      </c>
    </row>
    <row r="135" ht="12.75" customHeight="1">
      <c r="A135" s="14" t="s">
        <v>97</v>
      </c>
      <c r="B135" s="14" t="s">
        <v>9028</v>
      </c>
      <c r="C135" s="14" t="s">
        <v>99</v>
      </c>
      <c r="D135" s="14" t="s">
        <v>99</v>
      </c>
      <c r="E135" s="14" t="s">
        <v>99</v>
      </c>
      <c r="F135" s="14" t="s">
        <v>9028</v>
      </c>
      <c r="G135" s="14" t="s">
        <v>99</v>
      </c>
      <c r="H135" s="14" t="s">
        <v>99</v>
      </c>
      <c r="I135" s="14" t="s">
        <v>9029</v>
      </c>
      <c r="J135" s="14" t="s">
        <v>9030</v>
      </c>
      <c r="K135" s="14" t="s">
        <v>99</v>
      </c>
      <c r="L135" s="14" t="s">
        <v>99</v>
      </c>
      <c r="M135" s="14" t="s">
        <v>103</v>
      </c>
      <c r="N135" s="14" t="s">
        <v>104</v>
      </c>
      <c r="O135" s="14" t="s">
        <v>99</v>
      </c>
      <c r="P135" s="14" t="s">
        <v>99</v>
      </c>
      <c r="Q135" s="14" t="s">
        <v>99</v>
      </c>
      <c r="R135" s="14" t="s">
        <v>99</v>
      </c>
      <c r="S135" s="14" t="s">
        <v>99</v>
      </c>
      <c r="T135" s="14" t="s">
        <v>9031</v>
      </c>
      <c r="U135" s="14" t="s">
        <v>9032</v>
      </c>
      <c r="V135" s="14" t="s">
        <v>9033</v>
      </c>
      <c r="W135" s="14" t="s">
        <v>9034</v>
      </c>
      <c r="X135" s="14" t="s">
        <v>9035</v>
      </c>
      <c r="Y135" s="14" t="s">
        <v>9036</v>
      </c>
      <c r="Z135" s="14" t="s">
        <v>9037</v>
      </c>
      <c r="AA135" s="14" t="s">
        <v>99</v>
      </c>
      <c r="AB135" s="14" t="s">
        <v>99</v>
      </c>
      <c r="AC135" s="14" t="s">
        <v>99</v>
      </c>
      <c r="AD135" s="14" t="s">
        <v>99</v>
      </c>
      <c r="AE135" s="14" t="s">
        <v>99</v>
      </c>
      <c r="AF135" s="14" t="s">
        <v>99</v>
      </c>
      <c r="AG135" s="14">
        <v>58.0</v>
      </c>
      <c r="AH135" s="14">
        <v>118.0</v>
      </c>
      <c r="AI135" s="14">
        <v>136.0</v>
      </c>
      <c r="AJ135" s="14">
        <v>1.0</v>
      </c>
      <c r="AK135" s="14">
        <v>54.0</v>
      </c>
      <c r="AL135" s="14" t="s">
        <v>1593</v>
      </c>
      <c r="AM135" s="14" t="s">
        <v>2726</v>
      </c>
      <c r="AN135" s="14" t="s">
        <v>4668</v>
      </c>
      <c r="AO135" s="14" t="s">
        <v>9038</v>
      </c>
      <c r="AP135" s="14" t="s">
        <v>9039</v>
      </c>
      <c r="AQ135" s="14" t="s">
        <v>99</v>
      </c>
      <c r="AR135" s="14" t="s">
        <v>9040</v>
      </c>
      <c r="AS135" s="14" t="s">
        <v>9041</v>
      </c>
      <c r="AT135" s="14" t="s">
        <v>935</v>
      </c>
      <c r="AU135" s="14">
        <v>2005.0</v>
      </c>
      <c r="AV135" s="14">
        <v>21.0</v>
      </c>
      <c r="AW135" s="14" t="s">
        <v>99</v>
      </c>
      <c r="AX135" s="14">
        <v>1.0</v>
      </c>
      <c r="AY135" s="14" t="s">
        <v>99</v>
      </c>
      <c r="AZ135" s="14" t="s">
        <v>99</v>
      </c>
      <c r="BA135" s="14" t="s">
        <v>99</v>
      </c>
      <c r="BB135" s="14">
        <v>9.0</v>
      </c>
      <c r="BC135" s="14">
        <v>19.0</v>
      </c>
      <c r="BD135" s="14" t="s">
        <v>99</v>
      </c>
      <c r="BE135" s="14" t="s">
        <v>9042</v>
      </c>
      <c r="BF135" s="15" t="str">
        <f>HYPERLINK("http://dx.doi.org/10.1017/S0266467404001683","http://dx.doi.org/10.1017/S0266467404001683")</f>
        <v>http://dx.doi.org/10.1017/S0266467404001683</v>
      </c>
      <c r="BG135" s="14" t="s">
        <v>99</v>
      </c>
      <c r="BH135" s="14" t="s">
        <v>99</v>
      </c>
      <c r="BI135" s="14">
        <v>11.0</v>
      </c>
      <c r="BJ135" s="14" t="s">
        <v>259</v>
      </c>
      <c r="BK135" s="14" t="s">
        <v>122</v>
      </c>
      <c r="BL135" s="14" t="s">
        <v>260</v>
      </c>
      <c r="BM135" s="14" t="s">
        <v>9043</v>
      </c>
      <c r="BN135" s="14" t="s">
        <v>99</v>
      </c>
      <c r="BO135" s="14" t="s">
        <v>99</v>
      </c>
      <c r="BP135" s="14" t="s">
        <v>99</v>
      </c>
      <c r="BQ135" s="14" t="s">
        <v>99</v>
      </c>
      <c r="BR135" s="14" t="s">
        <v>124</v>
      </c>
      <c r="BS135" s="14" t="s">
        <v>9044</v>
      </c>
      <c r="BT135" s="14" t="str">
        <f>HYPERLINK("https%3A%2F%2Fwww.webofscience.com%2Fwos%2Fwoscc%2Ffull-record%2FWOS:000227083400002","View Full Record in Web of Science")</f>
        <v>View Full Record in Web of Science</v>
      </c>
    </row>
    <row r="136" ht="12.75" customHeight="1">
      <c r="A136" s="14" t="s">
        <v>97</v>
      </c>
      <c r="B136" s="14" t="s">
        <v>9327</v>
      </c>
      <c r="C136" s="14" t="s">
        <v>99</v>
      </c>
      <c r="D136" s="14" t="s">
        <v>99</v>
      </c>
      <c r="E136" s="14" t="s">
        <v>99</v>
      </c>
      <c r="F136" s="14" t="s">
        <v>9327</v>
      </c>
      <c r="G136" s="14" t="s">
        <v>99</v>
      </c>
      <c r="H136" s="14" t="s">
        <v>99</v>
      </c>
      <c r="I136" s="14" t="s">
        <v>9328</v>
      </c>
      <c r="J136" s="14" t="s">
        <v>1102</v>
      </c>
      <c r="K136" s="14" t="s">
        <v>99</v>
      </c>
      <c r="L136" s="14" t="s">
        <v>99</v>
      </c>
      <c r="M136" s="14" t="s">
        <v>103</v>
      </c>
      <c r="N136" s="14" t="s">
        <v>104</v>
      </c>
      <c r="O136" s="14" t="s">
        <v>99</v>
      </c>
      <c r="P136" s="14" t="s">
        <v>99</v>
      </c>
      <c r="Q136" s="14" t="s">
        <v>99</v>
      </c>
      <c r="R136" s="14" t="s">
        <v>99</v>
      </c>
      <c r="S136" s="14" t="s">
        <v>99</v>
      </c>
      <c r="T136" s="14" t="s">
        <v>9329</v>
      </c>
      <c r="U136" s="14" t="s">
        <v>9330</v>
      </c>
      <c r="V136" s="14" t="s">
        <v>9331</v>
      </c>
      <c r="W136" s="14" t="s">
        <v>9332</v>
      </c>
      <c r="X136" s="14" t="s">
        <v>9333</v>
      </c>
      <c r="Y136" s="14" t="s">
        <v>9334</v>
      </c>
      <c r="Z136" s="14" t="s">
        <v>9335</v>
      </c>
      <c r="AA136" s="14" t="s">
        <v>9336</v>
      </c>
      <c r="AB136" s="14" t="s">
        <v>9337</v>
      </c>
      <c r="AC136" s="14" t="s">
        <v>99</v>
      </c>
      <c r="AD136" s="14" t="s">
        <v>99</v>
      </c>
      <c r="AE136" s="14" t="s">
        <v>99</v>
      </c>
      <c r="AF136" s="14" t="s">
        <v>99</v>
      </c>
      <c r="AG136" s="14">
        <v>35.0</v>
      </c>
      <c r="AH136" s="14">
        <v>205.0</v>
      </c>
      <c r="AI136" s="14">
        <v>254.0</v>
      </c>
      <c r="AJ136" s="14">
        <v>1.0</v>
      </c>
      <c r="AK136" s="14">
        <v>63.0</v>
      </c>
      <c r="AL136" s="14" t="s">
        <v>493</v>
      </c>
      <c r="AM136" s="14" t="s">
        <v>494</v>
      </c>
      <c r="AN136" s="14" t="s">
        <v>495</v>
      </c>
      <c r="AO136" s="14" t="s">
        <v>1112</v>
      </c>
      <c r="AP136" s="14" t="s">
        <v>1113</v>
      </c>
      <c r="AQ136" s="14" t="s">
        <v>99</v>
      </c>
      <c r="AR136" s="14" t="s">
        <v>1114</v>
      </c>
      <c r="AS136" s="14" t="s">
        <v>1115</v>
      </c>
      <c r="AT136" s="14" t="s">
        <v>1058</v>
      </c>
      <c r="AU136" s="14">
        <v>2003.0</v>
      </c>
      <c r="AV136" s="14">
        <v>114.0</v>
      </c>
      <c r="AW136" s="14">
        <v>3.0</v>
      </c>
      <c r="AX136" s="14" t="s">
        <v>99</v>
      </c>
      <c r="AY136" s="14" t="s">
        <v>99</v>
      </c>
      <c r="AZ136" s="14" t="s">
        <v>99</v>
      </c>
      <c r="BA136" s="14" t="s">
        <v>99</v>
      </c>
      <c r="BB136" s="14">
        <v>317.0</v>
      </c>
      <c r="BC136" s="14">
        <v>326.0</v>
      </c>
      <c r="BD136" s="14" t="s">
        <v>99</v>
      </c>
      <c r="BE136" s="14" t="s">
        <v>9338</v>
      </c>
      <c r="BF136" s="15" t="str">
        <f>HYPERLINK("http://dx.doi.org/10.1016/S0006-3207(03)00051-X","http://dx.doi.org/10.1016/S0006-3207(03)00051-X")</f>
        <v>http://dx.doi.org/10.1016/S0006-3207(03)00051-X</v>
      </c>
      <c r="BG136" s="14" t="s">
        <v>99</v>
      </c>
      <c r="BH136" s="14" t="s">
        <v>99</v>
      </c>
      <c r="BI136" s="14">
        <v>10.0</v>
      </c>
      <c r="BJ136" s="14" t="s">
        <v>351</v>
      </c>
      <c r="BK136" s="14" t="s">
        <v>122</v>
      </c>
      <c r="BL136" s="14" t="s">
        <v>352</v>
      </c>
      <c r="BM136" s="14" t="s">
        <v>9339</v>
      </c>
      <c r="BN136" s="14" t="s">
        <v>99</v>
      </c>
      <c r="BO136" s="14" t="s">
        <v>99</v>
      </c>
      <c r="BP136" s="14" t="s">
        <v>99</v>
      </c>
      <c r="BQ136" s="14" t="s">
        <v>99</v>
      </c>
      <c r="BR136" s="14" t="s">
        <v>124</v>
      </c>
      <c r="BS136" s="14" t="s">
        <v>9340</v>
      </c>
      <c r="BT136" s="14" t="str">
        <f>HYPERLINK("https%3A%2F%2Fwww.webofscience.com%2Fwos%2Fwoscc%2Ffull-record%2FWOS:000185371200002","View Full Record in Web of Science")</f>
        <v>View Full Record in Web of Science</v>
      </c>
    </row>
    <row r="137" ht="12.75" customHeight="1">
      <c r="A137" s="14" t="s">
        <v>97</v>
      </c>
      <c r="B137" s="14" t="s">
        <v>9385</v>
      </c>
      <c r="C137" s="14" t="s">
        <v>99</v>
      </c>
      <c r="D137" s="14" t="s">
        <v>99</v>
      </c>
      <c r="E137" s="14" t="s">
        <v>99</v>
      </c>
      <c r="F137" s="14" t="s">
        <v>9385</v>
      </c>
      <c r="G137" s="14" t="s">
        <v>99</v>
      </c>
      <c r="H137" s="14" t="s">
        <v>99</v>
      </c>
      <c r="I137" s="14" t="s">
        <v>9386</v>
      </c>
      <c r="J137" s="14" t="s">
        <v>1721</v>
      </c>
      <c r="K137" s="14" t="s">
        <v>99</v>
      </c>
      <c r="L137" s="14" t="s">
        <v>99</v>
      </c>
      <c r="M137" s="14" t="s">
        <v>103</v>
      </c>
      <c r="N137" s="14" t="s">
        <v>104</v>
      </c>
      <c r="O137" s="14" t="s">
        <v>99</v>
      </c>
      <c r="P137" s="14" t="s">
        <v>99</v>
      </c>
      <c r="Q137" s="14" t="s">
        <v>99</v>
      </c>
      <c r="R137" s="14" t="s">
        <v>99</v>
      </c>
      <c r="S137" s="14" t="s">
        <v>99</v>
      </c>
      <c r="T137" s="14" t="s">
        <v>9387</v>
      </c>
      <c r="U137" s="14" t="s">
        <v>9388</v>
      </c>
      <c r="V137" s="14" t="s">
        <v>9389</v>
      </c>
      <c r="W137" s="14" t="s">
        <v>9390</v>
      </c>
      <c r="X137" s="14" t="s">
        <v>9391</v>
      </c>
      <c r="Y137" s="14" t="s">
        <v>9392</v>
      </c>
      <c r="Z137" s="14" t="s">
        <v>99</v>
      </c>
      <c r="AA137" s="14" t="s">
        <v>9393</v>
      </c>
      <c r="AB137" s="14" t="s">
        <v>99</v>
      </c>
      <c r="AC137" s="14" t="s">
        <v>99</v>
      </c>
      <c r="AD137" s="14" t="s">
        <v>99</v>
      </c>
      <c r="AE137" s="14" t="s">
        <v>99</v>
      </c>
      <c r="AF137" s="14" t="s">
        <v>99</v>
      </c>
      <c r="AG137" s="14">
        <v>84.0</v>
      </c>
      <c r="AH137" s="14">
        <v>24.0</v>
      </c>
      <c r="AI137" s="14">
        <v>28.0</v>
      </c>
      <c r="AJ137" s="14">
        <v>0.0</v>
      </c>
      <c r="AK137" s="14">
        <v>20.0</v>
      </c>
      <c r="AL137" s="14" t="s">
        <v>9352</v>
      </c>
      <c r="AM137" s="14" t="s">
        <v>1732</v>
      </c>
      <c r="AN137" s="14" t="s">
        <v>1733</v>
      </c>
      <c r="AO137" s="14" t="s">
        <v>1734</v>
      </c>
      <c r="AP137" s="14" t="s">
        <v>99</v>
      </c>
      <c r="AQ137" s="14" t="s">
        <v>99</v>
      </c>
      <c r="AR137" s="14" t="s">
        <v>1736</v>
      </c>
      <c r="AS137" s="14" t="s">
        <v>1737</v>
      </c>
      <c r="AT137" s="14" t="s">
        <v>421</v>
      </c>
      <c r="AU137" s="14">
        <v>2003.0</v>
      </c>
      <c r="AV137" s="14">
        <v>12.0</v>
      </c>
      <c r="AW137" s="14">
        <v>9.0</v>
      </c>
      <c r="AX137" s="14" t="s">
        <v>99</v>
      </c>
      <c r="AY137" s="14" t="s">
        <v>99</v>
      </c>
      <c r="AZ137" s="14" t="s">
        <v>99</v>
      </c>
      <c r="BA137" s="14" t="s">
        <v>99</v>
      </c>
      <c r="BB137" s="14">
        <v>1921.0</v>
      </c>
      <c r="BC137" s="14">
        <v>1936.0</v>
      </c>
      <c r="BD137" s="14" t="s">
        <v>99</v>
      </c>
      <c r="BE137" s="14" t="s">
        <v>9394</v>
      </c>
      <c r="BF137" s="15" t="str">
        <f>HYPERLINK("http://dx.doi.org/10.1023/A:1024147529295","http://dx.doi.org/10.1023/A:1024147529295")</f>
        <v>http://dx.doi.org/10.1023/A:1024147529295</v>
      </c>
      <c r="BG137" s="14" t="s">
        <v>99</v>
      </c>
      <c r="BH137" s="14" t="s">
        <v>99</v>
      </c>
      <c r="BI137" s="14">
        <v>16.0</v>
      </c>
      <c r="BJ137" s="14" t="s">
        <v>351</v>
      </c>
      <c r="BK137" s="14" t="s">
        <v>122</v>
      </c>
      <c r="BL137" s="14" t="s">
        <v>352</v>
      </c>
      <c r="BM137" s="14" t="s">
        <v>9395</v>
      </c>
      <c r="BN137" s="14" t="s">
        <v>99</v>
      </c>
      <c r="BO137" s="14" t="s">
        <v>99</v>
      </c>
      <c r="BP137" s="14" t="s">
        <v>99</v>
      </c>
      <c r="BQ137" s="14" t="s">
        <v>99</v>
      </c>
      <c r="BR137" s="14" t="s">
        <v>124</v>
      </c>
      <c r="BS137" s="14" t="s">
        <v>9396</v>
      </c>
      <c r="BT137" s="14" t="str">
        <f>HYPERLINK("https%3A%2F%2Fwww.webofscience.com%2Fwos%2Fwoscc%2Ffull-record%2FWOS:000183444300010","View Full Record in Web of Science")</f>
        <v>View Full Record in Web of Science</v>
      </c>
    </row>
    <row r="138" ht="12.75" customHeight="1">
      <c r="A138" s="14" t="s">
        <v>97</v>
      </c>
      <c r="B138" s="14" t="s">
        <v>9667</v>
      </c>
      <c r="C138" s="14" t="s">
        <v>99</v>
      </c>
      <c r="D138" s="14" t="s">
        <v>99</v>
      </c>
      <c r="E138" s="14" t="s">
        <v>99</v>
      </c>
      <c r="F138" s="14" t="s">
        <v>9667</v>
      </c>
      <c r="G138" s="14" t="s">
        <v>99</v>
      </c>
      <c r="H138" s="14" t="s">
        <v>99</v>
      </c>
      <c r="I138" s="14" t="s">
        <v>9668</v>
      </c>
      <c r="J138" s="14" t="s">
        <v>328</v>
      </c>
      <c r="K138" s="14" t="s">
        <v>99</v>
      </c>
      <c r="L138" s="14" t="s">
        <v>99</v>
      </c>
      <c r="M138" s="14" t="s">
        <v>103</v>
      </c>
      <c r="N138" s="14" t="s">
        <v>104</v>
      </c>
      <c r="O138" s="14" t="s">
        <v>99</v>
      </c>
      <c r="P138" s="14" t="s">
        <v>99</v>
      </c>
      <c r="Q138" s="14" t="s">
        <v>99</v>
      </c>
      <c r="R138" s="14" t="s">
        <v>99</v>
      </c>
      <c r="S138" s="14" t="s">
        <v>99</v>
      </c>
      <c r="T138" s="14" t="s">
        <v>9669</v>
      </c>
      <c r="U138" s="14" t="s">
        <v>9670</v>
      </c>
      <c r="V138" s="14" t="s">
        <v>9671</v>
      </c>
      <c r="W138" s="14" t="s">
        <v>9672</v>
      </c>
      <c r="X138" s="14" t="s">
        <v>9673</v>
      </c>
      <c r="Y138" s="14" t="s">
        <v>9674</v>
      </c>
      <c r="Z138" s="14" t="s">
        <v>9675</v>
      </c>
      <c r="AA138" s="14" t="s">
        <v>9676</v>
      </c>
      <c r="AB138" s="14" t="s">
        <v>9677</v>
      </c>
      <c r="AC138" s="14" t="s">
        <v>99</v>
      </c>
      <c r="AD138" s="14" t="s">
        <v>99</v>
      </c>
      <c r="AE138" s="14" t="s">
        <v>99</v>
      </c>
      <c r="AF138" s="14" t="s">
        <v>99</v>
      </c>
      <c r="AG138" s="14">
        <v>55.0</v>
      </c>
      <c r="AH138" s="14">
        <v>214.0</v>
      </c>
      <c r="AI138" s="14">
        <v>255.0</v>
      </c>
      <c r="AJ138" s="14">
        <v>2.0</v>
      </c>
      <c r="AK138" s="14">
        <v>120.0</v>
      </c>
      <c r="AL138" s="14" t="s">
        <v>341</v>
      </c>
      <c r="AM138" s="14" t="s">
        <v>342</v>
      </c>
      <c r="AN138" s="14" t="s">
        <v>343</v>
      </c>
      <c r="AO138" s="14" t="s">
        <v>344</v>
      </c>
      <c r="AP138" s="14" t="s">
        <v>345</v>
      </c>
      <c r="AQ138" s="14" t="s">
        <v>99</v>
      </c>
      <c r="AR138" s="14" t="s">
        <v>346</v>
      </c>
      <c r="AS138" s="14" t="s">
        <v>347</v>
      </c>
      <c r="AT138" s="14" t="s">
        <v>616</v>
      </c>
      <c r="AU138" s="14">
        <v>2002.0</v>
      </c>
      <c r="AV138" s="14">
        <v>8.0</v>
      </c>
      <c r="AW138" s="14">
        <v>6.0</v>
      </c>
      <c r="AX138" s="14" t="s">
        <v>99</v>
      </c>
      <c r="AY138" s="14" t="s">
        <v>99</v>
      </c>
      <c r="AZ138" s="14" t="s">
        <v>99</v>
      </c>
      <c r="BA138" s="14" t="s">
        <v>99</v>
      </c>
      <c r="BB138" s="14">
        <v>545.0</v>
      </c>
      <c r="BC138" s="14">
        <v>562.0</v>
      </c>
      <c r="BD138" s="14" t="s">
        <v>99</v>
      </c>
      <c r="BE138" s="14" t="s">
        <v>9678</v>
      </c>
      <c r="BF138" s="15" t="str">
        <f>HYPERLINK("http://dx.doi.org/10.1046/j.1365-2486.2002.00482.x","http://dx.doi.org/10.1046/j.1365-2486.2002.00482.x")</f>
        <v>http://dx.doi.org/10.1046/j.1365-2486.2002.00482.x</v>
      </c>
      <c r="BG138" s="14" t="s">
        <v>99</v>
      </c>
      <c r="BH138" s="14" t="s">
        <v>99</v>
      </c>
      <c r="BI138" s="14">
        <v>18.0</v>
      </c>
      <c r="BJ138" s="14" t="s">
        <v>351</v>
      </c>
      <c r="BK138" s="14" t="s">
        <v>122</v>
      </c>
      <c r="BL138" s="14" t="s">
        <v>352</v>
      </c>
      <c r="BM138" s="14" t="s">
        <v>9679</v>
      </c>
      <c r="BN138" s="14" t="s">
        <v>99</v>
      </c>
      <c r="BO138" s="14" t="s">
        <v>99</v>
      </c>
      <c r="BP138" s="14" t="s">
        <v>99</v>
      </c>
      <c r="BQ138" s="14" t="s">
        <v>99</v>
      </c>
      <c r="BR138" s="14" t="s">
        <v>124</v>
      </c>
      <c r="BS138" s="14" t="s">
        <v>9680</v>
      </c>
      <c r="BT138" s="14" t="str">
        <f>HYPERLINK("https%3A%2F%2Fwww.webofscience.com%2Fwos%2Fwoscc%2Ffull-record%2FWOS:000175749000004","View Full Record in Web of Science")</f>
        <v>View Full Record in Web of Science</v>
      </c>
    </row>
    <row r="139" ht="12.75" customHeight="1">
      <c r="A139" s="14" t="s">
        <v>97</v>
      </c>
      <c r="B139" s="14" t="s">
        <v>9851</v>
      </c>
      <c r="C139" s="14" t="s">
        <v>99</v>
      </c>
      <c r="D139" s="14" t="s">
        <v>99</v>
      </c>
      <c r="E139" s="14" t="s">
        <v>99</v>
      </c>
      <c r="F139" s="14" t="s">
        <v>9851</v>
      </c>
      <c r="G139" s="14" t="s">
        <v>99</v>
      </c>
      <c r="H139" s="14" t="s">
        <v>99</v>
      </c>
      <c r="I139" s="14" t="s">
        <v>9852</v>
      </c>
      <c r="J139" s="14" t="s">
        <v>9853</v>
      </c>
      <c r="K139" s="14" t="s">
        <v>99</v>
      </c>
      <c r="L139" s="14" t="s">
        <v>99</v>
      </c>
      <c r="M139" s="14" t="s">
        <v>103</v>
      </c>
      <c r="N139" s="14" t="s">
        <v>104</v>
      </c>
      <c r="O139" s="14" t="s">
        <v>99</v>
      </c>
      <c r="P139" s="14" t="s">
        <v>99</v>
      </c>
      <c r="Q139" s="14" t="s">
        <v>99</v>
      </c>
      <c r="R139" s="14" t="s">
        <v>99</v>
      </c>
      <c r="S139" s="14" t="s">
        <v>99</v>
      </c>
      <c r="T139" s="14" t="s">
        <v>9854</v>
      </c>
      <c r="U139" s="14" t="s">
        <v>9855</v>
      </c>
      <c r="V139" s="14" t="s">
        <v>9856</v>
      </c>
      <c r="W139" s="14" t="s">
        <v>9857</v>
      </c>
      <c r="X139" s="14" t="s">
        <v>9858</v>
      </c>
      <c r="Y139" s="14" t="s">
        <v>9859</v>
      </c>
      <c r="Z139" s="14" t="s">
        <v>9860</v>
      </c>
      <c r="AA139" s="14" t="s">
        <v>9861</v>
      </c>
      <c r="AB139" s="14" t="s">
        <v>9862</v>
      </c>
      <c r="AC139" s="14" t="s">
        <v>99</v>
      </c>
      <c r="AD139" s="14" t="s">
        <v>99</v>
      </c>
      <c r="AE139" s="14" t="s">
        <v>99</v>
      </c>
      <c r="AF139" s="14" t="s">
        <v>99</v>
      </c>
      <c r="AG139" s="14">
        <v>93.0</v>
      </c>
      <c r="AH139" s="14">
        <v>101.0</v>
      </c>
      <c r="AI139" s="14">
        <v>136.0</v>
      </c>
      <c r="AJ139" s="14">
        <v>0.0</v>
      </c>
      <c r="AK139" s="14">
        <v>66.0</v>
      </c>
      <c r="AL139" s="14" t="s">
        <v>1731</v>
      </c>
      <c r="AM139" s="14" t="s">
        <v>1732</v>
      </c>
      <c r="AN139" s="14" t="s">
        <v>1733</v>
      </c>
      <c r="AO139" s="14" t="s">
        <v>9863</v>
      </c>
      <c r="AP139" s="14" t="s">
        <v>99</v>
      </c>
      <c r="AQ139" s="14" t="s">
        <v>99</v>
      </c>
      <c r="AR139" s="14" t="s">
        <v>9864</v>
      </c>
      <c r="AS139" s="14" t="s">
        <v>9865</v>
      </c>
      <c r="AT139" s="14" t="s">
        <v>640</v>
      </c>
      <c r="AU139" s="14">
        <v>2001.0</v>
      </c>
      <c r="AV139" s="14">
        <v>16.0</v>
      </c>
      <c r="AW139" s="14">
        <v>4.0</v>
      </c>
      <c r="AX139" s="14" t="s">
        <v>99</v>
      </c>
      <c r="AY139" s="14" t="s">
        <v>99</v>
      </c>
      <c r="AZ139" s="14" t="s">
        <v>99</v>
      </c>
      <c r="BA139" s="14" t="s">
        <v>99</v>
      </c>
      <c r="BB139" s="14">
        <v>327.0</v>
      </c>
      <c r="BC139" s="14">
        <v>349.0</v>
      </c>
      <c r="BD139" s="14" t="s">
        <v>99</v>
      </c>
      <c r="BE139" s="14" t="s">
        <v>9866</v>
      </c>
      <c r="BF139" s="15" t="str">
        <f>HYPERLINK("http://dx.doi.org/10.1023/A:1011185409347","http://dx.doi.org/10.1023/A:1011185409347")</f>
        <v>http://dx.doi.org/10.1023/A:1011185409347</v>
      </c>
      <c r="BG139" s="14" t="s">
        <v>99</v>
      </c>
      <c r="BH139" s="14" t="s">
        <v>99</v>
      </c>
      <c r="BI139" s="14">
        <v>23.0</v>
      </c>
      <c r="BJ139" s="14" t="s">
        <v>9867</v>
      </c>
      <c r="BK139" s="14" t="s">
        <v>122</v>
      </c>
      <c r="BL139" s="14" t="s">
        <v>9868</v>
      </c>
      <c r="BM139" s="14" t="s">
        <v>9869</v>
      </c>
      <c r="BN139" s="14" t="s">
        <v>99</v>
      </c>
      <c r="BO139" s="14" t="s">
        <v>99</v>
      </c>
      <c r="BP139" s="14" t="s">
        <v>99</v>
      </c>
      <c r="BQ139" s="14" t="s">
        <v>99</v>
      </c>
      <c r="BR139" s="14" t="s">
        <v>124</v>
      </c>
      <c r="BS139" s="14" t="s">
        <v>9870</v>
      </c>
      <c r="BT139" s="14" t="str">
        <f>HYPERLINK("https%3A%2F%2Fwww.webofscience.com%2Fwos%2Fwoscc%2Ffull-record%2FWOS:000169516300004","View Full Record in Web of Science")</f>
        <v>View Full Record in Web of Science</v>
      </c>
    </row>
    <row r="140" ht="12.75" customHeight="1">
      <c r="A140" s="14" t="s">
        <v>97</v>
      </c>
      <c r="B140" s="14" t="s">
        <v>10293</v>
      </c>
      <c r="C140" s="14" t="s">
        <v>99</v>
      </c>
      <c r="D140" s="14" t="s">
        <v>99</v>
      </c>
      <c r="E140" s="14" t="s">
        <v>99</v>
      </c>
      <c r="F140" s="14" t="s">
        <v>10293</v>
      </c>
      <c r="G140" s="14" t="s">
        <v>99</v>
      </c>
      <c r="H140" s="14" t="s">
        <v>99</v>
      </c>
      <c r="I140" s="14" t="s">
        <v>10294</v>
      </c>
      <c r="J140" s="14" t="s">
        <v>10295</v>
      </c>
      <c r="K140" s="14" t="s">
        <v>99</v>
      </c>
      <c r="L140" s="14" t="s">
        <v>99</v>
      </c>
      <c r="M140" s="14" t="s">
        <v>103</v>
      </c>
      <c r="N140" s="14" t="s">
        <v>104</v>
      </c>
      <c r="O140" s="14" t="s">
        <v>99</v>
      </c>
      <c r="P140" s="14" t="s">
        <v>99</v>
      </c>
      <c r="Q140" s="14" t="s">
        <v>99</v>
      </c>
      <c r="R140" s="14" t="s">
        <v>99</v>
      </c>
      <c r="S140" s="14" t="s">
        <v>99</v>
      </c>
      <c r="T140" s="14" t="s">
        <v>99</v>
      </c>
      <c r="U140" s="14" t="s">
        <v>10296</v>
      </c>
      <c r="V140" s="14" t="s">
        <v>10297</v>
      </c>
      <c r="W140" s="14" t="s">
        <v>10298</v>
      </c>
      <c r="X140" s="14" t="s">
        <v>10299</v>
      </c>
      <c r="Y140" s="14" t="s">
        <v>10300</v>
      </c>
      <c r="Z140" s="14" t="s">
        <v>99</v>
      </c>
      <c r="AA140" s="14" t="s">
        <v>10301</v>
      </c>
      <c r="AB140" s="14" t="s">
        <v>99</v>
      </c>
      <c r="AC140" s="14" t="s">
        <v>99</v>
      </c>
      <c r="AD140" s="14" t="s">
        <v>99</v>
      </c>
      <c r="AE140" s="14" t="s">
        <v>99</v>
      </c>
      <c r="AF140" s="14" t="s">
        <v>99</v>
      </c>
      <c r="AG140" s="14">
        <v>46.0</v>
      </c>
      <c r="AH140" s="14">
        <v>92.0</v>
      </c>
      <c r="AI140" s="14">
        <v>106.0</v>
      </c>
      <c r="AJ140" s="14">
        <v>0.0</v>
      </c>
      <c r="AK140" s="14">
        <v>28.0</v>
      </c>
      <c r="AL140" s="14" t="s">
        <v>982</v>
      </c>
      <c r="AM140" s="14" t="s">
        <v>789</v>
      </c>
      <c r="AN140" s="14" t="s">
        <v>983</v>
      </c>
      <c r="AO140" s="14" t="s">
        <v>10302</v>
      </c>
      <c r="AP140" s="14" t="s">
        <v>99</v>
      </c>
      <c r="AQ140" s="14" t="s">
        <v>99</v>
      </c>
      <c r="AR140" s="14" t="s">
        <v>10303</v>
      </c>
      <c r="AS140" s="14" t="s">
        <v>10304</v>
      </c>
      <c r="AT140" s="14" t="s">
        <v>2079</v>
      </c>
      <c r="AU140" s="14">
        <v>1996.0</v>
      </c>
      <c r="AV140" s="14">
        <v>101.0</v>
      </c>
      <c r="AW140" s="14" t="s">
        <v>10305</v>
      </c>
      <c r="AX140" s="14" t="s">
        <v>99</v>
      </c>
      <c r="AY140" s="14" t="s">
        <v>99</v>
      </c>
      <c r="AZ140" s="14" t="s">
        <v>99</v>
      </c>
      <c r="BA140" s="14" t="s">
        <v>99</v>
      </c>
      <c r="BB140" s="14">
        <v>7157.0</v>
      </c>
      <c r="BC140" s="14">
        <v>7162.0</v>
      </c>
      <c r="BD140" s="14" t="s">
        <v>99</v>
      </c>
      <c r="BE140" s="14" t="s">
        <v>10306</v>
      </c>
      <c r="BF140" s="15" t="str">
        <f>HYPERLINK("http://dx.doi.org/10.1029/95JD02138","http://dx.doi.org/10.1029/95JD02138")</f>
        <v>http://dx.doi.org/10.1029/95JD02138</v>
      </c>
      <c r="BG140" s="14" t="s">
        <v>99</v>
      </c>
      <c r="BH140" s="14" t="s">
        <v>99</v>
      </c>
      <c r="BI140" s="14">
        <v>6.0</v>
      </c>
      <c r="BJ140" s="14" t="s">
        <v>963</v>
      </c>
      <c r="BK140" s="14" t="s">
        <v>122</v>
      </c>
      <c r="BL140" s="14" t="s">
        <v>963</v>
      </c>
      <c r="BM140" s="14" t="s">
        <v>10307</v>
      </c>
      <c r="BN140" s="14" t="s">
        <v>99</v>
      </c>
      <c r="BO140" s="14" t="s">
        <v>99</v>
      </c>
      <c r="BP140" s="14" t="s">
        <v>99</v>
      </c>
      <c r="BQ140" s="14" t="s">
        <v>99</v>
      </c>
      <c r="BR140" s="14" t="s">
        <v>124</v>
      </c>
      <c r="BS140" s="14" t="s">
        <v>10308</v>
      </c>
      <c r="BT140" s="14" t="str">
        <f>HYPERLINK("https%3A%2F%2Fwww.webofscience.com%2Fwos%2Fwoscc%2Ffull-record%2FWOS:A1996UB98600039","View Full Record in Web of Science")</f>
        <v>View Full Record in Web of Science</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325</v>
      </c>
      <c r="C2" s="14" t="s">
        <v>99</v>
      </c>
      <c r="D2" s="14" t="s">
        <v>99</v>
      </c>
      <c r="E2" s="14" t="s">
        <v>99</v>
      </c>
      <c r="F2" s="14" t="s">
        <v>326</v>
      </c>
      <c r="G2" s="14" t="s">
        <v>99</v>
      </c>
      <c r="H2" s="14" t="s">
        <v>99</v>
      </c>
      <c r="I2" s="14" t="s">
        <v>327</v>
      </c>
      <c r="J2" s="14" t="s">
        <v>328</v>
      </c>
      <c r="K2" s="14" t="s">
        <v>99</v>
      </c>
      <c r="L2" s="14" t="s">
        <v>99</v>
      </c>
      <c r="M2" s="14" t="s">
        <v>103</v>
      </c>
      <c r="N2" s="14" t="s">
        <v>104</v>
      </c>
      <c r="O2" s="14" t="s">
        <v>99</v>
      </c>
      <c r="P2" s="14" t="s">
        <v>99</v>
      </c>
      <c r="Q2" s="14" t="s">
        <v>99</v>
      </c>
      <c r="R2" s="14" t="s">
        <v>99</v>
      </c>
      <c r="S2" s="14" t="s">
        <v>99</v>
      </c>
      <c r="T2" s="14" t="s">
        <v>329</v>
      </c>
      <c r="U2" s="14" t="s">
        <v>330</v>
      </c>
      <c r="V2" s="14" t="s">
        <v>331</v>
      </c>
      <c r="W2" s="14" t="s">
        <v>332</v>
      </c>
      <c r="X2" s="14" t="s">
        <v>333</v>
      </c>
      <c r="Y2" s="14" t="s">
        <v>334</v>
      </c>
      <c r="Z2" s="14" t="s">
        <v>335</v>
      </c>
      <c r="AA2" s="14" t="s">
        <v>336</v>
      </c>
      <c r="AB2" s="14" t="s">
        <v>337</v>
      </c>
      <c r="AC2" s="14" t="s">
        <v>338</v>
      </c>
      <c r="AD2" s="14" t="s">
        <v>339</v>
      </c>
      <c r="AE2" s="14" t="s">
        <v>340</v>
      </c>
      <c r="AF2" s="14" t="s">
        <v>99</v>
      </c>
      <c r="AG2" s="14">
        <v>55.0</v>
      </c>
      <c r="AH2" s="14">
        <v>50.0</v>
      </c>
      <c r="AI2" s="14">
        <v>54.0</v>
      </c>
      <c r="AJ2" s="14">
        <v>2.0</v>
      </c>
      <c r="AK2" s="14">
        <v>66.0</v>
      </c>
      <c r="AL2" s="14" t="s">
        <v>341</v>
      </c>
      <c r="AM2" s="14" t="s">
        <v>342</v>
      </c>
      <c r="AN2" s="14" t="s">
        <v>343</v>
      </c>
      <c r="AO2" s="14" t="s">
        <v>344</v>
      </c>
      <c r="AP2" s="14" t="s">
        <v>345</v>
      </c>
      <c r="AQ2" s="14" t="s">
        <v>99</v>
      </c>
      <c r="AR2" s="14" t="s">
        <v>346</v>
      </c>
      <c r="AS2" s="14" t="s">
        <v>347</v>
      </c>
      <c r="AT2" s="14" t="s">
        <v>348</v>
      </c>
      <c r="AU2" s="14">
        <v>2019.0</v>
      </c>
      <c r="AV2" s="14">
        <v>25.0</v>
      </c>
      <c r="AW2" s="14">
        <v>11.0</v>
      </c>
      <c r="AX2" s="14" t="s">
        <v>99</v>
      </c>
      <c r="AY2" s="14" t="s">
        <v>99</v>
      </c>
      <c r="AZ2" s="14" t="s">
        <v>99</v>
      </c>
      <c r="BA2" s="14" t="s">
        <v>99</v>
      </c>
      <c r="BB2" s="14">
        <v>3946.0</v>
      </c>
      <c r="BC2" s="14">
        <v>3953.0</v>
      </c>
      <c r="BD2" s="14" t="s">
        <v>99</v>
      </c>
      <c r="BE2" s="14" t="s">
        <v>349</v>
      </c>
      <c r="BF2" s="15" t="str">
        <f>HYPERLINK("http://dx.doi.org/10.1111/gcb.14810","http://dx.doi.org/10.1111/gcb.14810")</f>
        <v>http://dx.doi.org/10.1111/gcb.14810</v>
      </c>
      <c r="BG2" s="14" t="s">
        <v>99</v>
      </c>
      <c r="BH2" s="14" t="s">
        <v>350</v>
      </c>
      <c r="BI2" s="14">
        <v>8.0</v>
      </c>
      <c r="BJ2" s="14" t="s">
        <v>351</v>
      </c>
      <c r="BK2" s="14" t="s">
        <v>122</v>
      </c>
      <c r="BL2" s="14" t="s">
        <v>352</v>
      </c>
      <c r="BM2" s="14" t="s">
        <v>353</v>
      </c>
      <c r="BN2" s="14">
        <v>3.1442348E7</v>
      </c>
      <c r="BO2" s="14" t="s">
        <v>354</v>
      </c>
      <c r="BP2" s="14" t="s">
        <v>99</v>
      </c>
      <c r="BQ2" s="14" t="s">
        <v>99</v>
      </c>
      <c r="BR2" s="14" t="s">
        <v>124</v>
      </c>
      <c r="BS2" s="14" t="s">
        <v>355</v>
      </c>
      <c r="BT2" s="14" t="str">
        <f>HYPERLINK("https%3A%2F%2Fwww.webofscience.com%2Fwos%2Fwoscc%2Ffull-record%2FWOS:000486782400001","View Full Record in Web of Science")</f>
        <v>View Full Record in Web of Science</v>
      </c>
    </row>
    <row r="3" ht="12.75" customHeight="1">
      <c r="A3" s="14" t="s">
        <v>97</v>
      </c>
      <c r="B3" s="14" t="s">
        <v>356</v>
      </c>
      <c r="C3" s="14" t="s">
        <v>99</v>
      </c>
      <c r="D3" s="14" t="s">
        <v>99</v>
      </c>
      <c r="E3" s="14" t="s">
        <v>99</v>
      </c>
      <c r="F3" s="14" t="s">
        <v>357</v>
      </c>
      <c r="G3" s="14" t="s">
        <v>99</v>
      </c>
      <c r="H3" s="14" t="s">
        <v>99</v>
      </c>
      <c r="I3" s="14" t="s">
        <v>358</v>
      </c>
      <c r="J3" s="14" t="s">
        <v>328</v>
      </c>
      <c r="K3" s="14" t="s">
        <v>99</v>
      </c>
      <c r="L3" s="14" t="s">
        <v>99</v>
      </c>
      <c r="M3" s="14" t="s">
        <v>103</v>
      </c>
      <c r="N3" s="14" t="s">
        <v>104</v>
      </c>
      <c r="O3" s="14" t="s">
        <v>99</v>
      </c>
      <c r="P3" s="14" t="s">
        <v>99</v>
      </c>
      <c r="Q3" s="14" t="s">
        <v>99</v>
      </c>
      <c r="R3" s="14" t="s">
        <v>99</v>
      </c>
      <c r="S3" s="14" t="s">
        <v>99</v>
      </c>
      <c r="T3" s="14" t="s">
        <v>359</v>
      </c>
      <c r="U3" s="14" t="s">
        <v>360</v>
      </c>
      <c r="V3" s="14" t="s">
        <v>361</v>
      </c>
      <c r="W3" s="14" t="s">
        <v>362</v>
      </c>
      <c r="X3" s="14" t="s">
        <v>363</v>
      </c>
      <c r="Y3" s="14" t="s">
        <v>364</v>
      </c>
      <c r="Z3" s="14" t="s">
        <v>365</v>
      </c>
      <c r="AA3" s="14" t="s">
        <v>366</v>
      </c>
      <c r="AB3" s="14" t="s">
        <v>367</v>
      </c>
      <c r="AC3" s="14" t="s">
        <v>368</v>
      </c>
      <c r="AD3" s="14" t="s">
        <v>369</v>
      </c>
      <c r="AE3" s="14" t="s">
        <v>370</v>
      </c>
      <c r="AF3" s="14" t="s">
        <v>99</v>
      </c>
      <c r="AG3" s="14">
        <v>99.0</v>
      </c>
      <c r="AH3" s="14">
        <v>63.0</v>
      </c>
      <c r="AI3" s="14">
        <v>67.0</v>
      </c>
      <c r="AJ3" s="14">
        <v>0.0</v>
      </c>
      <c r="AK3" s="14">
        <v>95.0</v>
      </c>
      <c r="AL3" s="14" t="s">
        <v>341</v>
      </c>
      <c r="AM3" s="14" t="s">
        <v>342</v>
      </c>
      <c r="AN3" s="14" t="s">
        <v>343</v>
      </c>
      <c r="AO3" s="14" t="s">
        <v>344</v>
      </c>
      <c r="AP3" s="14" t="s">
        <v>345</v>
      </c>
      <c r="AQ3" s="14" t="s">
        <v>99</v>
      </c>
      <c r="AR3" s="14" t="s">
        <v>346</v>
      </c>
      <c r="AS3" s="14" t="s">
        <v>347</v>
      </c>
      <c r="AT3" s="14" t="s">
        <v>348</v>
      </c>
      <c r="AU3" s="14">
        <v>2019.0</v>
      </c>
      <c r="AV3" s="14">
        <v>25.0</v>
      </c>
      <c r="AW3" s="14">
        <v>11.0</v>
      </c>
      <c r="AX3" s="14" t="s">
        <v>99</v>
      </c>
      <c r="AY3" s="14" t="s">
        <v>99</v>
      </c>
      <c r="AZ3" s="14" t="s">
        <v>99</v>
      </c>
      <c r="BA3" s="14" t="s">
        <v>99</v>
      </c>
      <c r="BB3" s="14">
        <v>3972.0</v>
      </c>
      <c r="BC3" s="14">
        <v>3984.0</v>
      </c>
      <c r="BD3" s="14" t="s">
        <v>99</v>
      </c>
      <c r="BE3" s="14" t="s">
        <v>371</v>
      </c>
      <c r="BF3" s="15" t="str">
        <f>HYPERLINK("http://dx.doi.org/10.1111/gcb.14785","http://dx.doi.org/10.1111/gcb.14785")</f>
        <v>http://dx.doi.org/10.1111/gcb.14785</v>
      </c>
      <c r="BG3" s="14" t="s">
        <v>99</v>
      </c>
      <c r="BH3" s="14" t="s">
        <v>372</v>
      </c>
      <c r="BI3" s="14">
        <v>13.0</v>
      </c>
      <c r="BJ3" s="14" t="s">
        <v>351</v>
      </c>
      <c r="BK3" s="14" t="s">
        <v>122</v>
      </c>
      <c r="BL3" s="14" t="s">
        <v>352</v>
      </c>
      <c r="BM3" s="14" t="s">
        <v>353</v>
      </c>
      <c r="BN3" s="14">
        <v>3.137631E7</v>
      </c>
      <c r="BO3" s="14" t="s">
        <v>373</v>
      </c>
      <c r="BP3" s="14" t="s">
        <v>99</v>
      </c>
      <c r="BQ3" s="14" t="s">
        <v>99</v>
      </c>
      <c r="BR3" s="14" t="s">
        <v>124</v>
      </c>
      <c r="BS3" s="14" t="s">
        <v>374</v>
      </c>
      <c r="BT3" s="14" t="str">
        <f>HYPERLINK("https%3A%2F%2Fwww.webofscience.com%2Fwos%2Fwoscc%2Ffull-record%2FWOS:000482780600001","View Full Record in Web of Science")</f>
        <v>View Full Record in Web of Science</v>
      </c>
    </row>
    <row r="4" ht="12.75" customHeight="1">
      <c r="A4" s="14" t="s">
        <v>97</v>
      </c>
      <c r="B4" s="14" t="s">
        <v>375</v>
      </c>
      <c r="C4" s="14" t="s">
        <v>99</v>
      </c>
      <c r="D4" s="14" t="s">
        <v>99</v>
      </c>
      <c r="E4" s="14" t="s">
        <v>99</v>
      </c>
      <c r="F4" s="14" t="s">
        <v>376</v>
      </c>
      <c r="G4" s="14" t="s">
        <v>99</v>
      </c>
      <c r="H4" s="14" t="s">
        <v>99</v>
      </c>
      <c r="I4" s="14" t="s">
        <v>377</v>
      </c>
      <c r="J4" s="14" t="s">
        <v>378</v>
      </c>
      <c r="K4" s="14" t="s">
        <v>99</v>
      </c>
      <c r="L4" s="14" t="s">
        <v>99</v>
      </c>
      <c r="M4" s="14" t="s">
        <v>103</v>
      </c>
      <c r="N4" s="14" t="s">
        <v>104</v>
      </c>
      <c r="O4" s="14" t="s">
        <v>99</v>
      </c>
      <c r="P4" s="14" t="s">
        <v>99</v>
      </c>
      <c r="Q4" s="14" t="s">
        <v>99</v>
      </c>
      <c r="R4" s="14" t="s">
        <v>99</v>
      </c>
      <c r="S4" s="14" t="s">
        <v>99</v>
      </c>
      <c r="T4" s="14" t="s">
        <v>379</v>
      </c>
      <c r="U4" s="14" t="s">
        <v>380</v>
      </c>
      <c r="V4" s="14" t="s">
        <v>381</v>
      </c>
      <c r="W4" s="14" t="s">
        <v>382</v>
      </c>
      <c r="X4" s="14" t="s">
        <v>383</v>
      </c>
      <c r="Y4" s="14" t="s">
        <v>384</v>
      </c>
      <c r="Z4" s="14" t="s">
        <v>385</v>
      </c>
      <c r="AA4" s="14" t="s">
        <v>386</v>
      </c>
      <c r="AB4" s="14" t="s">
        <v>387</v>
      </c>
      <c r="AC4" s="14" t="s">
        <v>99</v>
      </c>
      <c r="AD4" s="14" t="s">
        <v>99</v>
      </c>
      <c r="AE4" s="14" t="s">
        <v>99</v>
      </c>
      <c r="AF4" s="14" t="s">
        <v>99</v>
      </c>
      <c r="AG4" s="14">
        <v>103.0</v>
      </c>
      <c r="AH4" s="14">
        <v>67.0</v>
      </c>
      <c r="AI4" s="14">
        <v>70.0</v>
      </c>
      <c r="AJ4" s="14">
        <v>1.0</v>
      </c>
      <c r="AK4" s="14">
        <v>56.0</v>
      </c>
      <c r="AL4" s="14" t="s">
        <v>388</v>
      </c>
      <c r="AM4" s="14" t="s">
        <v>389</v>
      </c>
      <c r="AN4" s="14" t="s">
        <v>390</v>
      </c>
      <c r="AO4" s="14" t="s">
        <v>99</v>
      </c>
      <c r="AP4" s="14" t="s">
        <v>391</v>
      </c>
      <c r="AQ4" s="14" t="s">
        <v>99</v>
      </c>
      <c r="AR4" s="14" t="s">
        <v>392</v>
      </c>
      <c r="AS4" s="14" t="s">
        <v>393</v>
      </c>
      <c r="AT4" s="14" t="s">
        <v>394</v>
      </c>
      <c r="AU4" s="14">
        <v>2019.0</v>
      </c>
      <c r="AV4" s="14">
        <v>6.0</v>
      </c>
      <c r="AW4" s="14" t="s">
        <v>99</v>
      </c>
      <c r="AX4" s="14" t="s">
        <v>99</v>
      </c>
      <c r="AY4" s="14" t="s">
        <v>99</v>
      </c>
      <c r="AZ4" s="14" t="s">
        <v>99</v>
      </c>
      <c r="BA4" s="14" t="s">
        <v>99</v>
      </c>
      <c r="BB4" s="14" t="s">
        <v>99</v>
      </c>
      <c r="BC4" s="14" t="s">
        <v>99</v>
      </c>
      <c r="BD4" s="14">
        <v>370.0</v>
      </c>
      <c r="BE4" s="14" t="s">
        <v>395</v>
      </c>
      <c r="BF4" s="15" t="str">
        <f>HYPERLINK("http://dx.doi.org/10.3389/fmars.2019.00370","http://dx.doi.org/10.3389/fmars.2019.00370")</f>
        <v>http://dx.doi.org/10.3389/fmars.2019.00370</v>
      </c>
      <c r="BG4" s="14" t="s">
        <v>99</v>
      </c>
      <c r="BH4" s="14" t="s">
        <v>99</v>
      </c>
      <c r="BI4" s="14">
        <v>17.0</v>
      </c>
      <c r="BJ4" s="14" t="s">
        <v>396</v>
      </c>
      <c r="BK4" s="14" t="s">
        <v>122</v>
      </c>
      <c r="BL4" s="14" t="s">
        <v>397</v>
      </c>
      <c r="BM4" s="14" t="s">
        <v>398</v>
      </c>
      <c r="BN4" s="14" t="s">
        <v>99</v>
      </c>
      <c r="BO4" s="14" t="s">
        <v>399</v>
      </c>
      <c r="BP4" s="14" t="s">
        <v>99</v>
      </c>
      <c r="BQ4" s="14" t="s">
        <v>99</v>
      </c>
      <c r="BR4" s="14" t="s">
        <v>124</v>
      </c>
      <c r="BS4" s="14" t="s">
        <v>400</v>
      </c>
      <c r="BT4" s="14" t="str">
        <f>HYPERLINK("https%3A%2F%2Fwww.webofscience.com%2Fwos%2Fwoscc%2Ffull-record%2FWOS:000473765900001","View Full Record in Web of Science")</f>
        <v>View Full Record in Web of Science</v>
      </c>
    </row>
    <row r="5" ht="12.75" customHeight="1">
      <c r="A5" s="14" t="s">
        <v>97</v>
      </c>
      <c r="B5" s="14" t="s">
        <v>920</v>
      </c>
      <c r="C5" s="14" t="s">
        <v>99</v>
      </c>
      <c r="D5" s="14" t="s">
        <v>99</v>
      </c>
      <c r="E5" s="14" t="s">
        <v>99</v>
      </c>
      <c r="F5" s="14" t="s">
        <v>921</v>
      </c>
      <c r="G5" s="14" t="s">
        <v>99</v>
      </c>
      <c r="H5" s="14" t="s">
        <v>99</v>
      </c>
      <c r="I5" s="14" t="s">
        <v>922</v>
      </c>
      <c r="J5" s="14" t="s">
        <v>328</v>
      </c>
      <c r="K5" s="14" t="s">
        <v>99</v>
      </c>
      <c r="L5" s="14" t="s">
        <v>99</v>
      </c>
      <c r="M5" s="14" t="s">
        <v>103</v>
      </c>
      <c r="N5" s="14" t="s">
        <v>104</v>
      </c>
      <c r="O5" s="14" t="s">
        <v>99</v>
      </c>
      <c r="P5" s="14" t="s">
        <v>99</v>
      </c>
      <c r="Q5" s="14" t="s">
        <v>99</v>
      </c>
      <c r="R5" s="14" t="s">
        <v>99</v>
      </c>
      <c r="S5" s="14" t="s">
        <v>99</v>
      </c>
      <c r="T5" s="14" t="s">
        <v>923</v>
      </c>
      <c r="U5" s="14" t="s">
        <v>924</v>
      </c>
      <c r="V5" s="14" t="s">
        <v>925</v>
      </c>
      <c r="W5" s="14" t="s">
        <v>926</v>
      </c>
      <c r="X5" s="14" t="s">
        <v>927</v>
      </c>
      <c r="Y5" s="14" t="s">
        <v>928</v>
      </c>
      <c r="Z5" s="14" t="s">
        <v>929</v>
      </c>
      <c r="AA5" s="14" t="s">
        <v>930</v>
      </c>
      <c r="AB5" s="14" t="s">
        <v>931</v>
      </c>
      <c r="AC5" s="14" t="s">
        <v>932</v>
      </c>
      <c r="AD5" s="14" t="s">
        <v>933</v>
      </c>
      <c r="AE5" s="14" t="s">
        <v>934</v>
      </c>
      <c r="AF5" s="14" t="s">
        <v>99</v>
      </c>
      <c r="AG5" s="14">
        <v>73.0</v>
      </c>
      <c r="AH5" s="14">
        <v>196.0</v>
      </c>
      <c r="AI5" s="14">
        <v>214.0</v>
      </c>
      <c r="AJ5" s="14">
        <v>3.0</v>
      </c>
      <c r="AK5" s="14">
        <v>109.0</v>
      </c>
      <c r="AL5" s="14" t="s">
        <v>341</v>
      </c>
      <c r="AM5" s="14" t="s">
        <v>342</v>
      </c>
      <c r="AN5" s="14" t="s">
        <v>343</v>
      </c>
      <c r="AO5" s="14" t="s">
        <v>344</v>
      </c>
      <c r="AP5" s="14" t="s">
        <v>345</v>
      </c>
      <c r="AQ5" s="14" t="s">
        <v>99</v>
      </c>
      <c r="AR5" s="14" t="s">
        <v>346</v>
      </c>
      <c r="AS5" s="14" t="s">
        <v>347</v>
      </c>
      <c r="AT5" s="14" t="s">
        <v>935</v>
      </c>
      <c r="AU5" s="14">
        <v>2018.0</v>
      </c>
      <c r="AV5" s="14">
        <v>24.0</v>
      </c>
      <c r="AW5" s="14">
        <v>1.0</v>
      </c>
      <c r="AX5" s="14" t="s">
        <v>99</v>
      </c>
      <c r="AY5" s="14" t="s">
        <v>99</v>
      </c>
      <c r="AZ5" s="14" t="s">
        <v>99</v>
      </c>
      <c r="BA5" s="14" t="s">
        <v>99</v>
      </c>
      <c r="BB5" s="14" t="s">
        <v>936</v>
      </c>
      <c r="BC5" s="14" t="s">
        <v>937</v>
      </c>
      <c r="BD5" s="14" t="s">
        <v>99</v>
      </c>
      <c r="BE5" s="14" t="s">
        <v>938</v>
      </c>
      <c r="BF5" s="15" t="str">
        <f>HYPERLINK("http://dx.doi.org/10.1111/gcb.13916","http://dx.doi.org/10.1111/gcb.13916")</f>
        <v>http://dx.doi.org/10.1111/gcb.13916</v>
      </c>
      <c r="BG5" s="14" t="s">
        <v>99</v>
      </c>
      <c r="BH5" s="14" t="s">
        <v>99</v>
      </c>
      <c r="BI5" s="14">
        <v>13.0</v>
      </c>
      <c r="BJ5" s="14" t="s">
        <v>351</v>
      </c>
      <c r="BK5" s="14" t="s">
        <v>122</v>
      </c>
      <c r="BL5" s="14" t="s">
        <v>352</v>
      </c>
      <c r="BM5" s="14" t="s">
        <v>939</v>
      </c>
      <c r="BN5" s="14">
        <v>2.8944532E7</v>
      </c>
      <c r="BO5" s="14" t="s">
        <v>940</v>
      </c>
      <c r="BP5" s="14" t="s">
        <v>99</v>
      </c>
      <c r="BQ5" s="14" t="s">
        <v>99</v>
      </c>
      <c r="BR5" s="14" t="s">
        <v>124</v>
      </c>
      <c r="BS5" s="14" t="s">
        <v>941</v>
      </c>
      <c r="BT5" s="14" t="str">
        <f>HYPERLINK("https%3A%2F%2Fwww.webofscience.com%2Fwos%2Fwoscc%2Ffull-record%2FWOS:000426506100027","View Full Record in Web of Science")</f>
        <v>View Full Record in Web of Science</v>
      </c>
    </row>
    <row r="6" ht="12.75" customHeight="1">
      <c r="A6" s="14" t="s">
        <v>97</v>
      </c>
      <c r="B6" s="14" t="s">
        <v>1807</v>
      </c>
      <c r="C6" s="14" t="s">
        <v>99</v>
      </c>
      <c r="D6" s="14" t="s">
        <v>99</v>
      </c>
      <c r="E6" s="14" t="s">
        <v>99</v>
      </c>
      <c r="F6" s="14" t="s">
        <v>1808</v>
      </c>
      <c r="G6" s="14" t="s">
        <v>99</v>
      </c>
      <c r="H6" s="14" t="s">
        <v>99</v>
      </c>
      <c r="I6" s="14" t="s">
        <v>1809</v>
      </c>
      <c r="J6" s="14" t="s">
        <v>1605</v>
      </c>
      <c r="K6" s="14" t="s">
        <v>99</v>
      </c>
      <c r="L6" s="14" t="s">
        <v>99</v>
      </c>
      <c r="M6" s="14" t="s">
        <v>103</v>
      </c>
      <c r="N6" s="14" t="s">
        <v>104</v>
      </c>
      <c r="O6" s="14" t="s">
        <v>99</v>
      </c>
      <c r="P6" s="14" t="s">
        <v>99</v>
      </c>
      <c r="Q6" s="14" t="s">
        <v>99</v>
      </c>
      <c r="R6" s="14" t="s">
        <v>99</v>
      </c>
      <c r="S6" s="14" t="s">
        <v>99</v>
      </c>
      <c r="T6" s="14" t="s">
        <v>1810</v>
      </c>
      <c r="U6" s="14" t="s">
        <v>1811</v>
      </c>
      <c r="V6" s="14" t="s">
        <v>1812</v>
      </c>
      <c r="W6" s="14" t="s">
        <v>1813</v>
      </c>
      <c r="X6" s="14" t="s">
        <v>1814</v>
      </c>
      <c r="Y6" s="14" t="s">
        <v>1815</v>
      </c>
      <c r="Z6" s="14" t="s">
        <v>1816</v>
      </c>
      <c r="AA6" s="14" t="s">
        <v>1817</v>
      </c>
      <c r="AB6" s="14" t="s">
        <v>1818</v>
      </c>
      <c r="AC6" s="14" t="s">
        <v>1819</v>
      </c>
      <c r="AD6" s="14" t="s">
        <v>1820</v>
      </c>
      <c r="AE6" s="14" t="s">
        <v>1821</v>
      </c>
      <c r="AF6" s="14" t="s">
        <v>99</v>
      </c>
      <c r="AG6" s="14">
        <v>61.0</v>
      </c>
      <c r="AH6" s="14">
        <v>45.0</v>
      </c>
      <c r="AI6" s="14">
        <v>48.0</v>
      </c>
      <c r="AJ6" s="14">
        <v>2.0</v>
      </c>
      <c r="AK6" s="14">
        <v>51.0</v>
      </c>
      <c r="AL6" s="14" t="s">
        <v>1822</v>
      </c>
      <c r="AM6" s="14" t="s">
        <v>342</v>
      </c>
      <c r="AN6" s="14" t="s">
        <v>343</v>
      </c>
      <c r="AO6" s="14" t="s">
        <v>1618</v>
      </c>
      <c r="AP6" s="14" t="s">
        <v>1619</v>
      </c>
      <c r="AQ6" s="14" t="s">
        <v>99</v>
      </c>
      <c r="AR6" s="14" t="s">
        <v>1620</v>
      </c>
      <c r="AS6" s="14" t="s">
        <v>1621</v>
      </c>
      <c r="AT6" s="14" t="s">
        <v>348</v>
      </c>
      <c r="AU6" s="14">
        <v>2016.0</v>
      </c>
      <c r="AV6" s="14">
        <v>43.0</v>
      </c>
      <c r="AW6" s="14">
        <v>11.0</v>
      </c>
      <c r="AX6" s="14" t="s">
        <v>99</v>
      </c>
      <c r="AY6" s="14" t="s">
        <v>99</v>
      </c>
      <c r="AZ6" s="14" t="s">
        <v>99</v>
      </c>
      <c r="BA6" s="14" t="s">
        <v>99</v>
      </c>
      <c r="BB6" s="14">
        <v>2285.0</v>
      </c>
      <c r="BC6" s="14">
        <v>2298.0</v>
      </c>
      <c r="BD6" s="14" t="s">
        <v>99</v>
      </c>
      <c r="BE6" s="14" t="s">
        <v>1823</v>
      </c>
      <c r="BF6" s="15" t="str">
        <f>HYPERLINK("http://dx.doi.org/10.1111/jbi.12847","http://dx.doi.org/10.1111/jbi.12847")</f>
        <v>http://dx.doi.org/10.1111/jbi.12847</v>
      </c>
      <c r="BG6" s="14" t="s">
        <v>99</v>
      </c>
      <c r="BH6" s="14" t="s">
        <v>99</v>
      </c>
      <c r="BI6" s="14">
        <v>14.0</v>
      </c>
      <c r="BJ6" s="14" t="s">
        <v>869</v>
      </c>
      <c r="BK6" s="14" t="s">
        <v>122</v>
      </c>
      <c r="BL6" s="14" t="s">
        <v>870</v>
      </c>
      <c r="BM6" s="14" t="s">
        <v>1824</v>
      </c>
      <c r="BN6" s="14" t="s">
        <v>99</v>
      </c>
      <c r="BO6" s="14" t="s">
        <v>99</v>
      </c>
      <c r="BP6" s="14" t="s">
        <v>99</v>
      </c>
      <c r="BQ6" s="14" t="s">
        <v>99</v>
      </c>
      <c r="BR6" s="14" t="s">
        <v>124</v>
      </c>
      <c r="BS6" s="14" t="s">
        <v>1825</v>
      </c>
      <c r="BT6" s="14" t="str">
        <f>HYPERLINK("https%3A%2F%2Fwww.webofscience.com%2Fwos%2Fwoscc%2Ffull-record%2FWOS:000388868700017","View Full Record in Web of Science")</f>
        <v>View Full Record in Web of Science</v>
      </c>
    </row>
    <row r="7" ht="12.75" customHeight="1">
      <c r="A7" s="14" t="s">
        <v>97</v>
      </c>
      <c r="B7" s="14" t="s">
        <v>1866</v>
      </c>
      <c r="C7" s="14" t="s">
        <v>99</v>
      </c>
      <c r="D7" s="14" t="s">
        <v>99</v>
      </c>
      <c r="E7" s="14" t="s">
        <v>99</v>
      </c>
      <c r="F7" s="14" t="s">
        <v>1867</v>
      </c>
      <c r="G7" s="14" t="s">
        <v>99</v>
      </c>
      <c r="H7" s="14" t="s">
        <v>99</v>
      </c>
      <c r="I7" s="14" t="s">
        <v>1868</v>
      </c>
      <c r="J7" s="14" t="s">
        <v>876</v>
      </c>
      <c r="K7" s="14" t="s">
        <v>99</v>
      </c>
      <c r="L7" s="14" t="s">
        <v>99</v>
      </c>
      <c r="M7" s="14" t="s">
        <v>103</v>
      </c>
      <c r="N7" s="14" t="s">
        <v>104</v>
      </c>
      <c r="O7" s="14" t="s">
        <v>99</v>
      </c>
      <c r="P7" s="14" t="s">
        <v>99</v>
      </c>
      <c r="Q7" s="14" t="s">
        <v>99</v>
      </c>
      <c r="R7" s="14" t="s">
        <v>99</v>
      </c>
      <c r="S7" s="14" t="s">
        <v>99</v>
      </c>
      <c r="T7" s="14" t="s">
        <v>1869</v>
      </c>
      <c r="U7" s="14" t="s">
        <v>1870</v>
      </c>
      <c r="V7" s="14" t="s">
        <v>1871</v>
      </c>
      <c r="W7" s="14" t="s">
        <v>1872</v>
      </c>
      <c r="X7" s="14" t="s">
        <v>1873</v>
      </c>
      <c r="Y7" s="14" t="s">
        <v>1874</v>
      </c>
      <c r="Z7" s="14" t="s">
        <v>1875</v>
      </c>
      <c r="AA7" s="14" t="s">
        <v>99</v>
      </c>
      <c r="AB7" s="14" t="s">
        <v>99</v>
      </c>
      <c r="AC7" s="14" t="s">
        <v>1876</v>
      </c>
      <c r="AD7" s="14" t="s">
        <v>1876</v>
      </c>
      <c r="AE7" s="14" t="s">
        <v>1877</v>
      </c>
      <c r="AF7" s="14" t="s">
        <v>99</v>
      </c>
      <c r="AG7" s="14">
        <v>70.0</v>
      </c>
      <c r="AH7" s="14">
        <v>2.0</v>
      </c>
      <c r="AI7" s="14">
        <v>7.0</v>
      </c>
      <c r="AJ7" s="14">
        <v>2.0</v>
      </c>
      <c r="AK7" s="14">
        <v>41.0</v>
      </c>
      <c r="AL7" s="14" t="s">
        <v>1033</v>
      </c>
      <c r="AM7" s="14" t="s">
        <v>442</v>
      </c>
      <c r="AN7" s="14" t="s">
        <v>1034</v>
      </c>
      <c r="AO7" s="14" t="s">
        <v>889</v>
      </c>
      <c r="AP7" s="14" t="s">
        <v>890</v>
      </c>
      <c r="AQ7" s="14" t="s">
        <v>99</v>
      </c>
      <c r="AR7" s="14" t="s">
        <v>891</v>
      </c>
      <c r="AS7" s="14" t="s">
        <v>892</v>
      </c>
      <c r="AT7" s="14" t="s">
        <v>421</v>
      </c>
      <c r="AU7" s="14">
        <v>2016.0</v>
      </c>
      <c r="AV7" s="14">
        <v>181.0</v>
      </c>
      <c r="AW7" s="14" t="s">
        <v>99</v>
      </c>
      <c r="AX7" s="14" t="s">
        <v>99</v>
      </c>
      <c r="AY7" s="14" t="s">
        <v>99</v>
      </c>
      <c r="AZ7" s="14" t="s">
        <v>99</v>
      </c>
      <c r="BA7" s="14" t="s">
        <v>99</v>
      </c>
      <c r="BB7" s="14">
        <v>222.0</v>
      </c>
      <c r="BC7" s="14">
        <v>233.0</v>
      </c>
      <c r="BD7" s="14" t="s">
        <v>99</v>
      </c>
      <c r="BE7" s="14" t="s">
        <v>1878</v>
      </c>
      <c r="BF7" s="15" t="str">
        <f>HYPERLINK("http://dx.doi.org/10.1016/j.fishres.2016.05.002","http://dx.doi.org/10.1016/j.fishres.2016.05.002")</f>
        <v>http://dx.doi.org/10.1016/j.fishres.2016.05.002</v>
      </c>
      <c r="BG7" s="14" t="s">
        <v>99</v>
      </c>
      <c r="BH7" s="14" t="s">
        <v>99</v>
      </c>
      <c r="BI7" s="14">
        <v>12.0</v>
      </c>
      <c r="BJ7" s="14" t="s">
        <v>894</v>
      </c>
      <c r="BK7" s="14" t="s">
        <v>122</v>
      </c>
      <c r="BL7" s="14" t="s">
        <v>894</v>
      </c>
      <c r="BM7" s="14" t="s">
        <v>1879</v>
      </c>
      <c r="BN7" s="14" t="s">
        <v>99</v>
      </c>
      <c r="BO7" s="14" t="s">
        <v>99</v>
      </c>
      <c r="BP7" s="14" t="s">
        <v>99</v>
      </c>
      <c r="BQ7" s="14" t="s">
        <v>99</v>
      </c>
      <c r="BR7" s="14" t="s">
        <v>124</v>
      </c>
      <c r="BS7" s="14" t="s">
        <v>1880</v>
      </c>
      <c r="BT7" s="14" t="str">
        <f>HYPERLINK("https%3A%2F%2Fwww.webofscience.com%2Fwos%2Fwoscc%2Ffull-record%2FWOS:000378181900022","View Full Record in Web of Science")</f>
        <v>View Full Record in Web of Science</v>
      </c>
    </row>
    <row r="8" ht="12.75" customHeight="1">
      <c r="A8" s="14" t="s">
        <v>97</v>
      </c>
      <c r="B8" s="14" t="s">
        <v>1945</v>
      </c>
      <c r="C8" s="14" t="s">
        <v>99</v>
      </c>
      <c r="D8" s="14" t="s">
        <v>99</v>
      </c>
      <c r="E8" s="14" t="s">
        <v>99</v>
      </c>
      <c r="F8" s="14" t="s">
        <v>1946</v>
      </c>
      <c r="G8" s="14" t="s">
        <v>99</v>
      </c>
      <c r="H8" s="14" t="s">
        <v>99</v>
      </c>
      <c r="I8" s="14" t="s">
        <v>1947</v>
      </c>
      <c r="J8" s="14" t="s">
        <v>328</v>
      </c>
      <c r="K8" s="14" t="s">
        <v>99</v>
      </c>
      <c r="L8" s="14" t="s">
        <v>99</v>
      </c>
      <c r="M8" s="14" t="s">
        <v>103</v>
      </c>
      <c r="N8" s="14" t="s">
        <v>104</v>
      </c>
      <c r="O8" s="14" t="s">
        <v>99</v>
      </c>
      <c r="P8" s="14" t="s">
        <v>99</v>
      </c>
      <c r="Q8" s="14" t="s">
        <v>99</v>
      </c>
      <c r="R8" s="14" t="s">
        <v>99</v>
      </c>
      <c r="S8" s="14" t="s">
        <v>99</v>
      </c>
      <c r="T8" s="14" t="s">
        <v>1948</v>
      </c>
      <c r="U8" s="14" t="s">
        <v>1949</v>
      </c>
      <c r="V8" s="14" t="s">
        <v>1950</v>
      </c>
      <c r="W8" s="14" t="s">
        <v>1951</v>
      </c>
      <c r="X8" s="14" t="s">
        <v>1952</v>
      </c>
      <c r="Y8" s="14" t="s">
        <v>1953</v>
      </c>
      <c r="Z8" s="14" t="s">
        <v>1954</v>
      </c>
      <c r="AA8" s="14" t="s">
        <v>1955</v>
      </c>
      <c r="AB8" s="14" t="s">
        <v>1956</v>
      </c>
      <c r="AC8" s="14" t="s">
        <v>1957</v>
      </c>
      <c r="AD8" s="14" t="s">
        <v>1958</v>
      </c>
      <c r="AE8" s="14" t="s">
        <v>1959</v>
      </c>
      <c r="AF8" s="14" t="s">
        <v>99</v>
      </c>
      <c r="AG8" s="14">
        <v>91.0</v>
      </c>
      <c r="AH8" s="14">
        <v>83.0</v>
      </c>
      <c r="AI8" s="14">
        <v>87.0</v>
      </c>
      <c r="AJ8" s="14">
        <v>2.0</v>
      </c>
      <c r="AK8" s="14">
        <v>90.0</v>
      </c>
      <c r="AL8" s="14" t="s">
        <v>341</v>
      </c>
      <c r="AM8" s="14" t="s">
        <v>342</v>
      </c>
      <c r="AN8" s="14" t="s">
        <v>343</v>
      </c>
      <c r="AO8" s="14" t="s">
        <v>344</v>
      </c>
      <c r="AP8" s="14" t="s">
        <v>345</v>
      </c>
      <c r="AQ8" s="14" t="s">
        <v>99</v>
      </c>
      <c r="AR8" s="14" t="s">
        <v>346</v>
      </c>
      <c r="AS8" s="14" t="s">
        <v>347</v>
      </c>
      <c r="AT8" s="14" t="s">
        <v>474</v>
      </c>
      <c r="AU8" s="14">
        <v>2016.0</v>
      </c>
      <c r="AV8" s="14">
        <v>22.0</v>
      </c>
      <c r="AW8" s="14">
        <v>8.0</v>
      </c>
      <c r="AX8" s="14" t="s">
        <v>99</v>
      </c>
      <c r="AY8" s="14" t="s">
        <v>99</v>
      </c>
      <c r="AZ8" s="14" t="s">
        <v>99</v>
      </c>
      <c r="BA8" s="14" t="s">
        <v>99</v>
      </c>
      <c r="BB8" s="14">
        <v>2729.0</v>
      </c>
      <c r="BC8" s="14">
        <v>2743.0</v>
      </c>
      <c r="BD8" s="14" t="s">
        <v>99</v>
      </c>
      <c r="BE8" s="14" t="s">
        <v>1960</v>
      </c>
      <c r="BF8" s="15" t="str">
        <f>HYPERLINK("http://dx.doi.org/10.1111/gcb.13316","http://dx.doi.org/10.1111/gcb.13316")</f>
        <v>http://dx.doi.org/10.1111/gcb.13316</v>
      </c>
      <c r="BG8" s="14" t="s">
        <v>99</v>
      </c>
      <c r="BH8" s="14" t="s">
        <v>99</v>
      </c>
      <c r="BI8" s="14">
        <v>15.0</v>
      </c>
      <c r="BJ8" s="14" t="s">
        <v>351</v>
      </c>
      <c r="BK8" s="14" t="s">
        <v>122</v>
      </c>
      <c r="BL8" s="14" t="s">
        <v>352</v>
      </c>
      <c r="BM8" s="14" t="s">
        <v>1961</v>
      </c>
      <c r="BN8" s="14">
        <v>2.7082729E7</v>
      </c>
      <c r="BO8" s="14" t="s">
        <v>1118</v>
      </c>
      <c r="BP8" s="14" t="s">
        <v>99</v>
      </c>
      <c r="BQ8" s="14" t="s">
        <v>99</v>
      </c>
      <c r="BR8" s="14" t="s">
        <v>124</v>
      </c>
      <c r="BS8" s="14" t="s">
        <v>1962</v>
      </c>
      <c r="BT8" s="14" t="str">
        <f>HYPERLINK("https%3A%2F%2Fwww.webofscience.com%2Fwos%2Fwoscc%2Ffull-record%2FWOS:000380016800008","View Full Record in Web of Science")</f>
        <v>View Full Record in Web of Science</v>
      </c>
    </row>
    <row r="9" ht="12.75" customHeight="1">
      <c r="A9" s="14" t="s">
        <v>97</v>
      </c>
      <c r="B9" s="14" t="s">
        <v>2755</v>
      </c>
      <c r="C9" s="14" t="s">
        <v>99</v>
      </c>
      <c r="D9" s="14" t="s">
        <v>99</v>
      </c>
      <c r="E9" s="14" t="s">
        <v>99</v>
      </c>
      <c r="F9" s="14" t="s">
        <v>2756</v>
      </c>
      <c r="G9" s="14" t="s">
        <v>99</v>
      </c>
      <c r="H9" s="14" t="s">
        <v>99</v>
      </c>
      <c r="I9" s="14" t="s">
        <v>2757</v>
      </c>
      <c r="J9" s="14" t="s">
        <v>581</v>
      </c>
      <c r="K9" s="14" t="s">
        <v>99</v>
      </c>
      <c r="L9" s="14" t="s">
        <v>99</v>
      </c>
      <c r="M9" s="14" t="s">
        <v>103</v>
      </c>
      <c r="N9" s="14" t="s">
        <v>104</v>
      </c>
      <c r="O9" s="14" t="s">
        <v>99</v>
      </c>
      <c r="P9" s="14" t="s">
        <v>99</v>
      </c>
      <c r="Q9" s="14" t="s">
        <v>99</v>
      </c>
      <c r="R9" s="14" t="s">
        <v>99</v>
      </c>
      <c r="S9" s="14" t="s">
        <v>99</v>
      </c>
      <c r="T9" s="14" t="s">
        <v>2758</v>
      </c>
      <c r="U9" s="14" t="s">
        <v>2759</v>
      </c>
      <c r="V9" s="14" t="s">
        <v>2760</v>
      </c>
      <c r="W9" s="14" t="s">
        <v>2761</v>
      </c>
      <c r="X9" s="14" t="s">
        <v>2762</v>
      </c>
      <c r="Y9" s="14" t="s">
        <v>2763</v>
      </c>
      <c r="Z9" s="14" t="s">
        <v>2764</v>
      </c>
      <c r="AA9" s="14" t="s">
        <v>2765</v>
      </c>
      <c r="AB9" s="14" t="s">
        <v>2766</v>
      </c>
      <c r="AC9" s="14" t="s">
        <v>2767</v>
      </c>
      <c r="AD9" s="14" t="s">
        <v>2768</v>
      </c>
      <c r="AE9" s="14" t="s">
        <v>2769</v>
      </c>
      <c r="AF9" s="14" t="s">
        <v>99</v>
      </c>
      <c r="AG9" s="14">
        <v>65.0</v>
      </c>
      <c r="AH9" s="14">
        <v>121.0</v>
      </c>
      <c r="AI9" s="14">
        <v>128.0</v>
      </c>
      <c r="AJ9" s="14">
        <v>3.0</v>
      </c>
      <c r="AK9" s="14">
        <v>110.0</v>
      </c>
      <c r="AL9" s="14" t="s">
        <v>441</v>
      </c>
      <c r="AM9" s="14" t="s">
        <v>442</v>
      </c>
      <c r="AN9" s="14" t="s">
        <v>443</v>
      </c>
      <c r="AO9" s="14" t="s">
        <v>593</v>
      </c>
      <c r="AP9" s="14" t="s">
        <v>594</v>
      </c>
      <c r="AQ9" s="14" t="s">
        <v>99</v>
      </c>
      <c r="AR9" s="14" t="s">
        <v>595</v>
      </c>
      <c r="AS9" s="14" t="s">
        <v>596</v>
      </c>
      <c r="AT9" s="14" t="s">
        <v>1485</v>
      </c>
      <c r="AU9" s="14">
        <v>2015.0</v>
      </c>
      <c r="AV9" s="14">
        <v>50.0</v>
      </c>
      <c r="AW9" s="14" t="s">
        <v>99</v>
      </c>
      <c r="AX9" s="14" t="s">
        <v>99</v>
      </c>
      <c r="AY9" s="14" t="s">
        <v>99</v>
      </c>
      <c r="AZ9" s="14" t="s">
        <v>99</v>
      </c>
      <c r="BA9" s="14" t="s">
        <v>99</v>
      </c>
      <c r="BB9" s="14">
        <v>196.0</v>
      </c>
      <c r="BC9" s="14">
        <v>205.0</v>
      </c>
      <c r="BD9" s="14" t="s">
        <v>99</v>
      </c>
      <c r="BE9" s="14" t="s">
        <v>2770</v>
      </c>
      <c r="BF9" s="15" t="str">
        <f>HYPERLINK("http://dx.doi.org/10.1016/j.ecolind.2014.10.019","http://dx.doi.org/10.1016/j.ecolind.2014.10.019")</f>
        <v>http://dx.doi.org/10.1016/j.ecolind.2014.10.019</v>
      </c>
      <c r="BG9" s="14" t="s">
        <v>99</v>
      </c>
      <c r="BH9" s="14" t="s">
        <v>99</v>
      </c>
      <c r="BI9" s="14">
        <v>10.0</v>
      </c>
      <c r="BJ9" s="14" t="s">
        <v>598</v>
      </c>
      <c r="BK9" s="14" t="s">
        <v>122</v>
      </c>
      <c r="BL9" s="14" t="s">
        <v>352</v>
      </c>
      <c r="BM9" s="14" t="s">
        <v>2771</v>
      </c>
      <c r="BN9" s="14">
        <v>2.573766E7</v>
      </c>
      <c r="BO9" s="14" t="s">
        <v>1118</v>
      </c>
      <c r="BP9" s="14" t="s">
        <v>99</v>
      </c>
      <c r="BQ9" s="14" t="s">
        <v>99</v>
      </c>
      <c r="BR9" s="14" t="s">
        <v>124</v>
      </c>
      <c r="BS9" s="14" t="s">
        <v>2772</v>
      </c>
      <c r="BT9" s="14" t="str">
        <f>HYPERLINK("https%3A%2F%2Fwww.webofscience.com%2Fwos%2Fwoscc%2Ffull-record%2FWOS:000348265200019","View Full Record in Web of Science")</f>
        <v>View Full Record in Web of Science</v>
      </c>
    </row>
    <row r="10" ht="12.75" customHeight="1">
      <c r="A10" s="14" t="s">
        <v>97</v>
      </c>
      <c r="B10" s="14" t="s">
        <v>2880</v>
      </c>
      <c r="C10" s="14" t="s">
        <v>99</v>
      </c>
      <c r="D10" s="14" t="s">
        <v>99</v>
      </c>
      <c r="E10" s="14" t="s">
        <v>99</v>
      </c>
      <c r="F10" s="14" t="s">
        <v>2881</v>
      </c>
      <c r="G10" s="14" t="s">
        <v>99</v>
      </c>
      <c r="H10" s="14" t="s">
        <v>99</v>
      </c>
      <c r="I10" s="14" t="s">
        <v>2882</v>
      </c>
      <c r="J10" s="14" t="s">
        <v>2883</v>
      </c>
      <c r="K10" s="14" t="s">
        <v>99</v>
      </c>
      <c r="L10" s="14" t="s">
        <v>99</v>
      </c>
      <c r="M10" s="14" t="s">
        <v>103</v>
      </c>
      <c r="N10" s="14" t="s">
        <v>2284</v>
      </c>
      <c r="O10" s="14" t="s">
        <v>2884</v>
      </c>
      <c r="P10" s="14" t="s">
        <v>2885</v>
      </c>
      <c r="Q10" s="14" t="s">
        <v>2886</v>
      </c>
      <c r="R10" s="14" t="s">
        <v>99</v>
      </c>
      <c r="S10" s="14" t="s">
        <v>99</v>
      </c>
      <c r="T10" s="14" t="s">
        <v>2887</v>
      </c>
      <c r="U10" s="14" t="s">
        <v>2888</v>
      </c>
      <c r="V10" s="14" t="s">
        <v>2889</v>
      </c>
      <c r="W10" s="14" t="s">
        <v>2890</v>
      </c>
      <c r="X10" s="14" t="s">
        <v>2891</v>
      </c>
      <c r="Y10" s="14" t="s">
        <v>2892</v>
      </c>
      <c r="Z10" s="14" t="s">
        <v>2893</v>
      </c>
      <c r="AA10" s="14" t="s">
        <v>2894</v>
      </c>
      <c r="AB10" s="14" t="s">
        <v>2895</v>
      </c>
      <c r="AC10" s="14" t="s">
        <v>99</v>
      </c>
      <c r="AD10" s="14" t="s">
        <v>99</v>
      </c>
      <c r="AE10" s="14" t="s">
        <v>99</v>
      </c>
      <c r="AF10" s="14" t="s">
        <v>99</v>
      </c>
      <c r="AG10" s="14">
        <v>143.0</v>
      </c>
      <c r="AH10" s="14">
        <v>87.0</v>
      </c>
      <c r="AI10" s="14">
        <v>92.0</v>
      </c>
      <c r="AJ10" s="14">
        <v>3.0</v>
      </c>
      <c r="AK10" s="14">
        <v>19.0</v>
      </c>
      <c r="AL10" s="14" t="s">
        <v>441</v>
      </c>
      <c r="AM10" s="14" t="s">
        <v>442</v>
      </c>
      <c r="AN10" s="14" t="s">
        <v>443</v>
      </c>
      <c r="AO10" s="14" t="s">
        <v>2896</v>
      </c>
      <c r="AP10" s="14" t="s">
        <v>2897</v>
      </c>
      <c r="AQ10" s="14" t="s">
        <v>99</v>
      </c>
      <c r="AR10" s="14" t="s">
        <v>2898</v>
      </c>
      <c r="AS10" s="14" t="s">
        <v>2899</v>
      </c>
      <c r="AT10" s="14" t="s">
        <v>935</v>
      </c>
      <c r="AU10" s="14">
        <v>2015.0</v>
      </c>
      <c r="AV10" s="14">
        <v>141.0</v>
      </c>
      <c r="AW10" s="14" t="s">
        <v>99</v>
      </c>
      <c r="AX10" s="14" t="s">
        <v>99</v>
      </c>
      <c r="AY10" s="14" t="s">
        <v>99</v>
      </c>
      <c r="AZ10" s="14" t="s">
        <v>1738</v>
      </c>
      <c r="BA10" s="14" t="s">
        <v>99</v>
      </c>
      <c r="BB10" s="14">
        <v>18.0</v>
      </c>
      <c r="BC10" s="14">
        <v>33.0</v>
      </c>
      <c r="BD10" s="14" t="s">
        <v>99</v>
      </c>
      <c r="BE10" s="14" t="s">
        <v>2900</v>
      </c>
      <c r="BF10" s="15" t="str">
        <f>HYPERLINK("http://dx.doi.org/10.1016/j.jmarsys.2014.03.012","http://dx.doi.org/10.1016/j.jmarsys.2014.03.012")</f>
        <v>http://dx.doi.org/10.1016/j.jmarsys.2014.03.012</v>
      </c>
      <c r="BG10" s="14" t="s">
        <v>99</v>
      </c>
      <c r="BH10" s="14" t="s">
        <v>99</v>
      </c>
      <c r="BI10" s="14">
        <v>16.0</v>
      </c>
      <c r="BJ10" s="14" t="s">
        <v>2901</v>
      </c>
      <c r="BK10" s="14" t="s">
        <v>2311</v>
      </c>
      <c r="BL10" s="14" t="s">
        <v>2902</v>
      </c>
      <c r="BM10" s="14" t="s">
        <v>2903</v>
      </c>
      <c r="BN10" s="14" t="s">
        <v>99</v>
      </c>
      <c r="BO10" s="14" t="s">
        <v>99</v>
      </c>
      <c r="BP10" s="14" t="s">
        <v>99</v>
      </c>
      <c r="BQ10" s="14" t="s">
        <v>99</v>
      </c>
      <c r="BR10" s="14" t="s">
        <v>124</v>
      </c>
      <c r="BS10" s="14" t="s">
        <v>2904</v>
      </c>
      <c r="BT10" s="14" t="str">
        <f>HYPERLINK("https%3A%2F%2Fwww.webofscience.com%2Fwos%2Fwoscc%2Ffull-record%2FWOS:000347868800003","View Full Record in Web of Science")</f>
        <v>View Full Record in Web of Science</v>
      </c>
    </row>
    <row r="11" ht="12.75" customHeight="1">
      <c r="A11" s="14" t="s">
        <v>97</v>
      </c>
      <c r="B11" s="14" t="s">
        <v>3131</v>
      </c>
      <c r="C11" s="14" t="s">
        <v>99</v>
      </c>
      <c r="D11" s="14" t="s">
        <v>99</v>
      </c>
      <c r="E11" s="14" t="s">
        <v>99</v>
      </c>
      <c r="F11" s="14" t="s">
        <v>3132</v>
      </c>
      <c r="G11" s="14" t="s">
        <v>99</v>
      </c>
      <c r="H11" s="14" t="s">
        <v>99</v>
      </c>
      <c r="I11" s="14" t="s">
        <v>3133</v>
      </c>
      <c r="J11" s="14" t="s">
        <v>328</v>
      </c>
      <c r="K11" s="14" t="s">
        <v>99</v>
      </c>
      <c r="L11" s="14" t="s">
        <v>99</v>
      </c>
      <c r="M11" s="14" t="s">
        <v>103</v>
      </c>
      <c r="N11" s="14" t="s">
        <v>104</v>
      </c>
      <c r="O11" s="14" t="s">
        <v>99</v>
      </c>
      <c r="P11" s="14" t="s">
        <v>99</v>
      </c>
      <c r="Q11" s="14" t="s">
        <v>99</v>
      </c>
      <c r="R11" s="14" t="s">
        <v>99</v>
      </c>
      <c r="S11" s="14" t="s">
        <v>99</v>
      </c>
      <c r="T11" s="14" t="s">
        <v>3134</v>
      </c>
      <c r="U11" s="14" t="s">
        <v>3135</v>
      </c>
      <c r="V11" s="14" t="s">
        <v>3136</v>
      </c>
      <c r="W11" s="14" t="s">
        <v>3137</v>
      </c>
      <c r="X11" s="14" t="s">
        <v>1814</v>
      </c>
      <c r="Y11" s="14" t="s">
        <v>3138</v>
      </c>
      <c r="Z11" s="14" t="s">
        <v>1954</v>
      </c>
      <c r="AA11" s="14" t="s">
        <v>3139</v>
      </c>
      <c r="AB11" s="14" t="s">
        <v>3140</v>
      </c>
      <c r="AC11" s="14" t="s">
        <v>3141</v>
      </c>
      <c r="AD11" s="14" t="s">
        <v>3142</v>
      </c>
      <c r="AE11" s="14" t="s">
        <v>3143</v>
      </c>
      <c r="AF11" s="14" t="s">
        <v>99</v>
      </c>
      <c r="AG11" s="14">
        <v>61.0</v>
      </c>
      <c r="AH11" s="14">
        <v>177.0</v>
      </c>
      <c r="AI11" s="14">
        <v>198.0</v>
      </c>
      <c r="AJ11" s="14">
        <v>1.0</v>
      </c>
      <c r="AK11" s="14">
        <v>168.0</v>
      </c>
      <c r="AL11" s="14" t="s">
        <v>341</v>
      </c>
      <c r="AM11" s="14" t="s">
        <v>342</v>
      </c>
      <c r="AN11" s="14" t="s">
        <v>343</v>
      </c>
      <c r="AO11" s="14" t="s">
        <v>344</v>
      </c>
      <c r="AP11" s="14" t="s">
        <v>345</v>
      </c>
      <c r="AQ11" s="14" t="s">
        <v>99</v>
      </c>
      <c r="AR11" s="14" t="s">
        <v>346</v>
      </c>
      <c r="AS11" s="14" t="s">
        <v>347</v>
      </c>
      <c r="AT11" s="14" t="s">
        <v>474</v>
      </c>
      <c r="AU11" s="14">
        <v>2014.0</v>
      </c>
      <c r="AV11" s="14">
        <v>20.0</v>
      </c>
      <c r="AW11" s="14">
        <v>8.0</v>
      </c>
      <c r="AX11" s="14" t="s">
        <v>99</v>
      </c>
      <c r="AY11" s="14" t="s">
        <v>99</v>
      </c>
      <c r="AZ11" s="14" t="s">
        <v>99</v>
      </c>
      <c r="BA11" s="14" t="s">
        <v>99</v>
      </c>
      <c r="BB11" s="14">
        <v>2473.0</v>
      </c>
      <c r="BC11" s="14">
        <v>2483.0</v>
      </c>
      <c r="BD11" s="14" t="s">
        <v>99</v>
      </c>
      <c r="BE11" s="14" t="s">
        <v>3144</v>
      </c>
      <c r="BF11" s="15" t="str">
        <f>HYPERLINK("http://dx.doi.org/10.1111/gcb.12513","http://dx.doi.org/10.1111/gcb.12513")</f>
        <v>http://dx.doi.org/10.1111/gcb.12513</v>
      </c>
      <c r="BG11" s="14" t="s">
        <v>99</v>
      </c>
      <c r="BH11" s="14" t="s">
        <v>99</v>
      </c>
      <c r="BI11" s="14">
        <v>11.0</v>
      </c>
      <c r="BJ11" s="14" t="s">
        <v>351</v>
      </c>
      <c r="BK11" s="14" t="s">
        <v>122</v>
      </c>
      <c r="BL11" s="14" t="s">
        <v>352</v>
      </c>
      <c r="BM11" s="14" t="s">
        <v>3145</v>
      </c>
      <c r="BN11" s="14">
        <v>2.437586E7</v>
      </c>
      <c r="BO11" s="14" t="s">
        <v>1118</v>
      </c>
      <c r="BP11" s="14" t="s">
        <v>99</v>
      </c>
      <c r="BQ11" s="14" t="s">
        <v>99</v>
      </c>
      <c r="BR11" s="14" t="s">
        <v>124</v>
      </c>
      <c r="BS11" s="14" t="s">
        <v>3146</v>
      </c>
      <c r="BT11" s="14" t="str">
        <f>HYPERLINK("https%3A%2F%2Fwww.webofscience.com%2Fwos%2Fwoscc%2Ffull-record%2FWOS:000339100200011","View Full Record in Web of Science")</f>
        <v>View Full Record in Web of Science</v>
      </c>
    </row>
    <row r="12" ht="12.75" customHeight="1">
      <c r="A12" s="14" t="s">
        <v>97</v>
      </c>
      <c r="B12" s="14" t="s">
        <v>3316</v>
      </c>
      <c r="C12" s="14" t="s">
        <v>99</v>
      </c>
      <c r="D12" s="14" t="s">
        <v>99</v>
      </c>
      <c r="E12" s="14" t="s">
        <v>99</v>
      </c>
      <c r="F12" s="14" t="s">
        <v>3317</v>
      </c>
      <c r="G12" s="14" t="s">
        <v>99</v>
      </c>
      <c r="H12" s="14" t="s">
        <v>99</v>
      </c>
      <c r="I12" s="14" t="s">
        <v>3318</v>
      </c>
      <c r="J12" s="14" t="s">
        <v>481</v>
      </c>
      <c r="K12" s="14" t="s">
        <v>99</v>
      </c>
      <c r="L12" s="14" t="s">
        <v>99</v>
      </c>
      <c r="M12" s="14" t="s">
        <v>103</v>
      </c>
      <c r="N12" s="14" t="s">
        <v>104</v>
      </c>
      <c r="O12" s="14" t="s">
        <v>99</v>
      </c>
      <c r="P12" s="14" t="s">
        <v>99</v>
      </c>
      <c r="Q12" s="14" t="s">
        <v>99</v>
      </c>
      <c r="R12" s="14" t="s">
        <v>99</v>
      </c>
      <c r="S12" s="14" t="s">
        <v>99</v>
      </c>
      <c r="T12" s="14" t="s">
        <v>3319</v>
      </c>
      <c r="U12" s="14" t="s">
        <v>3320</v>
      </c>
      <c r="V12" s="14" t="s">
        <v>3321</v>
      </c>
      <c r="W12" s="14" t="s">
        <v>3322</v>
      </c>
      <c r="X12" s="14" t="s">
        <v>3323</v>
      </c>
      <c r="Y12" s="14" t="s">
        <v>3324</v>
      </c>
      <c r="Z12" s="14" t="s">
        <v>3325</v>
      </c>
      <c r="AA12" s="14" t="s">
        <v>3326</v>
      </c>
      <c r="AB12" s="14" t="s">
        <v>99</v>
      </c>
      <c r="AC12" s="14" t="s">
        <v>3327</v>
      </c>
      <c r="AD12" s="14" t="s">
        <v>3328</v>
      </c>
      <c r="AE12" s="14" t="s">
        <v>3329</v>
      </c>
      <c r="AF12" s="14" t="s">
        <v>99</v>
      </c>
      <c r="AG12" s="14">
        <v>77.0</v>
      </c>
      <c r="AH12" s="14">
        <v>98.0</v>
      </c>
      <c r="AI12" s="14">
        <v>106.0</v>
      </c>
      <c r="AJ12" s="14">
        <v>2.0</v>
      </c>
      <c r="AK12" s="14">
        <v>135.0</v>
      </c>
      <c r="AL12" s="14" t="s">
        <v>493</v>
      </c>
      <c r="AM12" s="14" t="s">
        <v>468</v>
      </c>
      <c r="AN12" s="14" t="s">
        <v>635</v>
      </c>
      <c r="AO12" s="14" t="s">
        <v>496</v>
      </c>
      <c r="AP12" s="14" t="s">
        <v>497</v>
      </c>
      <c r="AQ12" s="14" t="s">
        <v>99</v>
      </c>
      <c r="AR12" s="14" t="s">
        <v>498</v>
      </c>
      <c r="AS12" s="14" t="s">
        <v>499</v>
      </c>
      <c r="AT12" s="14" t="s">
        <v>718</v>
      </c>
      <c r="AU12" s="14">
        <v>2014.0</v>
      </c>
      <c r="AV12" s="14">
        <v>95.0</v>
      </c>
      <c r="AW12" s="14" t="s">
        <v>99</v>
      </c>
      <c r="AX12" s="14" t="s">
        <v>99</v>
      </c>
      <c r="AY12" s="14" t="s">
        <v>99</v>
      </c>
      <c r="AZ12" s="14" t="s">
        <v>99</v>
      </c>
      <c r="BA12" s="14" t="s">
        <v>99</v>
      </c>
      <c r="BB12" s="14">
        <v>1.0</v>
      </c>
      <c r="BC12" s="14">
        <v>12.0</v>
      </c>
      <c r="BD12" s="14" t="s">
        <v>99</v>
      </c>
      <c r="BE12" s="14" t="s">
        <v>3330</v>
      </c>
      <c r="BF12" s="15" t="str">
        <f>HYPERLINK("http://dx.doi.org/10.1016/j.marenvres.2013.12.008","http://dx.doi.org/10.1016/j.marenvres.2013.12.008")</f>
        <v>http://dx.doi.org/10.1016/j.marenvres.2013.12.008</v>
      </c>
      <c r="BG12" s="14" t="s">
        <v>99</v>
      </c>
      <c r="BH12" s="14" t="s">
        <v>99</v>
      </c>
      <c r="BI12" s="14">
        <v>12.0</v>
      </c>
      <c r="BJ12" s="14" t="s">
        <v>501</v>
      </c>
      <c r="BK12" s="14" t="s">
        <v>122</v>
      </c>
      <c r="BL12" s="14" t="s">
        <v>502</v>
      </c>
      <c r="BM12" s="14" t="s">
        <v>3331</v>
      </c>
      <c r="BN12" s="14">
        <v>2.4373388E7</v>
      </c>
      <c r="BO12" s="14" t="s">
        <v>99</v>
      </c>
      <c r="BP12" s="14" t="s">
        <v>99</v>
      </c>
      <c r="BQ12" s="14" t="s">
        <v>99</v>
      </c>
      <c r="BR12" s="14" t="s">
        <v>124</v>
      </c>
      <c r="BS12" s="14" t="s">
        <v>3332</v>
      </c>
      <c r="BT12" s="14" t="str">
        <f>HYPERLINK("https%3A%2F%2Fwww.webofscience.com%2Fwos%2Fwoscc%2Ffull-record%2FWOS:000332056700001","View Full Record in Web of Science")</f>
        <v>View Full Record in Web of Science</v>
      </c>
    </row>
    <row r="13" ht="12.75" customHeight="1">
      <c r="A13" s="14" t="s">
        <v>97</v>
      </c>
      <c r="B13" s="14" t="s">
        <v>3824</v>
      </c>
      <c r="C13" s="14" t="s">
        <v>99</v>
      </c>
      <c r="D13" s="14" t="s">
        <v>99</v>
      </c>
      <c r="E13" s="14" t="s">
        <v>99</v>
      </c>
      <c r="F13" s="14" t="s">
        <v>3825</v>
      </c>
      <c r="G13" s="14" t="s">
        <v>99</v>
      </c>
      <c r="H13" s="14" t="s">
        <v>99</v>
      </c>
      <c r="I13" s="14" t="s">
        <v>3826</v>
      </c>
      <c r="J13" s="14" t="s">
        <v>1422</v>
      </c>
      <c r="K13" s="14" t="s">
        <v>99</v>
      </c>
      <c r="L13" s="14" t="s">
        <v>99</v>
      </c>
      <c r="M13" s="14" t="s">
        <v>103</v>
      </c>
      <c r="N13" s="14" t="s">
        <v>104</v>
      </c>
      <c r="O13" s="14" t="s">
        <v>99</v>
      </c>
      <c r="P13" s="14" t="s">
        <v>99</v>
      </c>
      <c r="Q13" s="14" t="s">
        <v>99</v>
      </c>
      <c r="R13" s="14" t="s">
        <v>99</v>
      </c>
      <c r="S13" s="14" t="s">
        <v>99</v>
      </c>
      <c r="T13" s="14" t="s">
        <v>99</v>
      </c>
      <c r="U13" s="14" t="s">
        <v>3827</v>
      </c>
      <c r="V13" s="14" t="s">
        <v>3828</v>
      </c>
      <c r="W13" s="14" t="s">
        <v>3829</v>
      </c>
      <c r="X13" s="14" t="s">
        <v>3830</v>
      </c>
      <c r="Y13" s="14" t="s">
        <v>3831</v>
      </c>
      <c r="Z13" s="14" t="s">
        <v>3832</v>
      </c>
      <c r="AA13" s="14" t="s">
        <v>3833</v>
      </c>
      <c r="AB13" s="14" t="s">
        <v>3834</v>
      </c>
      <c r="AC13" s="14" t="s">
        <v>99</v>
      </c>
      <c r="AD13" s="14" t="s">
        <v>99</v>
      </c>
      <c r="AE13" s="14" t="s">
        <v>99</v>
      </c>
      <c r="AF13" s="14" t="s">
        <v>99</v>
      </c>
      <c r="AG13" s="14">
        <v>34.0</v>
      </c>
      <c r="AH13" s="14">
        <v>729.0</v>
      </c>
      <c r="AI13" s="14">
        <v>848.0</v>
      </c>
      <c r="AJ13" s="14">
        <v>8.0</v>
      </c>
      <c r="AK13" s="14">
        <v>451.0</v>
      </c>
      <c r="AL13" s="14" t="s">
        <v>1431</v>
      </c>
      <c r="AM13" s="14" t="s">
        <v>789</v>
      </c>
      <c r="AN13" s="14" t="s">
        <v>1432</v>
      </c>
      <c r="AO13" s="14" t="s">
        <v>1433</v>
      </c>
      <c r="AP13" s="14" t="s">
        <v>1434</v>
      </c>
      <c r="AQ13" s="14" t="s">
        <v>99</v>
      </c>
      <c r="AR13" s="14" t="s">
        <v>1435</v>
      </c>
      <c r="AS13" s="14" t="s">
        <v>1436</v>
      </c>
      <c r="AT13" s="14" t="s">
        <v>3835</v>
      </c>
      <c r="AU13" s="14">
        <v>2013.0</v>
      </c>
      <c r="AV13" s="14">
        <v>47.0</v>
      </c>
      <c r="AW13" s="14">
        <v>15.0</v>
      </c>
      <c r="AX13" s="14" t="s">
        <v>99</v>
      </c>
      <c r="AY13" s="14" t="s">
        <v>99</v>
      </c>
      <c r="AZ13" s="14" t="s">
        <v>99</v>
      </c>
      <c r="BA13" s="14" t="s">
        <v>99</v>
      </c>
      <c r="BB13" s="14">
        <v>8818.0</v>
      </c>
      <c r="BC13" s="14">
        <v>8824.0</v>
      </c>
      <c r="BD13" s="14" t="s">
        <v>99</v>
      </c>
      <c r="BE13" s="14" t="s">
        <v>3836</v>
      </c>
      <c r="BF13" s="15" t="str">
        <f>HYPERLINK("http://dx.doi.org/10.1021/es400931b","http://dx.doi.org/10.1021/es400931b")</f>
        <v>http://dx.doi.org/10.1021/es400931b</v>
      </c>
      <c r="BG13" s="14" t="s">
        <v>99</v>
      </c>
      <c r="BH13" s="14" t="s">
        <v>99</v>
      </c>
      <c r="BI13" s="14">
        <v>7.0</v>
      </c>
      <c r="BJ13" s="14" t="s">
        <v>1439</v>
      </c>
      <c r="BK13" s="14" t="s">
        <v>122</v>
      </c>
      <c r="BL13" s="14" t="s">
        <v>1440</v>
      </c>
      <c r="BM13" s="14" t="s">
        <v>3837</v>
      </c>
      <c r="BN13" s="14">
        <v>2.3777286E7</v>
      </c>
      <c r="BO13" s="14" t="s">
        <v>99</v>
      </c>
      <c r="BP13" s="14" t="s">
        <v>99</v>
      </c>
      <c r="BQ13" s="14" t="s">
        <v>99</v>
      </c>
      <c r="BR13" s="14" t="s">
        <v>124</v>
      </c>
      <c r="BS13" s="14" t="s">
        <v>3838</v>
      </c>
      <c r="BT13" s="14" t="str">
        <f>HYPERLINK("https%3A%2F%2Fwww.webofscience.com%2Fwos%2Fwoscc%2Ffull-record%2FWOS:000323013400090","View Full Record in Web of Science")</f>
        <v>View Full Record in Web of Science</v>
      </c>
    </row>
    <row r="14" ht="12.75" customHeight="1">
      <c r="A14" s="14" t="s">
        <v>97</v>
      </c>
      <c r="B14" s="14" t="s">
        <v>4943</v>
      </c>
      <c r="C14" s="14" t="s">
        <v>99</v>
      </c>
      <c r="D14" s="14" t="s">
        <v>99</v>
      </c>
      <c r="E14" s="14" t="s">
        <v>99</v>
      </c>
      <c r="F14" s="14" t="s">
        <v>4944</v>
      </c>
      <c r="G14" s="14" t="s">
        <v>99</v>
      </c>
      <c r="H14" s="14" t="s">
        <v>99</v>
      </c>
      <c r="I14" s="14" t="s">
        <v>4945</v>
      </c>
      <c r="J14" s="14" t="s">
        <v>4946</v>
      </c>
      <c r="K14" s="14" t="s">
        <v>99</v>
      </c>
      <c r="L14" s="14" t="s">
        <v>99</v>
      </c>
      <c r="M14" s="14" t="s">
        <v>103</v>
      </c>
      <c r="N14" s="14" t="s">
        <v>104</v>
      </c>
      <c r="O14" s="14" t="s">
        <v>99</v>
      </c>
      <c r="P14" s="14" t="s">
        <v>99</v>
      </c>
      <c r="Q14" s="14" t="s">
        <v>99</v>
      </c>
      <c r="R14" s="14" t="s">
        <v>99</v>
      </c>
      <c r="S14" s="14" t="s">
        <v>99</v>
      </c>
      <c r="T14" s="14" t="s">
        <v>4947</v>
      </c>
      <c r="U14" s="14" t="s">
        <v>4948</v>
      </c>
      <c r="V14" s="14" t="s">
        <v>4949</v>
      </c>
      <c r="W14" s="14" t="s">
        <v>4950</v>
      </c>
      <c r="X14" s="14" t="s">
        <v>4951</v>
      </c>
      <c r="Y14" s="14" t="s">
        <v>4952</v>
      </c>
      <c r="Z14" s="14" t="s">
        <v>4953</v>
      </c>
      <c r="AA14" s="14" t="s">
        <v>99</v>
      </c>
      <c r="AB14" s="14" t="s">
        <v>4954</v>
      </c>
      <c r="AC14" s="14" t="s">
        <v>4955</v>
      </c>
      <c r="AD14" s="14" t="s">
        <v>4956</v>
      </c>
      <c r="AE14" s="14" t="s">
        <v>4957</v>
      </c>
      <c r="AF14" s="14" t="s">
        <v>99</v>
      </c>
      <c r="AG14" s="14">
        <v>47.0</v>
      </c>
      <c r="AH14" s="14">
        <v>25.0</v>
      </c>
      <c r="AI14" s="14">
        <v>28.0</v>
      </c>
      <c r="AJ14" s="14">
        <v>0.0</v>
      </c>
      <c r="AK14" s="14">
        <v>46.0</v>
      </c>
      <c r="AL14" s="14" t="s">
        <v>4958</v>
      </c>
      <c r="AM14" s="14" t="s">
        <v>4959</v>
      </c>
      <c r="AN14" s="14" t="s">
        <v>4960</v>
      </c>
      <c r="AO14" s="14" t="s">
        <v>4961</v>
      </c>
      <c r="AP14" s="14" t="s">
        <v>4962</v>
      </c>
      <c r="AQ14" s="14" t="s">
        <v>99</v>
      </c>
      <c r="AR14" s="14" t="s">
        <v>4963</v>
      </c>
      <c r="AS14" s="14" t="s">
        <v>4964</v>
      </c>
      <c r="AT14" s="14" t="s">
        <v>616</v>
      </c>
      <c r="AU14" s="14">
        <v>2012.0</v>
      </c>
      <c r="AV14" s="14">
        <v>7.0</v>
      </c>
      <c r="AW14" s="14">
        <v>2.0</v>
      </c>
      <c r="AX14" s="14" t="s">
        <v>99</v>
      </c>
      <c r="AY14" s="14" t="s">
        <v>99</v>
      </c>
      <c r="AZ14" s="14" t="s">
        <v>99</v>
      </c>
      <c r="BA14" s="14" t="s">
        <v>99</v>
      </c>
      <c r="BB14" s="14">
        <v>163.0</v>
      </c>
      <c r="BC14" s="14">
        <v>169.0</v>
      </c>
      <c r="BD14" s="14" t="s">
        <v>99</v>
      </c>
      <c r="BE14" s="14" t="s">
        <v>4965</v>
      </c>
      <c r="BF14" s="15" t="str">
        <f>HYPERLINK("http://dx.doi.org/10.3391/ai.2012.7.2.002","http://dx.doi.org/10.3391/ai.2012.7.2.002")</f>
        <v>http://dx.doi.org/10.3391/ai.2012.7.2.002</v>
      </c>
      <c r="BG14" s="14" t="s">
        <v>99</v>
      </c>
      <c r="BH14" s="14" t="s">
        <v>99</v>
      </c>
      <c r="BI14" s="14">
        <v>7.0</v>
      </c>
      <c r="BJ14" s="14" t="s">
        <v>1274</v>
      </c>
      <c r="BK14" s="14" t="s">
        <v>122</v>
      </c>
      <c r="BL14" s="14" t="s">
        <v>397</v>
      </c>
      <c r="BM14" s="14" t="s">
        <v>4966</v>
      </c>
      <c r="BN14" s="14" t="s">
        <v>99</v>
      </c>
      <c r="BO14" s="14" t="s">
        <v>399</v>
      </c>
      <c r="BP14" s="14" t="s">
        <v>99</v>
      </c>
      <c r="BQ14" s="14" t="s">
        <v>99</v>
      </c>
      <c r="BR14" s="14" t="s">
        <v>124</v>
      </c>
      <c r="BS14" s="14" t="s">
        <v>4967</v>
      </c>
      <c r="BT14" s="14" t="str">
        <f>HYPERLINK("https%3A%2F%2Fwww.webofscience.com%2Fwos%2Fwoscc%2Ffull-record%2FWOS:000306278500002","View Full Record in Web of Science")</f>
        <v>View Full Record in Web of Science</v>
      </c>
    </row>
    <row r="15" ht="12.75" customHeight="1">
      <c r="A15" s="14" t="s">
        <v>97</v>
      </c>
      <c r="B15" s="14" t="s">
        <v>5432</v>
      </c>
      <c r="C15" s="14" t="s">
        <v>99</v>
      </c>
      <c r="D15" s="14" t="s">
        <v>99</v>
      </c>
      <c r="E15" s="14" t="s">
        <v>99</v>
      </c>
      <c r="F15" s="14" t="s">
        <v>5433</v>
      </c>
      <c r="G15" s="14" t="s">
        <v>99</v>
      </c>
      <c r="H15" s="14" t="s">
        <v>99</v>
      </c>
      <c r="I15" s="14" t="s">
        <v>5434</v>
      </c>
      <c r="J15" s="14" t="s">
        <v>5435</v>
      </c>
      <c r="K15" s="14" t="s">
        <v>99</v>
      </c>
      <c r="L15" s="14" t="s">
        <v>99</v>
      </c>
      <c r="M15" s="14" t="s">
        <v>103</v>
      </c>
      <c r="N15" s="14" t="s">
        <v>104</v>
      </c>
      <c r="O15" s="14" t="s">
        <v>99</v>
      </c>
      <c r="P15" s="14" t="s">
        <v>99</v>
      </c>
      <c r="Q15" s="14" t="s">
        <v>99</v>
      </c>
      <c r="R15" s="14" t="s">
        <v>99</v>
      </c>
      <c r="S15" s="14" t="s">
        <v>99</v>
      </c>
      <c r="T15" s="14" t="s">
        <v>5436</v>
      </c>
      <c r="U15" s="14" t="s">
        <v>5437</v>
      </c>
      <c r="V15" s="14" t="s">
        <v>5438</v>
      </c>
      <c r="W15" s="14" t="s">
        <v>5439</v>
      </c>
      <c r="X15" s="14" t="s">
        <v>5440</v>
      </c>
      <c r="Y15" s="14" t="s">
        <v>5441</v>
      </c>
      <c r="Z15" s="14" t="s">
        <v>5442</v>
      </c>
      <c r="AA15" s="14" t="s">
        <v>5443</v>
      </c>
      <c r="AB15" s="14" t="s">
        <v>5444</v>
      </c>
      <c r="AC15" s="14" t="s">
        <v>5445</v>
      </c>
      <c r="AD15" s="14" t="s">
        <v>5446</v>
      </c>
      <c r="AE15" s="14" t="s">
        <v>5447</v>
      </c>
      <c r="AF15" s="14" t="s">
        <v>99</v>
      </c>
      <c r="AG15" s="14">
        <v>54.0</v>
      </c>
      <c r="AH15" s="14">
        <v>476.0</v>
      </c>
      <c r="AI15" s="14">
        <v>542.0</v>
      </c>
      <c r="AJ15" s="14">
        <v>2.0</v>
      </c>
      <c r="AK15" s="14">
        <v>291.0</v>
      </c>
      <c r="AL15" s="14" t="s">
        <v>493</v>
      </c>
      <c r="AM15" s="14" t="s">
        <v>494</v>
      </c>
      <c r="AN15" s="14" t="s">
        <v>495</v>
      </c>
      <c r="AO15" s="14" t="s">
        <v>5448</v>
      </c>
      <c r="AP15" s="14" t="s">
        <v>5449</v>
      </c>
      <c r="AQ15" s="14" t="s">
        <v>99</v>
      </c>
      <c r="AR15" s="14" t="s">
        <v>5450</v>
      </c>
      <c r="AS15" s="14" t="s">
        <v>5451</v>
      </c>
      <c r="AT15" s="14" t="s">
        <v>2372</v>
      </c>
      <c r="AU15" s="14">
        <v>2011.0</v>
      </c>
      <c r="AV15" s="14">
        <v>159.0</v>
      </c>
      <c r="AW15" s="14">
        <v>10.0</v>
      </c>
      <c r="AX15" s="14" t="s">
        <v>99</v>
      </c>
      <c r="AY15" s="14" t="s">
        <v>99</v>
      </c>
      <c r="AZ15" s="14" t="s">
        <v>99</v>
      </c>
      <c r="BA15" s="14" t="s">
        <v>99</v>
      </c>
      <c r="BB15" s="14">
        <v>2609.0</v>
      </c>
      <c r="BC15" s="14">
        <v>2615.0</v>
      </c>
      <c r="BD15" s="14" t="s">
        <v>99</v>
      </c>
      <c r="BE15" s="14" t="s">
        <v>5452</v>
      </c>
      <c r="BF15" s="15" t="str">
        <f>HYPERLINK("http://dx.doi.org/10.1016/j.envpol.2011.06.008","http://dx.doi.org/10.1016/j.envpol.2011.06.008")</f>
        <v>http://dx.doi.org/10.1016/j.envpol.2011.06.008</v>
      </c>
      <c r="BG15" s="14" t="s">
        <v>99</v>
      </c>
      <c r="BH15" s="14" t="s">
        <v>99</v>
      </c>
      <c r="BI15" s="14">
        <v>7.0</v>
      </c>
      <c r="BJ15" s="14" t="s">
        <v>1041</v>
      </c>
      <c r="BK15" s="14" t="s">
        <v>122</v>
      </c>
      <c r="BL15" s="14" t="s">
        <v>260</v>
      </c>
      <c r="BM15" s="14" t="s">
        <v>5453</v>
      </c>
      <c r="BN15" s="14">
        <v>2.1737191E7</v>
      </c>
      <c r="BO15" s="14" t="s">
        <v>99</v>
      </c>
      <c r="BP15" s="14" t="s">
        <v>99</v>
      </c>
      <c r="BQ15" s="14" t="s">
        <v>99</v>
      </c>
      <c r="BR15" s="14" t="s">
        <v>124</v>
      </c>
      <c r="BS15" s="14" t="s">
        <v>5454</v>
      </c>
      <c r="BT15" s="14" t="str">
        <f>HYPERLINK("https%3A%2F%2Fwww.webofscience.com%2Fwos%2Fwoscc%2Ffull-record%2FWOS:000295493100051","View Full Record in Web of Science")</f>
        <v>View Full Record in Web of Science</v>
      </c>
    </row>
    <row r="16" ht="12.75" customHeight="1">
      <c r="A16" s="14" t="s">
        <v>97</v>
      </c>
      <c r="B16" s="14" t="s">
        <v>5508</v>
      </c>
      <c r="C16" s="14" t="s">
        <v>99</v>
      </c>
      <c r="D16" s="14" t="s">
        <v>99</v>
      </c>
      <c r="E16" s="14" t="s">
        <v>99</v>
      </c>
      <c r="F16" s="14" t="s">
        <v>5509</v>
      </c>
      <c r="G16" s="14" t="s">
        <v>99</v>
      </c>
      <c r="H16" s="14" t="s">
        <v>99</v>
      </c>
      <c r="I16" s="14" t="s">
        <v>5510</v>
      </c>
      <c r="J16" s="14" t="s">
        <v>4946</v>
      </c>
      <c r="K16" s="14" t="s">
        <v>99</v>
      </c>
      <c r="L16" s="14" t="s">
        <v>99</v>
      </c>
      <c r="M16" s="14" t="s">
        <v>103</v>
      </c>
      <c r="N16" s="14" t="s">
        <v>104</v>
      </c>
      <c r="O16" s="14" t="s">
        <v>99</v>
      </c>
      <c r="P16" s="14" t="s">
        <v>99</v>
      </c>
      <c r="Q16" s="14" t="s">
        <v>99</v>
      </c>
      <c r="R16" s="14" t="s">
        <v>99</v>
      </c>
      <c r="S16" s="14" t="s">
        <v>99</v>
      </c>
      <c r="T16" s="14" t="s">
        <v>5511</v>
      </c>
      <c r="U16" s="14" t="s">
        <v>5512</v>
      </c>
      <c r="V16" s="14" t="s">
        <v>5513</v>
      </c>
      <c r="W16" s="14" t="s">
        <v>5514</v>
      </c>
      <c r="X16" s="14" t="s">
        <v>5515</v>
      </c>
      <c r="Y16" s="14" t="s">
        <v>5516</v>
      </c>
      <c r="Z16" s="14" t="s">
        <v>5517</v>
      </c>
      <c r="AA16" s="14" t="s">
        <v>99</v>
      </c>
      <c r="AB16" s="14" t="s">
        <v>5518</v>
      </c>
      <c r="AC16" s="14" t="s">
        <v>5519</v>
      </c>
      <c r="AD16" s="14" t="s">
        <v>5520</v>
      </c>
      <c r="AE16" s="14" t="s">
        <v>5521</v>
      </c>
      <c r="AF16" s="14" t="s">
        <v>99</v>
      </c>
      <c r="AG16" s="14">
        <v>49.0</v>
      </c>
      <c r="AH16" s="14">
        <v>16.0</v>
      </c>
      <c r="AI16" s="14">
        <v>18.0</v>
      </c>
      <c r="AJ16" s="14">
        <v>1.0</v>
      </c>
      <c r="AK16" s="14">
        <v>62.0</v>
      </c>
      <c r="AL16" s="14" t="s">
        <v>4958</v>
      </c>
      <c r="AM16" s="14" t="s">
        <v>4959</v>
      </c>
      <c r="AN16" s="14" t="s">
        <v>4960</v>
      </c>
      <c r="AO16" s="14" t="s">
        <v>4961</v>
      </c>
      <c r="AP16" s="14" t="s">
        <v>4962</v>
      </c>
      <c r="AQ16" s="14" t="s">
        <v>99</v>
      </c>
      <c r="AR16" s="14" t="s">
        <v>4963</v>
      </c>
      <c r="AS16" s="14" t="s">
        <v>4964</v>
      </c>
      <c r="AT16" s="14" t="s">
        <v>421</v>
      </c>
      <c r="AU16" s="14">
        <v>2011.0</v>
      </c>
      <c r="AV16" s="14">
        <v>6.0</v>
      </c>
      <c r="AW16" s="14">
        <v>3.0</v>
      </c>
      <c r="AX16" s="14" t="s">
        <v>99</v>
      </c>
      <c r="AY16" s="14" t="s">
        <v>99</v>
      </c>
      <c r="AZ16" s="14" t="s">
        <v>99</v>
      </c>
      <c r="BA16" s="14" t="s">
        <v>99</v>
      </c>
      <c r="BB16" s="14">
        <v>281.0</v>
      </c>
      <c r="BC16" s="14">
        <v>290.0</v>
      </c>
      <c r="BD16" s="14" t="s">
        <v>99</v>
      </c>
      <c r="BE16" s="14" t="s">
        <v>5522</v>
      </c>
      <c r="BF16" s="15" t="str">
        <f>HYPERLINK("http://dx.doi.org/10.3391/ai.2011.6.3.05","http://dx.doi.org/10.3391/ai.2011.6.3.05")</f>
        <v>http://dx.doi.org/10.3391/ai.2011.6.3.05</v>
      </c>
      <c r="BG16" s="14" t="s">
        <v>99</v>
      </c>
      <c r="BH16" s="14" t="s">
        <v>99</v>
      </c>
      <c r="BI16" s="14">
        <v>10.0</v>
      </c>
      <c r="BJ16" s="14" t="s">
        <v>1274</v>
      </c>
      <c r="BK16" s="14" t="s">
        <v>122</v>
      </c>
      <c r="BL16" s="14" t="s">
        <v>397</v>
      </c>
      <c r="BM16" s="14" t="s">
        <v>5523</v>
      </c>
      <c r="BN16" s="14" t="s">
        <v>99</v>
      </c>
      <c r="BO16" s="14" t="s">
        <v>576</v>
      </c>
      <c r="BP16" s="14" t="s">
        <v>99</v>
      </c>
      <c r="BQ16" s="14" t="s">
        <v>99</v>
      </c>
      <c r="BR16" s="14" t="s">
        <v>124</v>
      </c>
      <c r="BS16" s="14" t="s">
        <v>5524</v>
      </c>
      <c r="BT16" s="14" t="str">
        <f>HYPERLINK("https%3A%2F%2Fwww.webofscience.com%2Fwos%2Fwoscc%2Ffull-record%2FWOS:000306277400005","View Full Record in Web of Science")</f>
        <v>View Full Record in Web of Science</v>
      </c>
    </row>
    <row r="17" ht="12.75" customHeight="1">
      <c r="A17" s="14" t="s">
        <v>97</v>
      </c>
      <c r="B17" s="14" t="s">
        <v>5901</v>
      </c>
      <c r="C17" s="14" t="s">
        <v>99</v>
      </c>
      <c r="D17" s="14" t="s">
        <v>99</v>
      </c>
      <c r="E17" s="14" t="s">
        <v>99</v>
      </c>
      <c r="F17" s="14" t="s">
        <v>5902</v>
      </c>
      <c r="G17" s="14" t="s">
        <v>99</v>
      </c>
      <c r="H17" s="14" t="s">
        <v>99</v>
      </c>
      <c r="I17" s="14" t="s">
        <v>5903</v>
      </c>
      <c r="J17" s="14" t="s">
        <v>5904</v>
      </c>
      <c r="K17" s="14" t="s">
        <v>99</v>
      </c>
      <c r="L17" s="14" t="s">
        <v>99</v>
      </c>
      <c r="M17" s="14" t="s">
        <v>103</v>
      </c>
      <c r="N17" s="14" t="s">
        <v>104</v>
      </c>
      <c r="O17" s="14" t="s">
        <v>99</v>
      </c>
      <c r="P17" s="14" t="s">
        <v>99</v>
      </c>
      <c r="Q17" s="14" t="s">
        <v>99</v>
      </c>
      <c r="R17" s="14" t="s">
        <v>99</v>
      </c>
      <c r="S17" s="14" t="s">
        <v>99</v>
      </c>
      <c r="T17" s="14" t="s">
        <v>5905</v>
      </c>
      <c r="U17" s="14" t="s">
        <v>5906</v>
      </c>
      <c r="V17" s="14" t="s">
        <v>5907</v>
      </c>
      <c r="W17" s="14" t="s">
        <v>5908</v>
      </c>
      <c r="X17" s="14" t="s">
        <v>5909</v>
      </c>
      <c r="Y17" s="14" t="s">
        <v>5910</v>
      </c>
      <c r="Z17" s="14" t="s">
        <v>5911</v>
      </c>
      <c r="AA17" s="14" t="s">
        <v>5912</v>
      </c>
      <c r="AB17" s="14" t="s">
        <v>5913</v>
      </c>
      <c r="AC17" s="14" t="s">
        <v>5914</v>
      </c>
      <c r="AD17" s="14" t="s">
        <v>5915</v>
      </c>
      <c r="AE17" s="14" t="s">
        <v>5916</v>
      </c>
      <c r="AF17" s="14" t="s">
        <v>99</v>
      </c>
      <c r="AG17" s="14">
        <v>49.0</v>
      </c>
      <c r="AH17" s="14">
        <v>37.0</v>
      </c>
      <c r="AI17" s="14">
        <v>39.0</v>
      </c>
      <c r="AJ17" s="14">
        <v>0.0</v>
      </c>
      <c r="AK17" s="14">
        <v>42.0</v>
      </c>
      <c r="AL17" s="14" t="s">
        <v>3078</v>
      </c>
      <c r="AM17" s="14" t="s">
        <v>468</v>
      </c>
      <c r="AN17" s="14" t="s">
        <v>3079</v>
      </c>
      <c r="AO17" s="14" t="s">
        <v>5917</v>
      </c>
      <c r="AP17" s="14" t="s">
        <v>5918</v>
      </c>
      <c r="AQ17" s="14" t="s">
        <v>99</v>
      </c>
      <c r="AR17" s="14" t="s">
        <v>5919</v>
      </c>
      <c r="AS17" s="14" t="s">
        <v>5920</v>
      </c>
      <c r="AT17" s="14" t="s">
        <v>935</v>
      </c>
      <c r="AU17" s="14">
        <v>2011.0</v>
      </c>
      <c r="AV17" s="14">
        <v>33.0</v>
      </c>
      <c r="AW17" s="14">
        <v>1.0</v>
      </c>
      <c r="AX17" s="14" t="s">
        <v>99</v>
      </c>
      <c r="AY17" s="14" t="s">
        <v>99</v>
      </c>
      <c r="AZ17" s="14" t="s">
        <v>99</v>
      </c>
      <c r="BA17" s="14" t="s">
        <v>99</v>
      </c>
      <c r="BB17" s="14">
        <v>137.0</v>
      </c>
      <c r="BC17" s="14">
        <v>144.0</v>
      </c>
      <c r="BD17" s="14" t="s">
        <v>99</v>
      </c>
      <c r="BE17" s="14" t="s">
        <v>5921</v>
      </c>
      <c r="BF17" s="15" t="str">
        <f>HYPERLINK("http://dx.doi.org/10.1093/plankt/fbq100","http://dx.doi.org/10.1093/plankt/fbq100")</f>
        <v>http://dx.doi.org/10.1093/plankt/fbq100</v>
      </c>
      <c r="BG17" s="14" t="s">
        <v>99</v>
      </c>
      <c r="BH17" s="14" t="s">
        <v>99</v>
      </c>
      <c r="BI17" s="14">
        <v>8.0</v>
      </c>
      <c r="BJ17" s="14" t="s">
        <v>720</v>
      </c>
      <c r="BK17" s="14" t="s">
        <v>122</v>
      </c>
      <c r="BL17" s="14" t="s">
        <v>720</v>
      </c>
      <c r="BM17" s="14" t="s">
        <v>5922</v>
      </c>
      <c r="BN17" s="14" t="s">
        <v>99</v>
      </c>
      <c r="BO17" s="14" t="s">
        <v>373</v>
      </c>
      <c r="BP17" s="14" t="s">
        <v>99</v>
      </c>
      <c r="BQ17" s="14" t="s">
        <v>99</v>
      </c>
      <c r="BR17" s="14" t="s">
        <v>124</v>
      </c>
      <c r="BS17" s="14" t="s">
        <v>5923</v>
      </c>
      <c r="BT17" s="14" t="str">
        <f>HYPERLINK("https%3A%2F%2Fwww.webofscience.com%2Fwos%2Fwoscc%2Ffull-record%2FWOS:000284948600011","View Full Record in Web of Science")</f>
        <v>View Full Record in Web of Science</v>
      </c>
    </row>
    <row r="18" ht="12.75" customHeight="1">
      <c r="A18" s="14" t="s">
        <v>97</v>
      </c>
      <c r="B18" s="14" t="s">
        <v>6199</v>
      </c>
      <c r="C18" s="14" t="s">
        <v>99</v>
      </c>
      <c r="D18" s="14" t="s">
        <v>99</v>
      </c>
      <c r="E18" s="14" t="s">
        <v>99</v>
      </c>
      <c r="F18" s="14" t="s">
        <v>6200</v>
      </c>
      <c r="G18" s="14" t="s">
        <v>99</v>
      </c>
      <c r="H18" s="14" t="s">
        <v>99</v>
      </c>
      <c r="I18" s="14" t="s">
        <v>6201</v>
      </c>
      <c r="J18" s="14" t="s">
        <v>456</v>
      </c>
      <c r="K18" s="14" t="s">
        <v>99</v>
      </c>
      <c r="L18" s="14" t="s">
        <v>99</v>
      </c>
      <c r="M18" s="14" t="s">
        <v>103</v>
      </c>
      <c r="N18" s="14" t="s">
        <v>104</v>
      </c>
      <c r="O18" s="14" t="s">
        <v>99</v>
      </c>
      <c r="P18" s="14" t="s">
        <v>99</v>
      </c>
      <c r="Q18" s="14" t="s">
        <v>99</v>
      </c>
      <c r="R18" s="14" t="s">
        <v>99</v>
      </c>
      <c r="S18" s="14" t="s">
        <v>99</v>
      </c>
      <c r="T18" s="14" t="s">
        <v>6202</v>
      </c>
      <c r="U18" s="14" t="s">
        <v>6203</v>
      </c>
      <c r="V18" s="14" t="s">
        <v>6204</v>
      </c>
      <c r="W18" s="14" t="s">
        <v>6205</v>
      </c>
      <c r="X18" s="14" t="s">
        <v>6206</v>
      </c>
      <c r="Y18" s="14" t="s">
        <v>6207</v>
      </c>
      <c r="Z18" s="14" t="s">
        <v>6208</v>
      </c>
      <c r="AA18" s="14" t="s">
        <v>99</v>
      </c>
      <c r="AB18" s="14" t="s">
        <v>99</v>
      </c>
      <c r="AC18" s="14" t="s">
        <v>6209</v>
      </c>
      <c r="AD18" s="14" t="s">
        <v>6209</v>
      </c>
      <c r="AE18" s="14" t="s">
        <v>6210</v>
      </c>
      <c r="AF18" s="14" t="s">
        <v>99</v>
      </c>
      <c r="AG18" s="14">
        <v>38.0</v>
      </c>
      <c r="AH18" s="14">
        <v>13.0</v>
      </c>
      <c r="AI18" s="14">
        <v>16.0</v>
      </c>
      <c r="AJ18" s="14">
        <v>1.0</v>
      </c>
      <c r="AK18" s="14">
        <v>35.0</v>
      </c>
      <c r="AL18" s="14" t="s">
        <v>467</v>
      </c>
      <c r="AM18" s="14" t="s">
        <v>468</v>
      </c>
      <c r="AN18" s="14" t="s">
        <v>469</v>
      </c>
      <c r="AO18" s="14" t="s">
        <v>470</v>
      </c>
      <c r="AP18" s="14" t="s">
        <v>471</v>
      </c>
      <c r="AQ18" s="14" t="s">
        <v>99</v>
      </c>
      <c r="AR18" s="14" t="s">
        <v>472</v>
      </c>
      <c r="AS18" s="14" t="s">
        <v>473</v>
      </c>
      <c r="AT18" s="14" t="s">
        <v>474</v>
      </c>
      <c r="AU18" s="14">
        <v>2010.0</v>
      </c>
      <c r="AV18" s="14">
        <v>60.0</v>
      </c>
      <c r="AW18" s="14">
        <v>8.0</v>
      </c>
      <c r="AX18" s="14" t="s">
        <v>99</v>
      </c>
      <c r="AY18" s="14" t="s">
        <v>99</v>
      </c>
      <c r="AZ18" s="14" t="s">
        <v>99</v>
      </c>
      <c r="BA18" s="14" t="s">
        <v>99</v>
      </c>
      <c r="BB18" s="14">
        <v>1299.0</v>
      </c>
      <c r="BC18" s="14">
        <v>1306.0</v>
      </c>
      <c r="BD18" s="14" t="s">
        <v>99</v>
      </c>
      <c r="BE18" s="14" t="s">
        <v>6211</v>
      </c>
      <c r="BF18" s="15" t="str">
        <f>HYPERLINK("http://dx.doi.org/10.1016/j.marpolbul.2010.03.012","http://dx.doi.org/10.1016/j.marpolbul.2010.03.012")</f>
        <v>http://dx.doi.org/10.1016/j.marpolbul.2010.03.012</v>
      </c>
      <c r="BG18" s="14" t="s">
        <v>99</v>
      </c>
      <c r="BH18" s="14" t="s">
        <v>99</v>
      </c>
      <c r="BI18" s="14">
        <v>8.0</v>
      </c>
      <c r="BJ18" s="14" t="s">
        <v>396</v>
      </c>
      <c r="BK18" s="14" t="s">
        <v>122</v>
      </c>
      <c r="BL18" s="14" t="s">
        <v>397</v>
      </c>
      <c r="BM18" s="14" t="s">
        <v>6212</v>
      </c>
      <c r="BN18" s="14">
        <v>2.0392464E7</v>
      </c>
      <c r="BO18" s="14" t="s">
        <v>99</v>
      </c>
      <c r="BP18" s="14" t="s">
        <v>99</v>
      </c>
      <c r="BQ18" s="14" t="s">
        <v>99</v>
      </c>
      <c r="BR18" s="14" t="s">
        <v>124</v>
      </c>
      <c r="BS18" s="14" t="s">
        <v>6213</v>
      </c>
      <c r="BT18" s="14" t="str">
        <f>HYPERLINK("https%3A%2F%2Fwww.webofscience.com%2Fwos%2Fwoscc%2Ffull-record%2FWOS:000281474000029","View Full Record in Web of Science")</f>
        <v>View Full Record in Web of Science</v>
      </c>
    </row>
    <row r="19" ht="12.75" customHeight="1">
      <c r="A19" s="14" t="s">
        <v>97</v>
      </c>
      <c r="B19" s="14" t="s">
        <v>6510</v>
      </c>
      <c r="C19" s="14" t="s">
        <v>99</v>
      </c>
      <c r="D19" s="14" t="s">
        <v>99</v>
      </c>
      <c r="E19" s="14" t="s">
        <v>99</v>
      </c>
      <c r="F19" s="14" t="s">
        <v>6511</v>
      </c>
      <c r="G19" s="14" t="s">
        <v>99</v>
      </c>
      <c r="H19" s="14" t="s">
        <v>99</v>
      </c>
      <c r="I19" s="14" t="s">
        <v>6512</v>
      </c>
      <c r="J19" s="14" t="s">
        <v>1020</v>
      </c>
      <c r="K19" s="14" t="s">
        <v>99</v>
      </c>
      <c r="L19" s="14" t="s">
        <v>99</v>
      </c>
      <c r="M19" s="14" t="s">
        <v>103</v>
      </c>
      <c r="N19" s="14" t="s">
        <v>104</v>
      </c>
      <c r="O19" s="14" t="s">
        <v>99</v>
      </c>
      <c r="P19" s="14" t="s">
        <v>99</v>
      </c>
      <c r="Q19" s="14" t="s">
        <v>99</v>
      </c>
      <c r="R19" s="14" t="s">
        <v>99</v>
      </c>
      <c r="S19" s="14" t="s">
        <v>99</v>
      </c>
      <c r="T19" s="14" t="s">
        <v>6513</v>
      </c>
      <c r="U19" s="14" t="s">
        <v>6514</v>
      </c>
      <c r="V19" s="14" t="s">
        <v>6515</v>
      </c>
      <c r="W19" s="14" t="s">
        <v>6516</v>
      </c>
      <c r="X19" s="14" t="s">
        <v>6517</v>
      </c>
      <c r="Y19" s="14" t="s">
        <v>6518</v>
      </c>
      <c r="Z19" s="14" t="s">
        <v>6519</v>
      </c>
      <c r="AA19" s="14" t="s">
        <v>6520</v>
      </c>
      <c r="AB19" s="14" t="s">
        <v>6521</v>
      </c>
      <c r="AC19" s="14" t="s">
        <v>6522</v>
      </c>
      <c r="AD19" s="14" t="s">
        <v>6522</v>
      </c>
      <c r="AE19" s="14" t="s">
        <v>6523</v>
      </c>
      <c r="AF19" s="14" t="s">
        <v>99</v>
      </c>
      <c r="AG19" s="14">
        <v>67.0</v>
      </c>
      <c r="AH19" s="14">
        <v>33.0</v>
      </c>
      <c r="AI19" s="14">
        <v>36.0</v>
      </c>
      <c r="AJ19" s="14">
        <v>1.0</v>
      </c>
      <c r="AK19" s="14">
        <v>52.0</v>
      </c>
      <c r="AL19" s="14" t="s">
        <v>441</v>
      </c>
      <c r="AM19" s="14" t="s">
        <v>442</v>
      </c>
      <c r="AN19" s="14" t="s">
        <v>443</v>
      </c>
      <c r="AO19" s="14" t="s">
        <v>1035</v>
      </c>
      <c r="AP19" s="14" t="s">
        <v>1036</v>
      </c>
      <c r="AQ19" s="14" t="s">
        <v>99</v>
      </c>
      <c r="AR19" s="14" t="s">
        <v>1037</v>
      </c>
      <c r="AS19" s="14" t="s">
        <v>1038</v>
      </c>
      <c r="AT19" s="14" t="s">
        <v>1505</v>
      </c>
      <c r="AU19" s="14">
        <v>2010.0</v>
      </c>
      <c r="AV19" s="14">
        <v>408.0</v>
      </c>
      <c r="AW19" s="14">
        <v>6.0</v>
      </c>
      <c r="AX19" s="14" t="s">
        <v>99</v>
      </c>
      <c r="AY19" s="14" t="s">
        <v>99</v>
      </c>
      <c r="AZ19" s="14" t="s">
        <v>99</v>
      </c>
      <c r="BA19" s="14" t="s">
        <v>99</v>
      </c>
      <c r="BB19" s="14">
        <v>1245.0</v>
      </c>
      <c r="BC19" s="14">
        <v>1255.0</v>
      </c>
      <c r="BD19" s="14" t="s">
        <v>99</v>
      </c>
      <c r="BE19" s="14" t="s">
        <v>6524</v>
      </c>
      <c r="BF19" s="15" t="str">
        <f>HYPERLINK("http://dx.doi.org/10.1016/j.scitotenv.2009.12.031","http://dx.doi.org/10.1016/j.scitotenv.2009.12.031")</f>
        <v>http://dx.doi.org/10.1016/j.scitotenv.2009.12.031</v>
      </c>
      <c r="BG19" s="14" t="s">
        <v>99</v>
      </c>
      <c r="BH19" s="14" t="s">
        <v>99</v>
      </c>
      <c r="BI19" s="14">
        <v>11.0</v>
      </c>
      <c r="BJ19" s="14" t="s">
        <v>1041</v>
      </c>
      <c r="BK19" s="14" t="s">
        <v>122</v>
      </c>
      <c r="BL19" s="14" t="s">
        <v>260</v>
      </c>
      <c r="BM19" s="14" t="s">
        <v>6525</v>
      </c>
      <c r="BN19" s="14">
        <v>2.0071008E7</v>
      </c>
      <c r="BO19" s="14" t="s">
        <v>238</v>
      </c>
      <c r="BP19" s="14" t="s">
        <v>99</v>
      </c>
      <c r="BQ19" s="14" t="s">
        <v>99</v>
      </c>
      <c r="BR19" s="14" t="s">
        <v>124</v>
      </c>
      <c r="BS19" s="14" t="s">
        <v>6526</v>
      </c>
      <c r="BT19" s="14" t="str">
        <f>HYPERLINK("https%3A%2F%2Fwww.webofscience.com%2Fwos%2Fwoscc%2Ffull-record%2FWOS:000274948000002","View Full Record in Web of Science")</f>
        <v>View Full Record in Web of Science</v>
      </c>
    </row>
    <row r="20" ht="12.75" customHeight="1">
      <c r="A20" s="14" t="s">
        <v>97</v>
      </c>
      <c r="B20" s="14" t="s">
        <v>6768</v>
      </c>
      <c r="C20" s="14" t="s">
        <v>99</v>
      </c>
      <c r="D20" s="14" t="s">
        <v>99</v>
      </c>
      <c r="E20" s="14" t="s">
        <v>99</v>
      </c>
      <c r="F20" s="14" t="s">
        <v>6769</v>
      </c>
      <c r="G20" s="14" t="s">
        <v>99</v>
      </c>
      <c r="H20" s="14" t="s">
        <v>99</v>
      </c>
      <c r="I20" s="14" t="s">
        <v>6770</v>
      </c>
      <c r="J20" s="14" t="s">
        <v>456</v>
      </c>
      <c r="K20" s="14" t="s">
        <v>99</v>
      </c>
      <c r="L20" s="14" t="s">
        <v>99</v>
      </c>
      <c r="M20" s="14" t="s">
        <v>103</v>
      </c>
      <c r="N20" s="14" t="s">
        <v>104</v>
      </c>
      <c r="O20" s="14" t="s">
        <v>99</v>
      </c>
      <c r="P20" s="14" t="s">
        <v>99</v>
      </c>
      <c r="Q20" s="14" t="s">
        <v>99</v>
      </c>
      <c r="R20" s="14" t="s">
        <v>99</v>
      </c>
      <c r="S20" s="14" t="s">
        <v>99</v>
      </c>
      <c r="T20" s="14" t="s">
        <v>6771</v>
      </c>
      <c r="U20" s="14" t="s">
        <v>6772</v>
      </c>
      <c r="V20" s="14" t="s">
        <v>6773</v>
      </c>
      <c r="W20" s="14" t="s">
        <v>6774</v>
      </c>
      <c r="X20" s="14" t="s">
        <v>6775</v>
      </c>
      <c r="Y20" s="14" t="s">
        <v>6776</v>
      </c>
      <c r="Z20" s="14" t="s">
        <v>6777</v>
      </c>
      <c r="AA20" s="14" t="s">
        <v>99</v>
      </c>
      <c r="AB20" s="14" t="s">
        <v>99</v>
      </c>
      <c r="AC20" s="14" t="s">
        <v>99</v>
      </c>
      <c r="AD20" s="14" t="s">
        <v>99</v>
      </c>
      <c r="AE20" s="14" t="s">
        <v>99</v>
      </c>
      <c r="AF20" s="14" t="s">
        <v>99</v>
      </c>
      <c r="AG20" s="14">
        <v>23.0</v>
      </c>
      <c r="AH20" s="14">
        <v>26.0</v>
      </c>
      <c r="AI20" s="14">
        <v>27.0</v>
      </c>
      <c r="AJ20" s="14">
        <v>0.0</v>
      </c>
      <c r="AK20" s="14">
        <v>17.0</v>
      </c>
      <c r="AL20" s="14" t="s">
        <v>467</v>
      </c>
      <c r="AM20" s="14" t="s">
        <v>468</v>
      </c>
      <c r="AN20" s="14" t="s">
        <v>469</v>
      </c>
      <c r="AO20" s="14" t="s">
        <v>470</v>
      </c>
      <c r="AP20" s="14" t="s">
        <v>471</v>
      </c>
      <c r="AQ20" s="14" t="s">
        <v>99</v>
      </c>
      <c r="AR20" s="14" t="s">
        <v>472</v>
      </c>
      <c r="AS20" s="14" t="s">
        <v>473</v>
      </c>
      <c r="AT20" s="14" t="s">
        <v>525</v>
      </c>
      <c r="AU20" s="14">
        <v>2009.0</v>
      </c>
      <c r="AV20" s="14">
        <v>58.0</v>
      </c>
      <c r="AW20" s="14">
        <v>7.0</v>
      </c>
      <c r="AX20" s="14" t="s">
        <v>99</v>
      </c>
      <c r="AY20" s="14" t="s">
        <v>99</v>
      </c>
      <c r="AZ20" s="14" t="s">
        <v>99</v>
      </c>
      <c r="BA20" s="14" t="s">
        <v>99</v>
      </c>
      <c r="BB20" s="14">
        <v>967.0</v>
      </c>
      <c r="BC20" s="14">
        <v>975.0</v>
      </c>
      <c r="BD20" s="14" t="s">
        <v>99</v>
      </c>
      <c r="BE20" s="14" t="s">
        <v>6778</v>
      </c>
      <c r="BF20" s="15" t="str">
        <f>HYPERLINK("http://dx.doi.org/10.1016/j.marpolbul.2009.03.009","http://dx.doi.org/10.1016/j.marpolbul.2009.03.009")</f>
        <v>http://dx.doi.org/10.1016/j.marpolbul.2009.03.009</v>
      </c>
      <c r="BG20" s="14" t="s">
        <v>99</v>
      </c>
      <c r="BH20" s="14" t="s">
        <v>99</v>
      </c>
      <c r="BI20" s="14">
        <v>9.0</v>
      </c>
      <c r="BJ20" s="14" t="s">
        <v>396</v>
      </c>
      <c r="BK20" s="14" t="s">
        <v>122</v>
      </c>
      <c r="BL20" s="14" t="s">
        <v>397</v>
      </c>
      <c r="BM20" s="14" t="s">
        <v>6779</v>
      </c>
      <c r="BN20" s="14">
        <v>1.9375113E7</v>
      </c>
      <c r="BO20" s="14" t="s">
        <v>99</v>
      </c>
      <c r="BP20" s="14" t="s">
        <v>99</v>
      </c>
      <c r="BQ20" s="14" t="s">
        <v>99</v>
      </c>
      <c r="BR20" s="14" t="s">
        <v>124</v>
      </c>
      <c r="BS20" s="14" t="s">
        <v>6780</v>
      </c>
      <c r="BT20" s="14" t="str">
        <f>HYPERLINK("https%3A%2F%2Fwww.webofscience.com%2Fwos%2Fwoscc%2Ffull-record%2FWOS:000268422500014","View Full Record in Web of Science")</f>
        <v>View Full Record in Web of Science</v>
      </c>
    </row>
    <row r="21" ht="12.75" customHeight="1">
      <c r="A21" s="14" t="s">
        <v>97</v>
      </c>
      <c r="B21" s="14" t="s">
        <v>7157</v>
      </c>
      <c r="C21" s="14" t="s">
        <v>99</v>
      </c>
      <c r="D21" s="14" t="s">
        <v>99</v>
      </c>
      <c r="E21" s="14" t="s">
        <v>99</v>
      </c>
      <c r="F21" s="14" t="s">
        <v>7158</v>
      </c>
      <c r="G21" s="14" t="s">
        <v>99</v>
      </c>
      <c r="H21" s="14" t="s">
        <v>99</v>
      </c>
      <c r="I21" s="14" t="s">
        <v>7159</v>
      </c>
      <c r="J21" s="14" t="s">
        <v>7160</v>
      </c>
      <c r="K21" s="14" t="s">
        <v>99</v>
      </c>
      <c r="L21" s="14" t="s">
        <v>99</v>
      </c>
      <c r="M21" s="14" t="s">
        <v>103</v>
      </c>
      <c r="N21" s="14" t="s">
        <v>104</v>
      </c>
      <c r="O21" s="14" t="s">
        <v>99</v>
      </c>
      <c r="P21" s="14" t="s">
        <v>99</v>
      </c>
      <c r="Q21" s="14" t="s">
        <v>99</v>
      </c>
      <c r="R21" s="14" t="s">
        <v>99</v>
      </c>
      <c r="S21" s="14" t="s">
        <v>99</v>
      </c>
      <c r="T21" s="14" t="s">
        <v>7161</v>
      </c>
      <c r="U21" s="14" t="s">
        <v>7162</v>
      </c>
      <c r="V21" s="14" t="s">
        <v>7163</v>
      </c>
      <c r="W21" s="14" t="s">
        <v>7164</v>
      </c>
      <c r="X21" s="14" t="s">
        <v>6775</v>
      </c>
      <c r="Y21" s="14" t="s">
        <v>7165</v>
      </c>
      <c r="Z21" s="14" t="s">
        <v>7166</v>
      </c>
      <c r="AA21" s="14" t="s">
        <v>7167</v>
      </c>
      <c r="AB21" s="14" t="s">
        <v>7168</v>
      </c>
      <c r="AC21" s="14" t="s">
        <v>99</v>
      </c>
      <c r="AD21" s="14" t="s">
        <v>99</v>
      </c>
      <c r="AE21" s="14" t="s">
        <v>99</v>
      </c>
      <c r="AF21" s="14" t="s">
        <v>99</v>
      </c>
      <c r="AG21" s="14">
        <v>32.0</v>
      </c>
      <c r="AH21" s="14">
        <v>129.0</v>
      </c>
      <c r="AI21" s="14">
        <v>136.0</v>
      </c>
      <c r="AJ21" s="14">
        <v>0.0</v>
      </c>
      <c r="AK21" s="14">
        <v>26.0</v>
      </c>
      <c r="AL21" s="14" t="s">
        <v>2301</v>
      </c>
      <c r="AM21" s="14" t="s">
        <v>2302</v>
      </c>
      <c r="AN21" s="14" t="s">
        <v>2303</v>
      </c>
      <c r="AO21" s="14" t="s">
        <v>7169</v>
      </c>
      <c r="AP21" s="14" t="s">
        <v>99</v>
      </c>
      <c r="AQ21" s="14" t="s">
        <v>99</v>
      </c>
      <c r="AR21" s="14" t="s">
        <v>7170</v>
      </c>
      <c r="AS21" s="14" t="s">
        <v>7171</v>
      </c>
      <c r="AT21" s="14" t="s">
        <v>348</v>
      </c>
      <c r="AU21" s="14">
        <v>2008.0</v>
      </c>
      <c r="AV21" s="14">
        <v>58.0</v>
      </c>
      <c r="AW21" s="14" t="s">
        <v>5620</v>
      </c>
      <c r="AX21" s="14" t="s">
        <v>99</v>
      </c>
      <c r="AY21" s="14" t="s">
        <v>99</v>
      </c>
      <c r="AZ21" s="14" t="s">
        <v>99</v>
      </c>
      <c r="BA21" s="14" t="s">
        <v>99</v>
      </c>
      <c r="BB21" s="14">
        <v>199.0</v>
      </c>
      <c r="BC21" s="14">
        <v>212.0</v>
      </c>
      <c r="BD21" s="14" t="s">
        <v>99</v>
      </c>
      <c r="BE21" s="14" t="s">
        <v>7172</v>
      </c>
      <c r="BF21" s="15" t="str">
        <f>HYPERLINK("http://dx.doi.org/10.1007/s10236-008-0141-x","http://dx.doi.org/10.1007/s10236-008-0141-x")</f>
        <v>http://dx.doi.org/10.1007/s10236-008-0141-x</v>
      </c>
      <c r="BG21" s="14" t="s">
        <v>99</v>
      </c>
      <c r="BH21" s="14" t="s">
        <v>99</v>
      </c>
      <c r="BI21" s="14">
        <v>14.0</v>
      </c>
      <c r="BJ21" s="14" t="s">
        <v>2034</v>
      </c>
      <c r="BK21" s="14" t="s">
        <v>122</v>
      </c>
      <c r="BL21" s="14" t="s">
        <v>2034</v>
      </c>
      <c r="BM21" s="14" t="s">
        <v>7173</v>
      </c>
      <c r="BN21" s="14" t="s">
        <v>99</v>
      </c>
      <c r="BO21" s="14" t="s">
        <v>99</v>
      </c>
      <c r="BP21" s="14" t="s">
        <v>99</v>
      </c>
      <c r="BQ21" s="14" t="s">
        <v>99</v>
      </c>
      <c r="BR21" s="14" t="s">
        <v>124</v>
      </c>
      <c r="BS21" s="14" t="s">
        <v>7174</v>
      </c>
      <c r="BT21" s="14" t="str">
        <f>HYPERLINK("https%3A%2F%2Fwww.webofscience.com%2Fwos%2Fwoscc%2Ffull-record%2FWOS:000260839300004","View Full Record in Web of Science")</f>
        <v>View Full Record in Web of Science</v>
      </c>
    </row>
    <row r="22" ht="12.75" customHeight="1">
      <c r="A22" s="14" t="s">
        <v>97</v>
      </c>
      <c r="B22" s="14" t="s">
        <v>7317</v>
      </c>
      <c r="C22" s="14" t="s">
        <v>99</v>
      </c>
      <c r="D22" s="14" t="s">
        <v>99</v>
      </c>
      <c r="E22" s="14" t="s">
        <v>99</v>
      </c>
      <c r="F22" s="14" t="s">
        <v>7318</v>
      </c>
      <c r="G22" s="14" t="s">
        <v>99</v>
      </c>
      <c r="H22" s="14" t="s">
        <v>99</v>
      </c>
      <c r="I22" s="14" t="s">
        <v>7319</v>
      </c>
      <c r="J22" s="14" t="s">
        <v>532</v>
      </c>
      <c r="K22" s="14" t="s">
        <v>99</v>
      </c>
      <c r="L22" s="14" t="s">
        <v>99</v>
      </c>
      <c r="M22" s="14" t="s">
        <v>103</v>
      </c>
      <c r="N22" s="14" t="s">
        <v>104</v>
      </c>
      <c r="O22" s="14" t="s">
        <v>99</v>
      </c>
      <c r="P22" s="14" t="s">
        <v>99</v>
      </c>
      <c r="Q22" s="14" t="s">
        <v>99</v>
      </c>
      <c r="R22" s="14" t="s">
        <v>99</v>
      </c>
      <c r="S22" s="14" t="s">
        <v>99</v>
      </c>
      <c r="T22" s="14" t="s">
        <v>7320</v>
      </c>
      <c r="U22" s="14" t="s">
        <v>7321</v>
      </c>
      <c r="V22" s="14" t="s">
        <v>7322</v>
      </c>
      <c r="W22" s="14" t="s">
        <v>7323</v>
      </c>
      <c r="X22" s="14" t="s">
        <v>7324</v>
      </c>
      <c r="Y22" s="14" t="s">
        <v>7325</v>
      </c>
      <c r="Z22" s="14" t="s">
        <v>7326</v>
      </c>
      <c r="AA22" s="14" t="s">
        <v>7327</v>
      </c>
      <c r="AB22" s="14" t="s">
        <v>7328</v>
      </c>
      <c r="AC22" s="14" t="s">
        <v>99</v>
      </c>
      <c r="AD22" s="14" t="s">
        <v>99</v>
      </c>
      <c r="AE22" s="14" t="s">
        <v>99</v>
      </c>
      <c r="AF22" s="14" t="s">
        <v>99</v>
      </c>
      <c r="AG22" s="14">
        <v>53.0</v>
      </c>
      <c r="AH22" s="14">
        <v>625.0</v>
      </c>
      <c r="AI22" s="14">
        <v>699.0</v>
      </c>
      <c r="AJ22" s="14">
        <v>0.0</v>
      </c>
      <c r="AK22" s="14">
        <v>314.0</v>
      </c>
      <c r="AL22" s="14" t="s">
        <v>1822</v>
      </c>
      <c r="AM22" s="14" t="s">
        <v>6591</v>
      </c>
      <c r="AN22" s="14" t="s">
        <v>6592</v>
      </c>
      <c r="AO22" s="14" t="s">
        <v>545</v>
      </c>
      <c r="AP22" s="14" t="s">
        <v>99</v>
      </c>
      <c r="AQ22" s="14" t="s">
        <v>99</v>
      </c>
      <c r="AR22" s="14" t="s">
        <v>547</v>
      </c>
      <c r="AS22" s="14" t="s">
        <v>548</v>
      </c>
      <c r="AT22" s="14" t="s">
        <v>474</v>
      </c>
      <c r="AU22" s="14">
        <v>2008.0</v>
      </c>
      <c r="AV22" s="14">
        <v>45.0</v>
      </c>
      <c r="AW22" s="14">
        <v>4.0</v>
      </c>
      <c r="AX22" s="14" t="s">
        <v>99</v>
      </c>
      <c r="AY22" s="14" t="s">
        <v>99</v>
      </c>
      <c r="AZ22" s="14" t="s">
        <v>99</v>
      </c>
      <c r="BA22" s="14" t="s">
        <v>99</v>
      </c>
      <c r="BB22" s="14">
        <v>1029.0</v>
      </c>
      <c r="BC22" s="14">
        <v>1039.0</v>
      </c>
      <c r="BD22" s="14" t="s">
        <v>99</v>
      </c>
      <c r="BE22" s="14" t="s">
        <v>7329</v>
      </c>
      <c r="BF22" s="15" t="str">
        <f>HYPERLINK("http://dx.doi.org/10.1111/j.1365-2664.2008.01488.x","http://dx.doi.org/10.1111/j.1365-2664.2008.01488.x")</f>
        <v>http://dx.doi.org/10.1111/j.1365-2664.2008.01488.x</v>
      </c>
      <c r="BG22" s="14" t="s">
        <v>99</v>
      </c>
      <c r="BH22" s="14" t="s">
        <v>99</v>
      </c>
      <c r="BI22" s="14">
        <v>11.0</v>
      </c>
      <c r="BJ22" s="14" t="s">
        <v>550</v>
      </c>
      <c r="BK22" s="14" t="s">
        <v>122</v>
      </c>
      <c r="BL22" s="14" t="s">
        <v>352</v>
      </c>
      <c r="BM22" s="14" t="s">
        <v>7330</v>
      </c>
      <c r="BN22" s="14" t="s">
        <v>99</v>
      </c>
      <c r="BO22" s="14" t="s">
        <v>238</v>
      </c>
      <c r="BP22" s="14" t="s">
        <v>99</v>
      </c>
      <c r="BQ22" s="14" t="s">
        <v>99</v>
      </c>
      <c r="BR22" s="14" t="s">
        <v>124</v>
      </c>
      <c r="BS22" s="14" t="s">
        <v>7331</v>
      </c>
      <c r="BT22" s="14" t="str">
        <f>HYPERLINK("https%3A%2F%2Fwww.webofscience.com%2Fwos%2Fwoscc%2Ffull-record%2FWOS:000257497300005","View Full Record in Web of Science")</f>
        <v>View Full Record in Web of Science</v>
      </c>
    </row>
    <row r="23" ht="12.75" customHeight="1">
      <c r="A23" s="14" t="s">
        <v>97</v>
      </c>
      <c r="B23" s="14" t="s">
        <v>7878</v>
      </c>
      <c r="C23" s="14" t="s">
        <v>99</v>
      </c>
      <c r="D23" s="14" t="s">
        <v>99</v>
      </c>
      <c r="E23" s="14" t="s">
        <v>99</v>
      </c>
      <c r="F23" s="14" t="s">
        <v>7879</v>
      </c>
      <c r="G23" s="14" t="s">
        <v>99</v>
      </c>
      <c r="H23" s="14" t="s">
        <v>99</v>
      </c>
      <c r="I23" s="14" t="s">
        <v>7880</v>
      </c>
      <c r="J23" s="14" t="s">
        <v>876</v>
      </c>
      <c r="K23" s="14" t="s">
        <v>99</v>
      </c>
      <c r="L23" s="14" t="s">
        <v>99</v>
      </c>
      <c r="M23" s="14" t="s">
        <v>103</v>
      </c>
      <c r="N23" s="14" t="s">
        <v>104</v>
      </c>
      <c r="O23" s="14" t="s">
        <v>99</v>
      </c>
      <c r="P23" s="14" t="s">
        <v>99</v>
      </c>
      <c r="Q23" s="14" t="s">
        <v>99</v>
      </c>
      <c r="R23" s="14" t="s">
        <v>99</v>
      </c>
      <c r="S23" s="14" t="s">
        <v>99</v>
      </c>
      <c r="T23" s="14" t="s">
        <v>7881</v>
      </c>
      <c r="U23" s="14" t="s">
        <v>7882</v>
      </c>
      <c r="V23" s="14" t="s">
        <v>7883</v>
      </c>
      <c r="W23" s="14" t="s">
        <v>7884</v>
      </c>
      <c r="X23" s="14" t="s">
        <v>7885</v>
      </c>
      <c r="Y23" s="14" t="s">
        <v>7886</v>
      </c>
      <c r="Z23" s="14" t="s">
        <v>7887</v>
      </c>
      <c r="AA23" s="14" t="s">
        <v>99</v>
      </c>
      <c r="AB23" s="14" t="s">
        <v>7888</v>
      </c>
      <c r="AC23" s="14" t="s">
        <v>99</v>
      </c>
      <c r="AD23" s="14" t="s">
        <v>99</v>
      </c>
      <c r="AE23" s="14" t="s">
        <v>99</v>
      </c>
      <c r="AF23" s="14" t="s">
        <v>99</v>
      </c>
      <c r="AG23" s="14">
        <v>36.0</v>
      </c>
      <c r="AH23" s="14">
        <v>69.0</v>
      </c>
      <c r="AI23" s="14">
        <v>73.0</v>
      </c>
      <c r="AJ23" s="14">
        <v>0.0</v>
      </c>
      <c r="AK23" s="14">
        <v>76.0</v>
      </c>
      <c r="AL23" s="14" t="s">
        <v>1033</v>
      </c>
      <c r="AM23" s="14" t="s">
        <v>442</v>
      </c>
      <c r="AN23" s="14" t="s">
        <v>1034</v>
      </c>
      <c r="AO23" s="14" t="s">
        <v>889</v>
      </c>
      <c r="AP23" s="14" t="s">
        <v>890</v>
      </c>
      <c r="AQ23" s="14" t="s">
        <v>99</v>
      </c>
      <c r="AR23" s="14" t="s">
        <v>891</v>
      </c>
      <c r="AS23" s="14" t="s">
        <v>892</v>
      </c>
      <c r="AT23" s="14" t="s">
        <v>348</v>
      </c>
      <c r="AU23" s="14">
        <v>2007.0</v>
      </c>
      <c r="AV23" s="14">
        <v>87.0</v>
      </c>
      <c r="AW23" s="14" t="s">
        <v>7889</v>
      </c>
      <c r="AX23" s="14" t="s">
        <v>99</v>
      </c>
      <c r="AY23" s="14" t="s">
        <v>99</v>
      </c>
      <c r="AZ23" s="14" t="s">
        <v>99</v>
      </c>
      <c r="BA23" s="14" t="s">
        <v>99</v>
      </c>
      <c r="BB23" s="14">
        <v>208.0</v>
      </c>
      <c r="BC23" s="14">
        <v>218.0</v>
      </c>
      <c r="BD23" s="14" t="s">
        <v>99</v>
      </c>
      <c r="BE23" s="14" t="s">
        <v>7890</v>
      </c>
      <c r="BF23" s="15" t="str">
        <f>HYPERLINK("http://dx.doi.org/10.1016/j.fishres.2006.12.009","http://dx.doi.org/10.1016/j.fishres.2006.12.009")</f>
        <v>http://dx.doi.org/10.1016/j.fishres.2006.12.009</v>
      </c>
      <c r="BG23" s="14" t="s">
        <v>99</v>
      </c>
      <c r="BH23" s="14" t="s">
        <v>99</v>
      </c>
      <c r="BI23" s="14">
        <v>11.0</v>
      </c>
      <c r="BJ23" s="14" t="s">
        <v>894</v>
      </c>
      <c r="BK23" s="14" t="s">
        <v>122</v>
      </c>
      <c r="BL23" s="14" t="s">
        <v>894</v>
      </c>
      <c r="BM23" s="14" t="s">
        <v>7891</v>
      </c>
      <c r="BN23" s="14" t="s">
        <v>99</v>
      </c>
      <c r="BO23" s="14" t="s">
        <v>99</v>
      </c>
      <c r="BP23" s="14" t="s">
        <v>99</v>
      </c>
      <c r="BQ23" s="14" t="s">
        <v>99</v>
      </c>
      <c r="BR23" s="14" t="s">
        <v>124</v>
      </c>
      <c r="BS23" s="14" t="s">
        <v>7892</v>
      </c>
      <c r="BT23" s="14" t="str">
        <f>HYPERLINK("https%3A%2F%2Fwww.webofscience.com%2Fwos%2Fwoscc%2Ffull-record%2FWOS:000251468500012","View Full Record in Web of Science")</f>
        <v>View Full Record in Web of Science</v>
      </c>
    </row>
    <row r="24" ht="12.75" customHeight="1">
      <c r="A24" s="14" t="s">
        <v>97</v>
      </c>
      <c r="B24" s="14" t="s">
        <v>7893</v>
      </c>
      <c r="C24" s="14" t="s">
        <v>99</v>
      </c>
      <c r="D24" s="14" t="s">
        <v>99</v>
      </c>
      <c r="E24" s="14" t="s">
        <v>99</v>
      </c>
      <c r="F24" s="14" t="s">
        <v>7894</v>
      </c>
      <c r="G24" s="14" t="s">
        <v>99</v>
      </c>
      <c r="H24" s="14" t="s">
        <v>99</v>
      </c>
      <c r="I24" s="14" t="s">
        <v>7895</v>
      </c>
      <c r="J24" s="14" t="s">
        <v>5780</v>
      </c>
      <c r="K24" s="14" t="s">
        <v>99</v>
      </c>
      <c r="L24" s="14" t="s">
        <v>99</v>
      </c>
      <c r="M24" s="14" t="s">
        <v>103</v>
      </c>
      <c r="N24" s="14" t="s">
        <v>104</v>
      </c>
      <c r="O24" s="14" t="s">
        <v>99</v>
      </c>
      <c r="P24" s="14" t="s">
        <v>99</v>
      </c>
      <c r="Q24" s="14" t="s">
        <v>99</v>
      </c>
      <c r="R24" s="14" t="s">
        <v>99</v>
      </c>
      <c r="S24" s="14" t="s">
        <v>99</v>
      </c>
      <c r="T24" s="14" t="s">
        <v>99</v>
      </c>
      <c r="U24" s="14" t="s">
        <v>7896</v>
      </c>
      <c r="V24" s="14" t="s">
        <v>7897</v>
      </c>
      <c r="W24" s="14" t="s">
        <v>7898</v>
      </c>
      <c r="X24" s="14" t="s">
        <v>7899</v>
      </c>
      <c r="Y24" s="14" t="s">
        <v>7900</v>
      </c>
      <c r="Z24" s="14" t="s">
        <v>99</v>
      </c>
      <c r="AA24" s="14" t="s">
        <v>7901</v>
      </c>
      <c r="AB24" s="14" t="s">
        <v>7902</v>
      </c>
      <c r="AC24" s="14" t="s">
        <v>99</v>
      </c>
      <c r="AD24" s="14" t="s">
        <v>99</v>
      </c>
      <c r="AE24" s="14" t="s">
        <v>99</v>
      </c>
      <c r="AF24" s="14" t="s">
        <v>99</v>
      </c>
      <c r="AG24" s="14">
        <v>54.0</v>
      </c>
      <c r="AH24" s="14">
        <v>89.0</v>
      </c>
      <c r="AI24" s="14">
        <v>95.0</v>
      </c>
      <c r="AJ24" s="14">
        <v>0.0</v>
      </c>
      <c r="AK24" s="14">
        <v>33.0</v>
      </c>
      <c r="AL24" s="14" t="s">
        <v>982</v>
      </c>
      <c r="AM24" s="14" t="s">
        <v>789</v>
      </c>
      <c r="AN24" s="14" t="s">
        <v>983</v>
      </c>
      <c r="AO24" s="14" t="s">
        <v>5791</v>
      </c>
      <c r="AP24" s="14" t="s">
        <v>5792</v>
      </c>
      <c r="AQ24" s="14" t="s">
        <v>99</v>
      </c>
      <c r="AR24" s="14" t="s">
        <v>5793</v>
      </c>
      <c r="AS24" s="14" t="s">
        <v>5794</v>
      </c>
      <c r="AT24" s="14" t="s">
        <v>7903</v>
      </c>
      <c r="AU24" s="14">
        <v>2007.0</v>
      </c>
      <c r="AV24" s="14">
        <v>21.0</v>
      </c>
      <c r="AW24" s="14">
        <v>4.0</v>
      </c>
      <c r="AX24" s="14" t="s">
        <v>99</v>
      </c>
      <c r="AY24" s="14" t="s">
        <v>99</v>
      </c>
      <c r="AZ24" s="14" t="s">
        <v>99</v>
      </c>
      <c r="BA24" s="14" t="s">
        <v>99</v>
      </c>
      <c r="BB24" s="14" t="s">
        <v>99</v>
      </c>
      <c r="BC24" s="14" t="s">
        <v>99</v>
      </c>
      <c r="BD24" s="14" t="s">
        <v>7904</v>
      </c>
      <c r="BE24" s="14" t="s">
        <v>7905</v>
      </c>
      <c r="BF24" s="15" t="str">
        <f>HYPERLINK("http://dx.doi.org/10.1029/2006GB002825","http://dx.doi.org/10.1029/2006GB002825")</f>
        <v>http://dx.doi.org/10.1029/2006GB002825</v>
      </c>
      <c r="BG24" s="14" t="s">
        <v>99</v>
      </c>
      <c r="BH24" s="14" t="s">
        <v>99</v>
      </c>
      <c r="BI24" s="14">
        <v>13.0</v>
      </c>
      <c r="BJ24" s="14" t="s">
        <v>5798</v>
      </c>
      <c r="BK24" s="14" t="s">
        <v>122</v>
      </c>
      <c r="BL24" s="14" t="s">
        <v>5799</v>
      </c>
      <c r="BM24" s="14" t="s">
        <v>7906</v>
      </c>
      <c r="BN24" s="14" t="s">
        <v>99</v>
      </c>
      <c r="BO24" s="14" t="s">
        <v>7907</v>
      </c>
      <c r="BP24" s="14" t="s">
        <v>99</v>
      </c>
      <c r="BQ24" s="14" t="s">
        <v>99</v>
      </c>
      <c r="BR24" s="14" t="s">
        <v>124</v>
      </c>
      <c r="BS24" s="14" t="s">
        <v>7908</v>
      </c>
      <c r="BT24" s="14" t="str">
        <f>HYPERLINK("https%3A%2F%2Fwww.webofscience.com%2Fwos%2Fwoscc%2Ffull-record%2FWOS:000250045700001","View Full Record in Web of Science")</f>
        <v>View Full Record in Web of Science</v>
      </c>
    </row>
    <row r="25" ht="12.75" customHeight="1">
      <c r="A25" s="14" t="s">
        <v>97</v>
      </c>
      <c r="B25" s="14" t="s">
        <v>8172</v>
      </c>
      <c r="C25" s="14" t="s">
        <v>99</v>
      </c>
      <c r="D25" s="14" t="s">
        <v>99</v>
      </c>
      <c r="E25" s="14" t="s">
        <v>99</v>
      </c>
      <c r="F25" s="14" t="s">
        <v>8173</v>
      </c>
      <c r="G25" s="14" t="s">
        <v>99</v>
      </c>
      <c r="H25" s="14" t="s">
        <v>99</v>
      </c>
      <c r="I25" s="14" t="s">
        <v>8174</v>
      </c>
      <c r="J25" s="14" t="s">
        <v>749</v>
      </c>
      <c r="K25" s="14" t="s">
        <v>99</v>
      </c>
      <c r="L25" s="14" t="s">
        <v>99</v>
      </c>
      <c r="M25" s="14" t="s">
        <v>103</v>
      </c>
      <c r="N25" s="14" t="s">
        <v>104</v>
      </c>
      <c r="O25" s="14" t="s">
        <v>99</v>
      </c>
      <c r="P25" s="14" t="s">
        <v>99</v>
      </c>
      <c r="Q25" s="14" t="s">
        <v>99</v>
      </c>
      <c r="R25" s="14" t="s">
        <v>99</v>
      </c>
      <c r="S25" s="14" t="s">
        <v>99</v>
      </c>
      <c r="T25" s="14" t="s">
        <v>8175</v>
      </c>
      <c r="U25" s="14" t="s">
        <v>8176</v>
      </c>
      <c r="V25" s="14" t="s">
        <v>8177</v>
      </c>
      <c r="W25" s="14" t="s">
        <v>8178</v>
      </c>
      <c r="X25" s="14" t="s">
        <v>8179</v>
      </c>
      <c r="Y25" s="14" t="s">
        <v>8180</v>
      </c>
      <c r="Z25" s="14" t="s">
        <v>8181</v>
      </c>
      <c r="AA25" s="14" t="s">
        <v>8182</v>
      </c>
      <c r="AB25" s="14" t="s">
        <v>99</v>
      </c>
      <c r="AC25" s="14" t="s">
        <v>99</v>
      </c>
      <c r="AD25" s="14" t="s">
        <v>99</v>
      </c>
      <c r="AE25" s="14" t="s">
        <v>99</v>
      </c>
      <c r="AF25" s="14" t="s">
        <v>99</v>
      </c>
      <c r="AG25" s="14">
        <v>43.0</v>
      </c>
      <c r="AH25" s="14">
        <v>46.0</v>
      </c>
      <c r="AI25" s="14">
        <v>51.0</v>
      </c>
      <c r="AJ25" s="14">
        <v>0.0</v>
      </c>
      <c r="AK25" s="14">
        <v>47.0</v>
      </c>
      <c r="AL25" s="14" t="s">
        <v>762</v>
      </c>
      <c r="AM25" s="14" t="s">
        <v>763</v>
      </c>
      <c r="AN25" s="14" t="s">
        <v>764</v>
      </c>
      <c r="AO25" s="14" t="s">
        <v>765</v>
      </c>
      <c r="AP25" s="14" t="s">
        <v>766</v>
      </c>
      <c r="AQ25" s="14" t="s">
        <v>99</v>
      </c>
      <c r="AR25" s="14" t="s">
        <v>767</v>
      </c>
      <c r="AS25" s="14" t="s">
        <v>768</v>
      </c>
      <c r="AT25" s="14" t="s">
        <v>99</v>
      </c>
      <c r="AU25" s="14">
        <v>2007.0</v>
      </c>
      <c r="AV25" s="14">
        <v>336.0</v>
      </c>
      <c r="AW25" s="14" t="s">
        <v>99</v>
      </c>
      <c r="AX25" s="14" t="s">
        <v>99</v>
      </c>
      <c r="AY25" s="14" t="s">
        <v>99</v>
      </c>
      <c r="AZ25" s="14" t="s">
        <v>99</v>
      </c>
      <c r="BA25" s="14" t="s">
        <v>99</v>
      </c>
      <c r="BB25" s="14">
        <v>63.0</v>
      </c>
      <c r="BC25" s="14">
        <v>75.0</v>
      </c>
      <c r="BD25" s="14" t="s">
        <v>99</v>
      </c>
      <c r="BE25" s="14" t="s">
        <v>8183</v>
      </c>
      <c r="BF25" s="15" t="str">
        <f>HYPERLINK("http://dx.doi.org/10.3354/meps336063","http://dx.doi.org/10.3354/meps336063")</f>
        <v>http://dx.doi.org/10.3354/meps336063</v>
      </c>
      <c r="BG25" s="14" t="s">
        <v>99</v>
      </c>
      <c r="BH25" s="14" t="s">
        <v>99</v>
      </c>
      <c r="BI25" s="14">
        <v>13.0</v>
      </c>
      <c r="BJ25" s="14" t="s">
        <v>301</v>
      </c>
      <c r="BK25" s="14" t="s">
        <v>122</v>
      </c>
      <c r="BL25" s="14" t="s">
        <v>303</v>
      </c>
      <c r="BM25" s="14" t="s">
        <v>8184</v>
      </c>
      <c r="BN25" s="14" t="s">
        <v>99</v>
      </c>
      <c r="BO25" s="14" t="s">
        <v>238</v>
      </c>
      <c r="BP25" s="14" t="s">
        <v>99</v>
      </c>
      <c r="BQ25" s="14" t="s">
        <v>99</v>
      </c>
      <c r="BR25" s="14" t="s">
        <v>124</v>
      </c>
      <c r="BS25" s="14" t="s">
        <v>8185</v>
      </c>
      <c r="BT25" s="14" t="str">
        <f>HYPERLINK("https%3A%2F%2Fwww.webofscience.com%2Fwos%2Fwoscc%2Ffull-record%2FWOS:000246980400005","View Full Record in Web of Science")</f>
        <v>View Full Record in Web of Science</v>
      </c>
    </row>
    <row r="26" ht="12.75" customHeight="1">
      <c r="A26" s="14" t="s">
        <v>97</v>
      </c>
      <c r="B26" s="14" t="s">
        <v>8213</v>
      </c>
      <c r="C26" s="14" t="s">
        <v>99</v>
      </c>
      <c r="D26" s="14" t="s">
        <v>99</v>
      </c>
      <c r="E26" s="14" t="s">
        <v>99</v>
      </c>
      <c r="F26" s="14" t="s">
        <v>8214</v>
      </c>
      <c r="G26" s="14" t="s">
        <v>99</v>
      </c>
      <c r="H26" s="14" t="s">
        <v>99</v>
      </c>
      <c r="I26" s="14" t="s">
        <v>8215</v>
      </c>
      <c r="J26" s="14" t="s">
        <v>749</v>
      </c>
      <c r="K26" s="14" t="s">
        <v>99</v>
      </c>
      <c r="L26" s="14" t="s">
        <v>99</v>
      </c>
      <c r="M26" s="14" t="s">
        <v>103</v>
      </c>
      <c r="N26" s="14" t="s">
        <v>104</v>
      </c>
      <c r="O26" s="14" t="s">
        <v>99</v>
      </c>
      <c r="P26" s="14" t="s">
        <v>99</v>
      </c>
      <c r="Q26" s="14" t="s">
        <v>99</v>
      </c>
      <c r="R26" s="14" t="s">
        <v>99</v>
      </c>
      <c r="S26" s="14" t="s">
        <v>99</v>
      </c>
      <c r="T26" s="14" t="s">
        <v>8216</v>
      </c>
      <c r="U26" s="14" t="s">
        <v>8217</v>
      </c>
      <c r="V26" s="14" t="s">
        <v>8218</v>
      </c>
      <c r="W26" s="14" t="s">
        <v>8219</v>
      </c>
      <c r="X26" s="14" t="s">
        <v>8220</v>
      </c>
      <c r="Y26" s="14" t="s">
        <v>8221</v>
      </c>
      <c r="Z26" s="14" t="s">
        <v>8222</v>
      </c>
      <c r="AA26" s="14" t="s">
        <v>8223</v>
      </c>
      <c r="AB26" s="14" t="s">
        <v>8224</v>
      </c>
      <c r="AC26" s="14" t="s">
        <v>99</v>
      </c>
      <c r="AD26" s="14" t="s">
        <v>99</v>
      </c>
      <c r="AE26" s="14" t="s">
        <v>99</v>
      </c>
      <c r="AF26" s="14" t="s">
        <v>99</v>
      </c>
      <c r="AG26" s="14">
        <v>47.0</v>
      </c>
      <c r="AH26" s="14">
        <v>87.0</v>
      </c>
      <c r="AI26" s="14">
        <v>95.0</v>
      </c>
      <c r="AJ26" s="14">
        <v>0.0</v>
      </c>
      <c r="AK26" s="14">
        <v>22.0</v>
      </c>
      <c r="AL26" s="14" t="s">
        <v>762</v>
      </c>
      <c r="AM26" s="14" t="s">
        <v>763</v>
      </c>
      <c r="AN26" s="14" t="s">
        <v>764</v>
      </c>
      <c r="AO26" s="14" t="s">
        <v>765</v>
      </c>
      <c r="AP26" s="14" t="s">
        <v>766</v>
      </c>
      <c r="AQ26" s="14" t="s">
        <v>99</v>
      </c>
      <c r="AR26" s="14" t="s">
        <v>767</v>
      </c>
      <c r="AS26" s="14" t="s">
        <v>768</v>
      </c>
      <c r="AT26" s="14" t="s">
        <v>99</v>
      </c>
      <c r="AU26" s="14">
        <v>2007.0</v>
      </c>
      <c r="AV26" s="14">
        <v>351.0</v>
      </c>
      <c r="AW26" s="14" t="s">
        <v>99</v>
      </c>
      <c r="AX26" s="14" t="s">
        <v>99</v>
      </c>
      <c r="AY26" s="14" t="s">
        <v>99</v>
      </c>
      <c r="AZ26" s="14" t="s">
        <v>99</v>
      </c>
      <c r="BA26" s="14" t="s">
        <v>99</v>
      </c>
      <c r="BB26" s="14">
        <v>189.0</v>
      </c>
      <c r="BC26" s="14">
        <v>199.0</v>
      </c>
      <c r="BD26" s="14" t="s">
        <v>99</v>
      </c>
      <c r="BE26" s="14" t="s">
        <v>8225</v>
      </c>
      <c r="BF26" s="15" t="str">
        <f>HYPERLINK("http://dx.doi.org/10.3354/meps07138","http://dx.doi.org/10.3354/meps07138")</f>
        <v>http://dx.doi.org/10.3354/meps07138</v>
      </c>
      <c r="BG26" s="14" t="s">
        <v>99</v>
      </c>
      <c r="BH26" s="14" t="s">
        <v>99</v>
      </c>
      <c r="BI26" s="14">
        <v>11.0</v>
      </c>
      <c r="BJ26" s="14" t="s">
        <v>301</v>
      </c>
      <c r="BK26" s="14" t="s">
        <v>122</v>
      </c>
      <c r="BL26" s="14" t="s">
        <v>303</v>
      </c>
      <c r="BM26" s="14" t="s">
        <v>8226</v>
      </c>
      <c r="BN26" s="14" t="s">
        <v>99</v>
      </c>
      <c r="BO26" s="14" t="s">
        <v>99</v>
      </c>
      <c r="BP26" s="14" t="s">
        <v>99</v>
      </c>
      <c r="BQ26" s="14" t="s">
        <v>99</v>
      </c>
      <c r="BR26" s="14" t="s">
        <v>124</v>
      </c>
      <c r="BS26" s="14" t="s">
        <v>8227</v>
      </c>
      <c r="BT26" s="14" t="str">
        <f>HYPERLINK("https%3A%2F%2Fwww.webofscience.com%2Fwos%2Fwoscc%2Ffull-record%2FWOS:000252064100016","View Full Record in Web of Science")</f>
        <v>View Full Record in Web of Science</v>
      </c>
    </row>
    <row r="27" ht="12.75" customHeight="1">
      <c r="A27" s="14" t="s">
        <v>97</v>
      </c>
      <c r="B27" s="14" t="s">
        <v>8846</v>
      </c>
      <c r="C27" s="14" t="s">
        <v>99</v>
      </c>
      <c r="D27" s="14" t="s">
        <v>99</v>
      </c>
      <c r="E27" s="14" t="s">
        <v>99</v>
      </c>
      <c r="F27" s="14" t="s">
        <v>8846</v>
      </c>
      <c r="G27" s="14" t="s">
        <v>99</v>
      </c>
      <c r="H27" s="14" t="s">
        <v>99</v>
      </c>
      <c r="I27" s="14" t="s">
        <v>8847</v>
      </c>
      <c r="J27" s="14" t="s">
        <v>3065</v>
      </c>
      <c r="K27" s="14" t="s">
        <v>99</v>
      </c>
      <c r="L27" s="14" t="s">
        <v>99</v>
      </c>
      <c r="M27" s="14" t="s">
        <v>103</v>
      </c>
      <c r="N27" s="14" t="s">
        <v>104</v>
      </c>
      <c r="O27" s="14" t="s">
        <v>99</v>
      </c>
      <c r="P27" s="14" t="s">
        <v>99</v>
      </c>
      <c r="Q27" s="14" t="s">
        <v>99</v>
      </c>
      <c r="R27" s="14" t="s">
        <v>99</v>
      </c>
      <c r="S27" s="14" t="s">
        <v>99</v>
      </c>
      <c r="T27" s="14" t="s">
        <v>8848</v>
      </c>
      <c r="U27" s="14" t="s">
        <v>8849</v>
      </c>
      <c r="V27" s="14" t="s">
        <v>8850</v>
      </c>
      <c r="W27" s="14" t="s">
        <v>8851</v>
      </c>
      <c r="X27" s="14" t="s">
        <v>99</v>
      </c>
      <c r="Y27" s="14" t="s">
        <v>8852</v>
      </c>
      <c r="Z27" s="14" t="s">
        <v>8853</v>
      </c>
      <c r="AA27" s="14" t="s">
        <v>8854</v>
      </c>
      <c r="AB27" s="14" t="s">
        <v>8855</v>
      </c>
      <c r="AC27" s="14" t="s">
        <v>99</v>
      </c>
      <c r="AD27" s="14" t="s">
        <v>99</v>
      </c>
      <c r="AE27" s="14" t="s">
        <v>99</v>
      </c>
      <c r="AF27" s="14" t="s">
        <v>99</v>
      </c>
      <c r="AG27" s="14">
        <v>48.0</v>
      </c>
      <c r="AH27" s="14">
        <v>139.0</v>
      </c>
      <c r="AI27" s="14">
        <v>149.0</v>
      </c>
      <c r="AJ27" s="14">
        <v>2.0</v>
      </c>
      <c r="AK27" s="14">
        <v>43.0</v>
      </c>
      <c r="AL27" s="14" t="s">
        <v>3078</v>
      </c>
      <c r="AM27" s="14" t="s">
        <v>468</v>
      </c>
      <c r="AN27" s="14" t="s">
        <v>3079</v>
      </c>
      <c r="AO27" s="14" t="s">
        <v>3080</v>
      </c>
      <c r="AP27" s="14" t="s">
        <v>3081</v>
      </c>
      <c r="AQ27" s="14" t="s">
        <v>99</v>
      </c>
      <c r="AR27" s="14" t="s">
        <v>3082</v>
      </c>
      <c r="AS27" s="14" t="s">
        <v>3083</v>
      </c>
      <c r="AT27" s="14" t="s">
        <v>474</v>
      </c>
      <c r="AU27" s="14">
        <v>2005.0</v>
      </c>
      <c r="AV27" s="14">
        <v>62.0</v>
      </c>
      <c r="AW27" s="14">
        <v>5.0</v>
      </c>
      <c r="AX27" s="14" t="s">
        <v>99</v>
      </c>
      <c r="AY27" s="14" t="s">
        <v>99</v>
      </c>
      <c r="AZ27" s="14" t="s">
        <v>99</v>
      </c>
      <c r="BA27" s="14" t="s">
        <v>99</v>
      </c>
      <c r="BB27" s="14">
        <v>847.0</v>
      </c>
      <c r="BC27" s="14">
        <v>868.0</v>
      </c>
      <c r="BD27" s="14" t="s">
        <v>99</v>
      </c>
      <c r="BE27" s="14" t="s">
        <v>8856</v>
      </c>
      <c r="BF27" s="15" t="str">
        <f>HYPERLINK("http://dx.doi.org/10.1016/j.icesjms.2005.01.023","http://dx.doi.org/10.1016/j.icesjms.2005.01.023")</f>
        <v>http://dx.doi.org/10.1016/j.icesjms.2005.01.023</v>
      </c>
      <c r="BG27" s="14" t="s">
        <v>99</v>
      </c>
      <c r="BH27" s="14" t="s">
        <v>99</v>
      </c>
      <c r="BI27" s="14">
        <v>22.0</v>
      </c>
      <c r="BJ27" s="14" t="s">
        <v>3086</v>
      </c>
      <c r="BK27" s="14" t="s">
        <v>122</v>
      </c>
      <c r="BL27" s="14" t="s">
        <v>3086</v>
      </c>
      <c r="BM27" s="14" t="s">
        <v>8857</v>
      </c>
      <c r="BN27" s="14" t="s">
        <v>99</v>
      </c>
      <c r="BO27" s="14" t="s">
        <v>238</v>
      </c>
      <c r="BP27" s="14" t="s">
        <v>99</v>
      </c>
      <c r="BQ27" s="14" t="s">
        <v>99</v>
      </c>
      <c r="BR27" s="14" t="s">
        <v>124</v>
      </c>
      <c r="BS27" s="14" t="s">
        <v>8858</v>
      </c>
      <c r="BT27" s="14" t="str">
        <f>HYPERLINK("https%3A%2F%2Fwww.webofscience.com%2Fwos%2Fwoscc%2Ffull-record%2FWOS:000230998900003","View Full Record in Web of Science")</f>
        <v>View Full Record in Web of Science</v>
      </c>
    </row>
    <row r="28" ht="12.75" customHeight="1">
      <c r="A28" s="14" t="s">
        <v>97</v>
      </c>
      <c r="B28" s="14" t="s">
        <v>8899</v>
      </c>
      <c r="C28" s="14" t="s">
        <v>99</v>
      </c>
      <c r="D28" s="14" t="s">
        <v>99</v>
      </c>
      <c r="E28" s="14" t="s">
        <v>99</v>
      </c>
      <c r="F28" s="14" t="s">
        <v>8899</v>
      </c>
      <c r="G28" s="14" t="s">
        <v>99</v>
      </c>
      <c r="H28" s="14" t="s">
        <v>99</v>
      </c>
      <c r="I28" s="14" t="s">
        <v>8900</v>
      </c>
      <c r="J28" s="14" t="s">
        <v>8901</v>
      </c>
      <c r="K28" s="14" t="s">
        <v>99</v>
      </c>
      <c r="L28" s="14" t="s">
        <v>99</v>
      </c>
      <c r="M28" s="14" t="s">
        <v>103</v>
      </c>
      <c r="N28" s="14" t="s">
        <v>104</v>
      </c>
      <c r="O28" s="14" t="s">
        <v>99</v>
      </c>
      <c r="P28" s="14" t="s">
        <v>99</v>
      </c>
      <c r="Q28" s="14" t="s">
        <v>99</v>
      </c>
      <c r="R28" s="14" t="s">
        <v>99</v>
      </c>
      <c r="S28" s="14" t="s">
        <v>99</v>
      </c>
      <c r="T28" s="14" t="s">
        <v>8902</v>
      </c>
      <c r="U28" s="14" t="s">
        <v>8903</v>
      </c>
      <c r="V28" s="14" t="s">
        <v>8904</v>
      </c>
      <c r="W28" s="14" t="s">
        <v>8905</v>
      </c>
      <c r="X28" s="14" t="s">
        <v>5515</v>
      </c>
      <c r="Y28" s="14" t="s">
        <v>8906</v>
      </c>
      <c r="Z28" s="14" t="s">
        <v>8907</v>
      </c>
      <c r="AA28" s="14" t="s">
        <v>8908</v>
      </c>
      <c r="AB28" s="14" t="s">
        <v>99</v>
      </c>
      <c r="AC28" s="14" t="s">
        <v>99</v>
      </c>
      <c r="AD28" s="14" t="s">
        <v>99</v>
      </c>
      <c r="AE28" s="14" t="s">
        <v>99</v>
      </c>
      <c r="AF28" s="14" t="s">
        <v>99</v>
      </c>
      <c r="AG28" s="14">
        <v>25.0</v>
      </c>
      <c r="AH28" s="14">
        <v>18.0</v>
      </c>
      <c r="AI28" s="14">
        <v>22.0</v>
      </c>
      <c r="AJ28" s="14">
        <v>0.0</v>
      </c>
      <c r="AK28" s="14">
        <v>27.0</v>
      </c>
      <c r="AL28" s="14" t="s">
        <v>1731</v>
      </c>
      <c r="AM28" s="14" t="s">
        <v>1732</v>
      </c>
      <c r="AN28" s="14" t="s">
        <v>1733</v>
      </c>
      <c r="AO28" s="14" t="s">
        <v>8909</v>
      </c>
      <c r="AP28" s="14" t="s">
        <v>99</v>
      </c>
      <c r="AQ28" s="14" t="s">
        <v>99</v>
      </c>
      <c r="AR28" s="14" t="s">
        <v>8901</v>
      </c>
      <c r="AS28" s="14" t="s">
        <v>8910</v>
      </c>
      <c r="AT28" s="14" t="s">
        <v>3233</v>
      </c>
      <c r="AU28" s="14">
        <v>2005.0</v>
      </c>
      <c r="AV28" s="14">
        <v>541.0</v>
      </c>
      <c r="AW28" s="14" t="s">
        <v>99</v>
      </c>
      <c r="AX28" s="14" t="s">
        <v>99</v>
      </c>
      <c r="AY28" s="14" t="s">
        <v>99</v>
      </c>
      <c r="AZ28" s="14" t="s">
        <v>99</v>
      </c>
      <c r="BA28" s="14" t="s">
        <v>99</v>
      </c>
      <c r="BB28" s="14">
        <v>241.0</v>
      </c>
      <c r="BC28" s="14">
        <v>244.0</v>
      </c>
      <c r="BD28" s="14" t="s">
        <v>99</v>
      </c>
      <c r="BE28" s="14" t="s">
        <v>8911</v>
      </c>
      <c r="BF28" s="15" t="str">
        <f>HYPERLINK("http://dx.doi.org/10.1007/s10750-004-4671-z","http://dx.doi.org/10.1007/s10750-004-4671-z")</f>
        <v>http://dx.doi.org/10.1007/s10750-004-4671-z</v>
      </c>
      <c r="BG28" s="14" t="s">
        <v>99</v>
      </c>
      <c r="BH28" s="14" t="s">
        <v>99</v>
      </c>
      <c r="BI28" s="14">
        <v>4.0</v>
      </c>
      <c r="BJ28" s="14" t="s">
        <v>8912</v>
      </c>
      <c r="BK28" s="14" t="s">
        <v>122</v>
      </c>
      <c r="BL28" s="14" t="s">
        <v>8912</v>
      </c>
      <c r="BM28" s="14" t="s">
        <v>8913</v>
      </c>
      <c r="BN28" s="14" t="s">
        <v>99</v>
      </c>
      <c r="BO28" s="14" t="s">
        <v>99</v>
      </c>
      <c r="BP28" s="14" t="s">
        <v>99</v>
      </c>
      <c r="BQ28" s="14" t="s">
        <v>99</v>
      </c>
      <c r="BR28" s="14" t="s">
        <v>124</v>
      </c>
      <c r="BS28" s="14" t="s">
        <v>8914</v>
      </c>
      <c r="BT28" s="14" t="str">
        <f>HYPERLINK("https%3A%2F%2Fwww.webofscience.com%2Fwos%2Fwoscc%2Ffull-record%2FWOS:000231879100021","View Full Record in Web of Science")</f>
        <v>View Full Record in Web of Science</v>
      </c>
    </row>
    <row r="29" ht="12.75" customHeight="1">
      <c r="A29" s="14" t="s">
        <v>97</v>
      </c>
      <c r="B29" s="14" t="s">
        <v>8927</v>
      </c>
      <c r="C29" s="14" t="s">
        <v>99</v>
      </c>
      <c r="D29" s="14" t="s">
        <v>99</v>
      </c>
      <c r="E29" s="14" t="s">
        <v>99</v>
      </c>
      <c r="F29" s="14" t="s">
        <v>8927</v>
      </c>
      <c r="G29" s="14" t="s">
        <v>99</v>
      </c>
      <c r="H29" s="14" t="s">
        <v>99</v>
      </c>
      <c r="I29" s="14" t="s">
        <v>8928</v>
      </c>
      <c r="J29" s="14" t="s">
        <v>3065</v>
      </c>
      <c r="K29" s="14" t="s">
        <v>99</v>
      </c>
      <c r="L29" s="14" t="s">
        <v>99</v>
      </c>
      <c r="M29" s="14" t="s">
        <v>103</v>
      </c>
      <c r="N29" s="14" t="s">
        <v>104</v>
      </c>
      <c r="O29" s="14" t="s">
        <v>99</v>
      </c>
      <c r="P29" s="14" t="s">
        <v>99</v>
      </c>
      <c r="Q29" s="14" t="s">
        <v>99</v>
      </c>
      <c r="R29" s="14" t="s">
        <v>99</v>
      </c>
      <c r="S29" s="14" t="s">
        <v>99</v>
      </c>
      <c r="T29" s="14" t="s">
        <v>8929</v>
      </c>
      <c r="U29" s="14" t="s">
        <v>8930</v>
      </c>
      <c r="V29" s="14" t="s">
        <v>8931</v>
      </c>
      <c r="W29" s="14" t="s">
        <v>8932</v>
      </c>
      <c r="X29" s="14" t="s">
        <v>8933</v>
      </c>
      <c r="Y29" s="14" t="s">
        <v>8934</v>
      </c>
      <c r="Z29" s="14" t="s">
        <v>8935</v>
      </c>
      <c r="AA29" s="14" t="s">
        <v>8936</v>
      </c>
      <c r="AB29" s="14" t="s">
        <v>8937</v>
      </c>
      <c r="AC29" s="14" t="s">
        <v>99</v>
      </c>
      <c r="AD29" s="14" t="s">
        <v>99</v>
      </c>
      <c r="AE29" s="14" t="s">
        <v>99</v>
      </c>
      <c r="AF29" s="14" t="s">
        <v>99</v>
      </c>
      <c r="AG29" s="14">
        <v>41.0</v>
      </c>
      <c r="AH29" s="14">
        <v>257.0</v>
      </c>
      <c r="AI29" s="14">
        <v>288.0</v>
      </c>
      <c r="AJ29" s="14">
        <v>3.0</v>
      </c>
      <c r="AK29" s="14">
        <v>73.0</v>
      </c>
      <c r="AL29" s="14" t="s">
        <v>3078</v>
      </c>
      <c r="AM29" s="14" t="s">
        <v>468</v>
      </c>
      <c r="AN29" s="14" t="s">
        <v>3079</v>
      </c>
      <c r="AO29" s="14" t="s">
        <v>3080</v>
      </c>
      <c r="AP29" s="14" t="s">
        <v>3081</v>
      </c>
      <c r="AQ29" s="14" t="s">
        <v>99</v>
      </c>
      <c r="AR29" s="14" t="s">
        <v>3082</v>
      </c>
      <c r="AS29" s="14" t="s">
        <v>3083</v>
      </c>
      <c r="AT29" s="14" t="s">
        <v>718</v>
      </c>
      <c r="AU29" s="14">
        <v>2005.0</v>
      </c>
      <c r="AV29" s="14">
        <v>62.0</v>
      </c>
      <c r="AW29" s="14">
        <v>2.0</v>
      </c>
      <c r="AX29" s="14" t="s">
        <v>99</v>
      </c>
      <c r="AY29" s="14" t="s">
        <v>99</v>
      </c>
      <c r="AZ29" s="14" t="s">
        <v>99</v>
      </c>
      <c r="BA29" s="14" t="s">
        <v>99</v>
      </c>
      <c r="BB29" s="14">
        <v>177.0</v>
      </c>
      <c r="BC29" s="14">
        <v>188.0</v>
      </c>
      <c r="BD29" s="14" t="s">
        <v>99</v>
      </c>
      <c r="BE29" s="14" t="s">
        <v>8938</v>
      </c>
      <c r="BF29" s="15" t="str">
        <f>HYPERLINK("http://dx.doi.org/10.1016/j.icesjms.2004.08.020","http://dx.doi.org/10.1016/j.icesjms.2004.08.020")</f>
        <v>http://dx.doi.org/10.1016/j.icesjms.2004.08.020</v>
      </c>
      <c r="BG29" s="14" t="s">
        <v>99</v>
      </c>
      <c r="BH29" s="14" t="s">
        <v>99</v>
      </c>
      <c r="BI29" s="14">
        <v>12.0</v>
      </c>
      <c r="BJ29" s="14" t="s">
        <v>3086</v>
      </c>
      <c r="BK29" s="14" t="s">
        <v>122</v>
      </c>
      <c r="BL29" s="14" t="s">
        <v>3086</v>
      </c>
      <c r="BM29" s="14" t="s">
        <v>8939</v>
      </c>
      <c r="BN29" s="14" t="s">
        <v>99</v>
      </c>
      <c r="BO29" s="14" t="s">
        <v>373</v>
      </c>
      <c r="BP29" s="14" t="s">
        <v>99</v>
      </c>
      <c r="BQ29" s="14" t="s">
        <v>99</v>
      </c>
      <c r="BR29" s="14" t="s">
        <v>124</v>
      </c>
      <c r="BS29" s="14" t="s">
        <v>8940</v>
      </c>
      <c r="BT29" s="14" t="str">
        <f>HYPERLINK("https%3A%2F%2Fwww.webofscience.com%2Fwos%2Fwoscc%2Ffull-record%2FWOS:000227506700003","View Full Record in Web of Science")</f>
        <v>View Full Record in Web of Science</v>
      </c>
    </row>
    <row r="30" ht="12.75" customHeight="1">
      <c r="A30" s="14" t="s">
        <v>97</v>
      </c>
      <c r="B30" s="14" t="s">
        <v>8952</v>
      </c>
      <c r="C30" s="14" t="s">
        <v>99</v>
      </c>
      <c r="D30" s="14" t="s">
        <v>99</v>
      </c>
      <c r="E30" s="14" t="s">
        <v>99</v>
      </c>
      <c r="F30" s="14" t="s">
        <v>8952</v>
      </c>
      <c r="G30" s="14" t="s">
        <v>99</v>
      </c>
      <c r="H30" s="14" t="s">
        <v>99</v>
      </c>
      <c r="I30" s="14" t="s">
        <v>8953</v>
      </c>
      <c r="J30" s="14" t="s">
        <v>8954</v>
      </c>
      <c r="K30" s="14" t="s">
        <v>99</v>
      </c>
      <c r="L30" s="14" t="s">
        <v>99</v>
      </c>
      <c r="M30" s="14" t="s">
        <v>103</v>
      </c>
      <c r="N30" s="14" t="s">
        <v>104</v>
      </c>
      <c r="O30" s="14" t="s">
        <v>99</v>
      </c>
      <c r="P30" s="14" t="s">
        <v>99</v>
      </c>
      <c r="Q30" s="14" t="s">
        <v>99</v>
      </c>
      <c r="R30" s="14" t="s">
        <v>99</v>
      </c>
      <c r="S30" s="14" t="s">
        <v>99</v>
      </c>
      <c r="T30" s="14" t="s">
        <v>8955</v>
      </c>
      <c r="U30" s="14" t="s">
        <v>8956</v>
      </c>
      <c r="V30" s="14" t="s">
        <v>8957</v>
      </c>
      <c r="W30" s="14" t="s">
        <v>8905</v>
      </c>
      <c r="X30" s="14" t="s">
        <v>5515</v>
      </c>
      <c r="Y30" s="14" t="s">
        <v>8958</v>
      </c>
      <c r="Z30" s="14" t="s">
        <v>8959</v>
      </c>
      <c r="AA30" s="14" t="s">
        <v>99</v>
      </c>
      <c r="AB30" s="14" t="s">
        <v>99</v>
      </c>
      <c r="AC30" s="14" t="s">
        <v>99</v>
      </c>
      <c r="AD30" s="14" t="s">
        <v>99</v>
      </c>
      <c r="AE30" s="14" t="s">
        <v>99</v>
      </c>
      <c r="AF30" s="14" t="s">
        <v>99</v>
      </c>
      <c r="AG30" s="14">
        <v>64.0</v>
      </c>
      <c r="AH30" s="14">
        <v>65.0</v>
      </c>
      <c r="AI30" s="14">
        <v>70.0</v>
      </c>
      <c r="AJ30" s="14">
        <v>5.0</v>
      </c>
      <c r="AK30" s="14">
        <v>36.0</v>
      </c>
      <c r="AL30" s="14" t="s">
        <v>441</v>
      </c>
      <c r="AM30" s="14" t="s">
        <v>442</v>
      </c>
      <c r="AN30" s="14" t="s">
        <v>443</v>
      </c>
      <c r="AO30" s="14" t="s">
        <v>8960</v>
      </c>
      <c r="AP30" s="14" t="s">
        <v>8961</v>
      </c>
      <c r="AQ30" s="14" t="s">
        <v>99</v>
      </c>
      <c r="AR30" s="14" t="s">
        <v>8962</v>
      </c>
      <c r="AS30" s="14" t="s">
        <v>8963</v>
      </c>
      <c r="AT30" s="14" t="s">
        <v>718</v>
      </c>
      <c r="AU30" s="14">
        <v>2005.0</v>
      </c>
      <c r="AV30" s="14">
        <v>53.0</v>
      </c>
      <c r="AW30" s="14">
        <v>4.0</v>
      </c>
      <c r="AX30" s="14" t="s">
        <v>99</v>
      </c>
      <c r="AY30" s="14" t="s">
        <v>99</v>
      </c>
      <c r="AZ30" s="14" t="s">
        <v>99</v>
      </c>
      <c r="BA30" s="14" t="s">
        <v>99</v>
      </c>
      <c r="BB30" s="14">
        <v>269.0</v>
      </c>
      <c r="BC30" s="14">
        <v>281.0</v>
      </c>
      <c r="BD30" s="14" t="s">
        <v>99</v>
      </c>
      <c r="BE30" s="14" t="s">
        <v>8964</v>
      </c>
      <c r="BF30" s="15" t="str">
        <f>HYPERLINK("http://dx.doi.org/10.1016/j.seares.2005.01.002","http://dx.doi.org/10.1016/j.seares.2005.01.002")</f>
        <v>http://dx.doi.org/10.1016/j.seares.2005.01.002</v>
      </c>
      <c r="BG30" s="14" t="s">
        <v>99</v>
      </c>
      <c r="BH30" s="14" t="s">
        <v>99</v>
      </c>
      <c r="BI30" s="14">
        <v>13.0</v>
      </c>
      <c r="BJ30" s="14" t="s">
        <v>720</v>
      </c>
      <c r="BK30" s="14" t="s">
        <v>122</v>
      </c>
      <c r="BL30" s="14" t="s">
        <v>720</v>
      </c>
      <c r="BM30" s="14" t="s">
        <v>8965</v>
      </c>
      <c r="BN30" s="14" t="s">
        <v>99</v>
      </c>
      <c r="BO30" s="14" t="s">
        <v>99</v>
      </c>
      <c r="BP30" s="14" t="s">
        <v>99</v>
      </c>
      <c r="BQ30" s="14" t="s">
        <v>99</v>
      </c>
      <c r="BR30" s="14" t="s">
        <v>124</v>
      </c>
      <c r="BS30" s="14" t="s">
        <v>8966</v>
      </c>
      <c r="BT30" s="14" t="str">
        <f>HYPERLINK("https%3A%2F%2Fwww.webofscience.com%2Fwos%2Fwoscc%2Ffull-record%2FWOS:000228965700006","View Full Record in Web of Science")</f>
        <v>View Full Record in Web of Science</v>
      </c>
    </row>
    <row r="31" ht="12.75" customHeight="1">
      <c r="A31" s="14" t="s">
        <v>97</v>
      </c>
      <c r="B31" s="14" t="s">
        <v>8967</v>
      </c>
      <c r="C31" s="14" t="s">
        <v>99</v>
      </c>
      <c r="D31" s="14" t="s">
        <v>99</v>
      </c>
      <c r="E31" s="14" t="s">
        <v>99</v>
      </c>
      <c r="F31" s="14" t="s">
        <v>8967</v>
      </c>
      <c r="G31" s="14" t="s">
        <v>99</v>
      </c>
      <c r="H31" s="14" t="s">
        <v>99</v>
      </c>
      <c r="I31" s="14" t="s">
        <v>8968</v>
      </c>
      <c r="J31" s="14" t="s">
        <v>8969</v>
      </c>
      <c r="K31" s="14" t="s">
        <v>99</v>
      </c>
      <c r="L31" s="14" t="s">
        <v>99</v>
      </c>
      <c r="M31" s="14" t="s">
        <v>103</v>
      </c>
      <c r="N31" s="14" t="s">
        <v>104</v>
      </c>
      <c r="O31" s="14" t="s">
        <v>99</v>
      </c>
      <c r="P31" s="14" t="s">
        <v>99</v>
      </c>
      <c r="Q31" s="14" t="s">
        <v>99</v>
      </c>
      <c r="R31" s="14" t="s">
        <v>99</v>
      </c>
      <c r="S31" s="14" t="s">
        <v>99</v>
      </c>
      <c r="T31" s="14" t="s">
        <v>8970</v>
      </c>
      <c r="U31" s="14" t="s">
        <v>8971</v>
      </c>
      <c r="V31" s="14" t="s">
        <v>8972</v>
      </c>
      <c r="W31" s="14" t="s">
        <v>8905</v>
      </c>
      <c r="X31" s="14" t="s">
        <v>5515</v>
      </c>
      <c r="Y31" s="14" t="s">
        <v>8973</v>
      </c>
      <c r="Z31" s="14" t="s">
        <v>8974</v>
      </c>
      <c r="AA31" s="14" t="s">
        <v>99</v>
      </c>
      <c r="AB31" s="14" t="s">
        <v>99</v>
      </c>
      <c r="AC31" s="14" t="s">
        <v>99</v>
      </c>
      <c r="AD31" s="14" t="s">
        <v>99</v>
      </c>
      <c r="AE31" s="14" t="s">
        <v>99</v>
      </c>
      <c r="AF31" s="14" t="s">
        <v>99</v>
      </c>
      <c r="AG31" s="14">
        <v>100.0</v>
      </c>
      <c r="AH31" s="14">
        <v>104.0</v>
      </c>
      <c r="AI31" s="14">
        <v>114.0</v>
      </c>
      <c r="AJ31" s="14">
        <v>0.0</v>
      </c>
      <c r="AK31" s="14">
        <v>70.0</v>
      </c>
      <c r="AL31" s="14" t="s">
        <v>1731</v>
      </c>
      <c r="AM31" s="14" t="s">
        <v>1594</v>
      </c>
      <c r="AN31" s="14" t="s">
        <v>8975</v>
      </c>
      <c r="AO31" s="14" t="s">
        <v>8976</v>
      </c>
      <c r="AP31" s="14" t="s">
        <v>99</v>
      </c>
      <c r="AQ31" s="14" t="s">
        <v>99</v>
      </c>
      <c r="AR31" s="14" t="s">
        <v>8977</v>
      </c>
      <c r="AS31" s="14" t="s">
        <v>8978</v>
      </c>
      <c r="AT31" s="14" t="s">
        <v>718</v>
      </c>
      <c r="AU31" s="14">
        <v>2005.0</v>
      </c>
      <c r="AV31" s="14">
        <v>59.0</v>
      </c>
      <c r="AW31" s="14">
        <v>1.0</v>
      </c>
      <c r="AX31" s="14" t="s">
        <v>99</v>
      </c>
      <c r="AY31" s="14" t="s">
        <v>99</v>
      </c>
      <c r="AZ31" s="14" t="s">
        <v>99</v>
      </c>
      <c r="BA31" s="14" t="s">
        <v>99</v>
      </c>
      <c r="BB31" s="14">
        <v>9.0</v>
      </c>
      <c r="BC31" s="14">
        <v>21.0</v>
      </c>
      <c r="BD31" s="14" t="s">
        <v>99</v>
      </c>
      <c r="BE31" s="14" t="s">
        <v>8979</v>
      </c>
      <c r="BF31" s="15" t="str">
        <f>HYPERLINK("http://dx.doi.org/10.1007/s10152-004-0202-6","http://dx.doi.org/10.1007/s10152-004-0202-6")</f>
        <v>http://dx.doi.org/10.1007/s10152-004-0202-6</v>
      </c>
      <c r="BG31" s="14" t="s">
        <v>99</v>
      </c>
      <c r="BH31" s="14" t="s">
        <v>99</v>
      </c>
      <c r="BI31" s="14">
        <v>13.0</v>
      </c>
      <c r="BJ31" s="14" t="s">
        <v>720</v>
      </c>
      <c r="BK31" s="14" t="s">
        <v>122</v>
      </c>
      <c r="BL31" s="14" t="s">
        <v>720</v>
      </c>
      <c r="BM31" s="14" t="s">
        <v>8980</v>
      </c>
      <c r="BN31" s="14" t="s">
        <v>99</v>
      </c>
      <c r="BO31" s="14" t="s">
        <v>238</v>
      </c>
      <c r="BP31" s="14" t="s">
        <v>99</v>
      </c>
      <c r="BQ31" s="14" t="s">
        <v>99</v>
      </c>
      <c r="BR31" s="14" t="s">
        <v>124</v>
      </c>
      <c r="BS31" s="14" t="s">
        <v>8981</v>
      </c>
      <c r="BT31" s="14" t="str">
        <f>HYPERLINK("https%3A%2F%2Fwww.webofscience.com%2Fwos%2Fwoscc%2Ffull-record%2FWOS:000228334500003","View Full Record in Web of Science")</f>
        <v>View Full Record in Web of Science</v>
      </c>
    </row>
    <row r="32" ht="12.75" customHeight="1">
      <c r="A32" s="14" t="s">
        <v>97</v>
      </c>
      <c r="B32" s="14" t="s">
        <v>8899</v>
      </c>
      <c r="C32" s="14" t="s">
        <v>99</v>
      </c>
      <c r="D32" s="14" t="s">
        <v>99</v>
      </c>
      <c r="E32" s="14" t="s">
        <v>99</v>
      </c>
      <c r="F32" s="14" t="s">
        <v>8899</v>
      </c>
      <c r="G32" s="14" t="s">
        <v>99</v>
      </c>
      <c r="H32" s="14" t="s">
        <v>99</v>
      </c>
      <c r="I32" s="14" t="s">
        <v>9045</v>
      </c>
      <c r="J32" s="14" t="s">
        <v>749</v>
      </c>
      <c r="K32" s="14" t="s">
        <v>99</v>
      </c>
      <c r="L32" s="14" t="s">
        <v>99</v>
      </c>
      <c r="M32" s="14" t="s">
        <v>103</v>
      </c>
      <c r="N32" s="14" t="s">
        <v>104</v>
      </c>
      <c r="O32" s="14" t="s">
        <v>99</v>
      </c>
      <c r="P32" s="14" t="s">
        <v>99</v>
      </c>
      <c r="Q32" s="14" t="s">
        <v>99</v>
      </c>
      <c r="R32" s="14" t="s">
        <v>99</v>
      </c>
      <c r="S32" s="14" t="s">
        <v>99</v>
      </c>
      <c r="T32" s="14" t="s">
        <v>9046</v>
      </c>
      <c r="U32" s="14" t="s">
        <v>9047</v>
      </c>
      <c r="V32" s="14" t="s">
        <v>9048</v>
      </c>
      <c r="W32" s="14" t="s">
        <v>8905</v>
      </c>
      <c r="X32" s="14" t="s">
        <v>5515</v>
      </c>
      <c r="Y32" s="14" t="s">
        <v>8906</v>
      </c>
      <c r="Z32" s="14" t="s">
        <v>8907</v>
      </c>
      <c r="AA32" s="14" t="s">
        <v>8908</v>
      </c>
      <c r="AB32" s="14" t="s">
        <v>99</v>
      </c>
      <c r="AC32" s="14" t="s">
        <v>99</v>
      </c>
      <c r="AD32" s="14" t="s">
        <v>99</v>
      </c>
      <c r="AE32" s="14" t="s">
        <v>99</v>
      </c>
      <c r="AF32" s="14" t="s">
        <v>99</v>
      </c>
      <c r="AG32" s="14">
        <v>40.0</v>
      </c>
      <c r="AH32" s="14">
        <v>51.0</v>
      </c>
      <c r="AI32" s="14">
        <v>57.0</v>
      </c>
      <c r="AJ32" s="14">
        <v>0.0</v>
      </c>
      <c r="AK32" s="14">
        <v>27.0</v>
      </c>
      <c r="AL32" s="14" t="s">
        <v>762</v>
      </c>
      <c r="AM32" s="14" t="s">
        <v>763</v>
      </c>
      <c r="AN32" s="14" t="s">
        <v>764</v>
      </c>
      <c r="AO32" s="14" t="s">
        <v>765</v>
      </c>
      <c r="AP32" s="14" t="s">
        <v>99</v>
      </c>
      <c r="AQ32" s="14" t="s">
        <v>99</v>
      </c>
      <c r="AR32" s="14" t="s">
        <v>767</v>
      </c>
      <c r="AS32" s="14" t="s">
        <v>768</v>
      </c>
      <c r="AT32" s="14" t="s">
        <v>99</v>
      </c>
      <c r="AU32" s="14">
        <v>2005.0</v>
      </c>
      <c r="AV32" s="14">
        <v>286.0</v>
      </c>
      <c r="AW32" s="14" t="s">
        <v>99</v>
      </c>
      <c r="AX32" s="14" t="s">
        <v>99</v>
      </c>
      <c r="AY32" s="14" t="s">
        <v>99</v>
      </c>
      <c r="AZ32" s="14" t="s">
        <v>99</v>
      </c>
      <c r="BA32" s="14" t="s">
        <v>99</v>
      </c>
      <c r="BB32" s="14">
        <v>13.0</v>
      </c>
      <c r="BC32" s="14">
        <v>19.0</v>
      </c>
      <c r="BD32" s="14" t="s">
        <v>99</v>
      </c>
      <c r="BE32" s="14" t="s">
        <v>9049</v>
      </c>
      <c r="BF32" s="15" t="str">
        <f>HYPERLINK("http://dx.doi.org/10.3354/meps286013","http://dx.doi.org/10.3354/meps286013")</f>
        <v>http://dx.doi.org/10.3354/meps286013</v>
      </c>
      <c r="BG32" s="14" t="s">
        <v>99</v>
      </c>
      <c r="BH32" s="14" t="s">
        <v>99</v>
      </c>
      <c r="BI32" s="14">
        <v>7.0</v>
      </c>
      <c r="BJ32" s="14" t="s">
        <v>301</v>
      </c>
      <c r="BK32" s="14" t="s">
        <v>122</v>
      </c>
      <c r="BL32" s="14" t="s">
        <v>303</v>
      </c>
      <c r="BM32" s="14" t="s">
        <v>9050</v>
      </c>
      <c r="BN32" s="14" t="s">
        <v>99</v>
      </c>
      <c r="BO32" s="14" t="s">
        <v>238</v>
      </c>
      <c r="BP32" s="14" t="s">
        <v>99</v>
      </c>
      <c r="BQ32" s="14" t="s">
        <v>99</v>
      </c>
      <c r="BR32" s="14" t="s">
        <v>124</v>
      </c>
      <c r="BS32" s="14" t="s">
        <v>9051</v>
      </c>
      <c r="BT32" s="14" t="str">
        <f>HYPERLINK("https%3A%2F%2Fwww.webofscience.com%2Fwos%2Fwoscc%2Ffull-record%2FWOS:000227440700002","View Full Record in Web of Science")</f>
        <v>View Full Record in Web of Science</v>
      </c>
    </row>
    <row r="33" ht="12.75" customHeight="1">
      <c r="A33" s="14" t="s">
        <v>97</v>
      </c>
      <c r="B33" s="14" t="s">
        <v>9449</v>
      </c>
      <c r="C33" s="14" t="s">
        <v>99</v>
      </c>
      <c r="D33" s="14" t="s">
        <v>99</v>
      </c>
      <c r="E33" s="14" t="s">
        <v>99</v>
      </c>
      <c r="F33" s="14" t="s">
        <v>9449</v>
      </c>
      <c r="G33" s="14" t="s">
        <v>99</v>
      </c>
      <c r="H33" s="14" t="s">
        <v>99</v>
      </c>
      <c r="I33" s="14" t="s">
        <v>9450</v>
      </c>
      <c r="J33" s="14" t="s">
        <v>3479</v>
      </c>
      <c r="K33" s="14" t="s">
        <v>99</v>
      </c>
      <c r="L33" s="14" t="s">
        <v>99</v>
      </c>
      <c r="M33" s="14" t="s">
        <v>103</v>
      </c>
      <c r="N33" s="14" t="s">
        <v>2284</v>
      </c>
      <c r="O33" s="14" t="s">
        <v>9451</v>
      </c>
      <c r="P33" s="14" t="s">
        <v>9452</v>
      </c>
      <c r="Q33" s="14" t="s">
        <v>9453</v>
      </c>
      <c r="R33" s="14" t="s">
        <v>99</v>
      </c>
      <c r="S33" s="14" t="s">
        <v>99</v>
      </c>
      <c r="T33" s="14" t="s">
        <v>9454</v>
      </c>
      <c r="U33" s="14" t="s">
        <v>9455</v>
      </c>
      <c r="V33" s="14" t="s">
        <v>9456</v>
      </c>
      <c r="W33" s="14" t="s">
        <v>9457</v>
      </c>
      <c r="X33" s="14" t="s">
        <v>99</v>
      </c>
      <c r="Y33" s="14" t="s">
        <v>9458</v>
      </c>
      <c r="Z33" s="14" t="s">
        <v>9459</v>
      </c>
      <c r="AA33" s="14" t="s">
        <v>9460</v>
      </c>
      <c r="AB33" s="14" t="s">
        <v>9461</v>
      </c>
      <c r="AC33" s="14" t="s">
        <v>99</v>
      </c>
      <c r="AD33" s="14" t="s">
        <v>99</v>
      </c>
      <c r="AE33" s="14" t="s">
        <v>99</v>
      </c>
      <c r="AF33" s="14" t="s">
        <v>99</v>
      </c>
      <c r="AG33" s="14">
        <v>34.0</v>
      </c>
      <c r="AH33" s="14">
        <v>131.0</v>
      </c>
      <c r="AI33" s="14">
        <v>154.0</v>
      </c>
      <c r="AJ33" s="14">
        <v>2.0</v>
      </c>
      <c r="AK33" s="14">
        <v>75.0</v>
      </c>
      <c r="AL33" s="14" t="s">
        <v>441</v>
      </c>
      <c r="AM33" s="14" t="s">
        <v>442</v>
      </c>
      <c r="AN33" s="14" t="s">
        <v>443</v>
      </c>
      <c r="AO33" s="14" t="s">
        <v>3490</v>
      </c>
      <c r="AP33" s="14" t="s">
        <v>3491</v>
      </c>
      <c r="AQ33" s="14" t="s">
        <v>99</v>
      </c>
      <c r="AR33" s="14" t="s">
        <v>3492</v>
      </c>
      <c r="AS33" s="14" t="s">
        <v>3493</v>
      </c>
      <c r="AT33" s="14" t="s">
        <v>640</v>
      </c>
      <c r="AU33" s="14">
        <v>2003.0</v>
      </c>
      <c r="AV33" s="14">
        <v>24.0</v>
      </c>
      <c r="AW33" s="14" t="s">
        <v>99</v>
      </c>
      <c r="AX33" s="14" t="s">
        <v>99</v>
      </c>
      <c r="AY33" s="14">
        <v>1.0</v>
      </c>
      <c r="AZ33" s="14" t="s">
        <v>99</v>
      </c>
      <c r="BA33" s="14" t="s">
        <v>99</v>
      </c>
      <c r="BB33" s="14" t="s">
        <v>9462</v>
      </c>
      <c r="BC33" s="14" t="s">
        <v>9463</v>
      </c>
      <c r="BD33" s="14" t="s">
        <v>99</v>
      </c>
      <c r="BE33" s="14" t="s">
        <v>9464</v>
      </c>
      <c r="BF33" s="15" t="str">
        <f>HYPERLINK("http://dx.doi.org/10.1016/S1146-609X(03)00009-2","http://dx.doi.org/10.1016/S1146-609X(03)00009-2")</f>
        <v>http://dx.doi.org/10.1016/S1146-609X(03)00009-2</v>
      </c>
      <c r="BG33" s="14" t="s">
        <v>99</v>
      </c>
      <c r="BH33" s="14" t="s">
        <v>99</v>
      </c>
      <c r="BI33" s="14">
        <v>6.0</v>
      </c>
      <c r="BJ33" s="14" t="s">
        <v>259</v>
      </c>
      <c r="BK33" s="14" t="s">
        <v>2311</v>
      </c>
      <c r="BL33" s="14" t="s">
        <v>260</v>
      </c>
      <c r="BM33" s="14" t="s">
        <v>9465</v>
      </c>
      <c r="BN33" s="14" t="s">
        <v>99</v>
      </c>
      <c r="BO33" s="14" t="s">
        <v>99</v>
      </c>
      <c r="BP33" s="14" t="s">
        <v>99</v>
      </c>
      <c r="BQ33" s="14" t="s">
        <v>99</v>
      </c>
      <c r="BR33" s="14" t="s">
        <v>124</v>
      </c>
      <c r="BS33" s="14" t="s">
        <v>9466</v>
      </c>
      <c r="BT33" s="14" t="str">
        <f>HYPERLINK("https%3A%2F%2Fwww.webofscience.com%2Fwos%2Fwoscc%2Ffull-record%2FWOS:000183900400016","View Full Record in Web of Science")</f>
        <v>View Full Record in Web of Science</v>
      </c>
    </row>
    <row r="34" ht="12.75" customHeight="1">
      <c r="A34" s="14" t="s">
        <v>97</v>
      </c>
      <c r="B34" s="14" t="s">
        <v>9535</v>
      </c>
      <c r="C34" s="14" t="s">
        <v>99</v>
      </c>
      <c r="D34" s="14" t="s">
        <v>99</v>
      </c>
      <c r="E34" s="14" t="s">
        <v>99</v>
      </c>
      <c r="F34" s="14" t="s">
        <v>9535</v>
      </c>
      <c r="G34" s="14" t="s">
        <v>99</v>
      </c>
      <c r="H34" s="14" t="s">
        <v>99</v>
      </c>
      <c r="I34" s="14" t="s">
        <v>9536</v>
      </c>
      <c r="J34" s="14" t="s">
        <v>9537</v>
      </c>
      <c r="K34" s="14" t="s">
        <v>99</v>
      </c>
      <c r="L34" s="14" t="s">
        <v>99</v>
      </c>
      <c r="M34" s="14" t="s">
        <v>103</v>
      </c>
      <c r="N34" s="14" t="s">
        <v>104</v>
      </c>
      <c r="O34" s="14" t="s">
        <v>99</v>
      </c>
      <c r="P34" s="14" t="s">
        <v>99</v>
      </c>
      <c r="Q34" s="14" t="s">
        <v>99</v>
      </c>
      <c r="R34" s="14" t="s">
        <v>99</v>
      </c>
      <c r="S34" s="14" t="s">
        <v>99</v>
      </c>
      <c r="T34" s="14" t="s">
        <v>99</v>
      </c>
      <c r="U34" s="14" t="s">
        <v>9538</v>
      </c>
      <c r="V34" s="14" t="s">
        <v>9539</v>
      </c>
      <c r="W34" s="14" t="s">
        <v>9540</v>
      </c>
      <c r="X34" s="14" t="s">
        <v>9541</v>
      </c>
      <c r="Y34" s="14" t="s">
        <v>9542</v>
      </c>
      <c r="Z34" s="14" t="s">
        <v>9543</v>
      </c>
      <c r="AA34" s="14" t="s">
        <v>9544</v>
      </c>
      <c r="AB34" s="14" t="s">
        <v>9545</v>
      </c>
      <c r="AC34" s="14" t="s">
        <v>99</v>
      </c>
      <c r="AD34" s="14" t="s">
        <v>99</v>
      </c>
      <c r="AE34" s="14" t="s">
        <v>99</v>
      </c>
      <c r="AF34" s="14" t="s">
        <v>99</v>
      </c>
      <c r="AG34" s="14">
        <v>71.0</v>
      </c>
      <c r="AH34" s="14">
        <v>218.0</v>
      </c>
      <c r="AI34" s="14">
        <v>261.0</v>
      </c>
      <c r="AJ34" s="14">
        <v>0.0</v>
      </c>
      <c r="AK34" s="14">
        <v>102.0</v>
      </c>
      <c r="AL34" s="14" t="s">
        <v>2301</v>
      </c>
      <c r="AM34" s="14" t="s">
        <v>2302</v>
      </c>
      <c r="AN34" s="14" t="s">
        <v>2303</v>
      </c>
      <c r="AO34" s="14" t="s">
        <v>9546</v>
      </c>
      <c r="AP34" s="14" t="s">
        <v>9547</v>
      </c>
      <c r="AQ34" s="14" t="s">
        <v>99</v>
      </c>
      <c r="AR34" s="14" t="s">
        <v>9548</v>
      </c>
      <c r="AS34" s="14" t="s">
        <v>9549</v>
      </c>
      <c r="AT34" s="14" t="s">
        <v>1058</v>
      </c>
      <c r="AU34" s="14">
        <v>2002.0</v>
      </c>
      <c r="AV34" s="14">
        <v>141.0</v>
      </c>
      <c r="AW34" s="14">
        <v>6.0</v>
      </c>
      <c r="AX34" s="14" t="s">
        <v>99</v>
      </c>
      <c r="AY34" s="14" t="s">
        <v>99</v>
      </c>
      <c r="AZ34" s="14" t="s">
        <v>99</v>
      </c>
      <c r="BA34" s="14" t="s">
        <v>99</v>
      </c>
      <c r="BB34" s="14">
        <v>1085.0</v>
      </c>
      <c r="BC34" s="14">
        <v>1097.0</v>
      </c>
      <c r="BD34" s="14" t="s">
        <v>99</v>
      </c>
      <c r="BE34" s="14" t="s">
        <v>9550</v>
      </c>
      <c r="BF34" s="15" t="str">
        <f>HYPERLINK("http://dx.doi.org/10.1007/s00227-002-0905-7","http://dx.doi.org/10.1007/s00227-002-0905-7")</f>
        <v>http://dx.doi.org/10.1007/s00227-002-0905-7</v>
      </c>
      <c r="BG34" s="14" t="s">
        <v>99</v>
      </c>
      <c r="BH34" s="14" t="s">
        <v>99</v>
      </c>
      <c r="BI34" s="14">
        <v>13.0</v>
      </c>
      <c r="BJ34" s="14" t="s">
        <v>8912</v>
      </c>
      <c r="BK34" s="14" t="s">
        <v>122</v>
      </c>
      <c r="BL34" s="14" t="s">
        <v>8912</v>
      </c>
      <c r="BM34" s="14" t="s">
        <v>9551</v>
      </c>
      <c r="BN34" s="14" t="s">
        <v>99</v>
      </c>
      <c r="BO34" s="14" t="s">
        <v>99</v>
      </c>
      <c r="BP34" s="14" t="s">
        <v>99</v>
      </c>
      <c r="BQ34" s="14" t="s">
        <v>99</v>
      </c>
      <c r="BR34" s="14" t="s">
        <v>124</v>
      </c>
      <c r="BS34" s="14" t="s">
        <v>9552</v>
      </c>
      <c r="BT34" s="14" t="str">
        <f>HYPERLINK("https%3A%2F%2Fwww.webofscience.com%2Fwos%2Fwoscc%2Ffull-record%2FWOS:000180044300011","View Full Record in Web of Science")</f>
        <v>View Full Record in Web of Science</v>
      </c>
    </row>
    <row r="35" ht="12.75" customHeight="1">
      <c r="A35" s="14" t="s">
        <v>97</v>
      </c>
      <c r="B35" s="14" t="s">
        <v>9783</v>
      </c>
      <c r="C35" s="14" t="s">
        <v>99</v>
      </c>
      <c r="D35" s="14" t="s">
        <v>99</v>
      </c>
      <c r="E35" s="14" t="s">
        <v>99</v>
      </c>
      <c r="F35" s="14" t="s">
        <v>9783</v>
      </c>
      <c r="G35" s="14" t="s">
        <v>99</v>
      </c>
      <c r="H35" s="14" t="s">
        <v>99</v>
      </c>
      <c r="I35" s="14" t="s">
        <v>9784</v>
      </c>
      <c r="J35" s="14" t="s">
        <v>749</v>
      </c>
      <c r="K35" s="14" t="s">
        <v>99</v>
      </c>
      <c r="L35" s="14" t="s">
        <v>99</v>
      </c>
      <c r="M35" s="14" t="s">
        <v>103</v>
      </c>
      <c r="N35" s="14" t="s">
        <v>104</v>
      </c>
      <c r="O35" s="14" t="s">
        <v>99</v>
      </c>
      <c r="P35" s="14" t="s">
        <v>99</v>
      </c>
      <c r="Q35" s="14" t="s">
        <v>99</v>
      </c>
      <c r="R35" s="14" t="s">
        <v>99</v>
      </c>
      <c r="S35" s="14" t="s">
        <v>99</v>
      </c>
      <c r="T35" s="14" t="s">
        <v>9785</v>
      </c>
      <c r="U35" s="14" t="s">
        <v>9786</v>
      </c>
      <c r="V35" s="14" t="s">
        <v>9787</v>
      </c>
      <c r="W35" s="14" t="s">
        <v>9788</v>
      </c>
      <c r="X35" s="14" t="s">
        <v>9789</v>
      </c>
      <c r="Y35" s="14" t="s">
        <v>9790</v>
      </c>
      <c r="Z35" s="14" t="s">
        <v>9791</v>
      </c>
      <c r="AA35" s="14" t="s">
        <v>9792</v>
      </c>
      <c r="AB35" s="14" t="s">
        <v>9793</v>
      </c>
      <c r="AC35" s="14" t="s">
        <v>99</v>
      </c>
      <c r="AD35" s="14" t="s">
        <v>99</v>
      </c>
      <c r="AE35" s="14" t="s">
        <v>99</v>
      </c>
      <c r="AF35" s="14" t="s">
        <v>99</v>
      </c>
      <c r="AG35" s="14">
        <v>46.0</v>
      </c>
      <c r="AH35" s="14">
        <v>197.0</v>
      </c>
      <c r="AI35" s="14">
        <v>211.0</v>
      </c>
      <c r="AJ35" s="14">
        <v>0.0</v>
      </c>
      <c r="AK35" s="14">
        <v>61.0</v>
      </c>
      <c r="AL35" s="14" t="s">
        <v>762</v>
      </c>
      <c r="AM35" s="14" t="s">
        <v>763</v>
      </c>
      <c r="AN35" s="14" t="s">
        <v>764</v>
      </c>
      <c r="AO35" s="14" t="s">
        <v>765</v>
      </c>
      <c r="AP35" s="14" t="s">
        <v>766</v>
      </c>
      <c r="AQ35" s="14" t="s">
        <v>99</v>
      </c>
      <c r="AR35" s="14" t="s">
        <v>767</v>
      </c>
      <c r="AS35" s="14" t="s">
        <v>768</v>
      </c>
      <c r="AT35" s="14" t="s">
        <v>99</v>
      </c>
      <c r="AU35" s="14">
        <v>2002.0</v>
      </c>
      <c r="AV35" s="14">
        <v>239.0</v>
      </c>
      <c r="AW35" s="14" t="s">
        <v>99</v>
      </c>
      <c r="AX35" s="14" t="s">
        <v>99</v>
      </c>
      <c r="AY35" s="14" t="s">
        <v>99</v>
      </c>
      <c r="AZ35" s="14" t="s">
        <v>99</v>
      </c>
      <c r="BA35" s="14" t="s">
        <v>99</v>
      </c>
      <c r="BB35" s="14">
        <v>1.0</v>
      </c>
      <c r="BC35" s="14">
        <v>10.0</v>
      </c>
      <c r="BD35" s="14" t="s">
        <v>99</v>
      </c>
      <c r="BE35" s="14" t="s">
        <v>9794</v>
      </c>
      <c r="BF35" s="15" t="str">
        <f>HYPERLINK("http://dx.doi.org/10.3354/meps239001","http://dx.doi.org/10.3354/meps239001")</f>
        <v>http://dx.doi.org/10.3354/meps239001</v>
      </c>
      <c r="BG35" s="14" t="s">
        <v>99</v>
      </c>
      <c r="BH35" s="14" t="s">
        <v>99</v>
      </c>
      <c r="BI35" s="14">
        <v>10.0</v>
      </c>
      <c r="BJ35" s="14" t="s">
        <v>301</v>
      </c>
      <c r="BK35" s="14" t="s">
        <v>122</v>
      </c>
      <c r="BL35" s="14" t="s">
        <v>303</v>
      </c>
      <c r="BM35" s="14" t="s">
        <v>9795</v>
      </c>
      <c r="BN35" s="14" t="s">
        <v>99</v>
      </c>
      <c r="BO35" s="14" t="s">
        <v>238</v>
      </c>
      <c r="BP35" s="14" t="s">
        <v>99</v>
      </c>
      <c r="BQ35" s="14" t="s">
        <v>99</v>
      </c>
      <c r="BR35" s="14" t="s">
        <v>124</v>
      </c>
      <c r="BS35" s="14" t="s">
        <v>9796</v>
      </c>
      <c r="BT35" s="14" t="str">
        <f>HYPERLINK("https%3A%2F%2Fwww.webofscience.com%2Fwos%2Fwoscc%2Ffull-record%2FWOS:000178175000001","View Full Record in Web of Science")</f>
        <v>View Full Record in Web of Science</v>
      </c>
    </row>
    <row r="36" ht="12.75" customHeight="1">
      <c r="A36" s="14" t="s">
        <v>97</v>
      </c>
      <c r="B36" s="14" t="s">
        <v>9936</v>
      </c>
      <c r="C36" s="14" t="s">
        <v>99</v>
      </c>
      <c r="D36" s="14" t="s">
        <v>99</v>
      </c>
      <c r="E36" s="14" t="s">
        <v>99</v>
      </c>
      <c r="F36" s="14" t="s">
        <v>9936</v>
      </c>
      <c r="G36" s="14" t="s">
        <v>99</v>
      </c>
      <c r="H36" s="14" t="s">
        <v>99</v>
      </c>
      <c r="I36" s="14" t="s">
        <v>9937</v>
      </c>
      <c r="J36" s="14" t="s">
        <v>1102</v>
      </c>
      <c r="K36" s="14" t="s">
        <v>99</v>
      </c>
      <c r="L36" s="14" t="s">
        <v>99</v>
      </c>
      <c r="M36" s="14" t="s">
        <v>103</v>
      </c>
      <c r="N36" s="14" t="s">
        <v>104</v>
      </c>
      <c r="O36" s="14" t="s">
        <v>99</v>
      </c>
      <c r="P36" s="14" t="s">
        <v>99</v>
      </c>
      <c r="Q36" s="14" t="s">
        <v>99</v>
      </c>
      <c r="R36" s="14" t="s">
        <v>99</v>
      </c>
      <c r="S36" s="14" t="s">
        <v>99</v>
      </c>
      <c r="T36" s="14" t="s">
        <v>9938</v>
      </c>
      <c r="U36" s="14" t="s">
        <v>9939</v>
      </c>
      <c r="V36" s="14" t="s">
        <v>9940</v>
      </c>
      <c r="W36" s="14" t="s">
        <v>9941</v>
      </c>
      <c r="X36" s="14" t="s">
        <v>9942</v>
      </c>
      <c r="Y36" s="14" t="s">
        <v>9943</v>
      </c>
      <c r="Z36" s="14" t="s">
        <v>99</v>
      </c>
      <c r="AA36" s="14" t="s">
        <v>99</v>
      </c>
      <c r="AB36" s="14" t="s">
        <v>99</v>
      </c>
      <c r="AC36" s="14" t="s">
        <v>99</v>
      </c>
      <c r="AD36" s="14" t="s">
        <v>99</v>
      </c>
      <c r="AE36" s="14" t="s">
        <v>99</v>
      </c>
      <c r="AF36" s="14" t="s">
        <v>99</v>
      </c>
      <c r="AG36" s="14">
        <v>79.0</v>
      </c>
      <c r="AH36" s="14">
        <v>50.0</v>
      </c>
      <c r="AI36" s="14">
        <v>62.0</v>
      </c>
      <c r="AJ36" s="14">
        <v>0.0</v>
      </c>
      <c r="AK36" s="14">
        <v>28.0</v>
      </c>
      <c r="AL36" s="14" t="s">
        <v>493</v>
      </c>
      <c r="AM36" s="14" t="s">
        <v>468</v>
      </c>
      <c r="AN36" s="14" t="s">
        <v>635</v>
      </c>
      <c r="AO36" s="14" t="s">
        <v>1112</v>
      </c>
      <c r="AP36" s="14" t="s">
        <v>99</v>
      </c>
      <c r="AQ36" s="14" t="s">
        <v>99</v>
      </c>
      <c r="AR36" s="14" t="s">
        <v>1114</v>
      </c>
      <c r="AS36" s="14" t="s">
        <v>1115</v>
      </c>
      <c r="AT36" s="14" t="s">
        <v>421</v>
      </c>
      <c r="AU36" s="14">
        <v>2000.0</v>
      </c>
      <c r="AV36" s="14">
        <v>95.0</v>
      </c>
      <c r="AW36" s="14">
        <v>2.0</v>
      </c>
      <c r="AX36" s="14" t="s">
        <v>99</v>
      </c>
      <c r="AY36" s="14" t="s">
        <v>99</v>
      </c>
      <c r="AZ36" s="14" t="s">
        <v>99</v>
      </c>
      <c r="BA36" s="14" t="s">
        <v>99</v>
      </c>
      <c r="BB36" s="14">
        <v>209.0</v>
      </c>
      <c r="BC36" s="14">
        <v>217.0</v>
      </c>
      <c r="BD36" s="14" t="s">
        <v>99</v>
      </c>
      <c r="BE36" s="14" t="s">
        <v>9944</v>
      </c>
      <c r="BF36" s="15" t="str">
        <f>HYPERLINK("http://dx.doi.org/10.1016/S0006-3207(00)00035-5","http://dx.doi.org/10.1016/S0006-3207(00)00035-5")</f>
        <v>http://dx.doi.org/10.1016/S0006-3207(00)00035-5</v>
      </c>
      <c r="BG36" s="14" t="s">
        <v>99</v>
      </c>
      <c r="BH36" s="14" t="s">
        <v>99</v>
      </c>
      <c r="BI36" s="14">
        <v>9.0</v>
      </c>
      <c r="BJ36" s="14" t="s">
        <v>351</v>
      </c>
      <c r="BK36" s="14" t="s">
        <v>122</v>
      </c>
      <c r="BL36" s="14" t="s">
        <v>352</v>
      </c>
      <c r="BM36" s="14" t="s">
        <v>9945</v>
      </c>
      <c r="BN36" s="14" t="s">
        <v>99</v>
      </c>
      <c r="BO36" s="14" t="s">
        <v>99</v>
      </c>
      <c r="BP36" s="14" t="s">
        <v>99</v>
      </c>
      <c r="BQ36" s="14" t="s">
        <v>99</v>
      </c>
      <c r="BR36" s="14" t="s">
        <v>124</v>
      </c>
      <c r="BS36" s="14" t="s">
        <v>9946</v>
      </c>
      <c r="BT36" s="14" t="str">
        <f>HYPERLINK("https%3A%2F%2Fwww.webofscience.com%2Fwos%2Fwoscc%2Ffull-record%2FWOS:000087932400010","View Full Record in Web of Science")</f>
        <v>View Full Record in Web of Science</v>
      </c>
    </row>
    <row r="37" ht="12.75" customHeight="1">
      <c r="A37" s="14" t="s">
        <v>97</v>
      </c>
      <c r="B37" s="14" t="s">
        <v>10105</v>
      </c>
      <c r="C37" s="14" t="s">
        <v>99</v>
      </c>
      <c r="D37" s="14" t="s">
        <v>99</v>
      </c>
      <c r="E37" s="14" t="s">
        <v>99</v>
      </c>
      <c r="F37" s="14" t="s">
        <v>10105</v>
      </c>
      <c r="G37" s="14" t="s">
        <v>99</v>
      </c>
      <c r="H37" s="14" t="s">
        <v>99</v>
      </c>
      <c r="I37" s="14" t="s">
        <v>10106</v>
      </c>
      <c r="J37" s="14" t="s">
        <v>3065</v>
      </c>
      <c r="K37" s="14" t="s">
        <v>99</v>
      </c>
      <c r="L37" s="14" t="s">
        <v>99</v>
      </c>
      <c r="M37" s="14" t="s">
        <v>103</v>
      </c>
      <c r="N37" s="14" t="s">
        <v>2284</v>
      </c>
      <c r="O37" s="14" t="s">
        <v>10107</v>
      </c>
      <c r="P37" s="14" t="s">
        <v>10108</v>
      </c>
      <c r="Q37" s="14" t="s">
        <v>10109</v>
      </c>
      <c r="R37" s="14" t="s">
        <v>10110</v>
      </c>
      <c r="S37" s="14" t="s">
        <v>99</v>
      </c>
      <c r="T37" s="14" t="s">
        <v>10111</v>
      </c>
      <c r="U37" s="14" t="s">
        <v>10112</v>
      </c>
      <c r="V37" s="14" t="s">
        <v>10113</v>
      </c>
      <c r="W37" s="14" t="s">
        <v>10114</v>
      </c>
      <c r="X37" s="14" t="s">
        <v>99</v>
      </c>
      <c r="Y37" s="14" t="s">
        <v>10115</v>
      </c>
      <c r="Z37" s="14" t="s">
        <v>99</v>
      </c>
      <c r="AA37" s="14" t="s">
        <v>99</v>
      </c>
      <c r="AB37" s="14" t="s">
        <v>99</v>
      </c>
      <c r="AC37" s="14" t="s">
        <v>99</v>
      </c>
      <c r="AD37" s="14" t="s">
        <v>99</v>
      </c>
      <c r="AE37" s="14" t="s">
        <v>99</v>
      </c>
      <c r="AF37" s="14" t="s">
        <v>99</v>
      </c>
      <c r="AG37" s="14">
        <v>44.0</v>
      </c>
      <c r="AH37" s="14">
        <v>68.0</v>
      </c>
      <c r="AI37" s="14">
        <v>76.0</v>
      </c>
      <c r="AJ37" s="14">
        <v>0.0</v>
      </c>
      <c r="AK37" s="14">
        <v>7.0</v>
      </c>
      <c r="AL37" s="14" t="s">
        <v>10116</v>
      </c>
      <c r="AM37" s="14" t="s">
        <v>274</v>
      </c>
      <c r="AN37" s="14" t="s">
        <v>2074</v>
      </c>
      <c r="AO37" s="14" t="s">
        <v>3080</v>
      </c>
      <c r="AP37" s="14" t="s">
        <v>99</v>
      </c>
      <c r="AQ37" s="14" t="s">
        <v>99</v>
      </c>
      <c r="AR37" s="14" t="s">
        <v>3082</v>
      </c>
      <c r="AS37" s="14" t="s">
        <v>3083</v>
      </c>
      <c r="AT37" s="14" t="s">
        <v>474</v>
      </c>
      <c r="AU37" s="14">
        <v>1998.0</v>
      </c>
      <c r="AV37" s="14">
        <v>55.0</v>
      </c>
      <c r="AW37" s="14">
        <v>4.0</v>
      </c>
      <c r="AX37" s="14" t="s">
        <v>99</v>
      </c>
      <c r="AY37" s="14" t="s">
        <v>99</v>
      </c>
      <c r="AZ37" s="14" t="s">
        <v>99</v>
      </c>
      <c r="BA37" s="14" t="s">
        <v>99</v>
      </c>
      <c r="BB37" s="14">
        <v>818.0</v>
      </c>
      <c r="BC37" s="14">
        <v>823.0</v>
      </c>
      <c r="BD37" s="14" t="s">
        <v>99</v>
      </c>
      <c r="BE37" s="14" t="s">
        <v>10117</v>
      </c>
      <c r="BF37" s="15" t="str">
        <f>HYPERLINK("http://dx.doi.org/10.1006/jmsc.1998.0389","http://dx.doi.org/10.1006/jmsc.1998.0389")</f>
        <v>http://dx.doi.org/10.1006/jmsc.1998.0389</v>
      </c>
      <c r="BG37" s="14" t="s">
        <v>99</v>
      </c>
      <c r="BH37" s="14" t="s">
        <v>99</v>
      </c>
      <c r="BI37" s="14">
        <v>6.0</v>
      </c>
      <c r="BJ37" s="14" t="s">
        <v>3086</v>
      </c>
      <c r="BK37" s="14" t="s">
        <v>9825</v>
      </c>
      <c r="BL37" s="14" t="s">
        <v>3086</v>
      </c>
      <c r="BM37" s="14" t="s">
        <v>10118</v>
      </c>
      <c r="BN37" s="14" t="s">
        <v>99</v>
      </c>
      <c r="BO37" s="14" t="s">
        <v>238</v>
      </c>
      <c r="BP37" s="14" t="s">
        <v>99</v>
      </c>
      <c r="BQ37" s="14" t="s">
        <v>99</v>
      </c>
      <c r="BR37" s="14" t="s">
        <v>124</v>
      </c>
      <c r="BS37" s="14" t="s">
        <v>10119</v>
      </c>
      <c r="BT37" s="14" t="str">
        <f>HYPERLINK("https%3A%2F%2Fwww.webofscience.com%2Fwos%2Fwoscc%2Ffull-record%2FWOS:000076754200032","View Full Record in Web of Science")</f>
        <v>View Full Record in Web of Science</v>
      </c>
    </row>
    <row r="38" ht="12.75" customHeight="1">
      <c r="A38" s="14" t="s">
        <v>97</v>
      </c>
      <c r="B38" s="14" t="s">
        <v>10120</v>
      </c>
      <c r="C38" s="14" t="s">
        <v>99</v>
      </c>
      <c r="D38" s="14" t="s">
        <v>99</v>
      </c>
      <c r="E38" s="14" t="s">
        <v>99</v>
      </c>
      <c r="F38" s="14" t="s">
        <v>10120</v>
      </c>
      <c r="G38" s="14" t="s">
        <v>99</v>
      </c>
      <c r="H38" s="14" t="s">
        <v>99</v>
      </c>
      <c r="I38" s="14" t="s">
        <v>10121</v>
      </c>
      <c r="J38" s="14" t="s">
        <v>456</v>
      </c>
      <c r="K38" s="14" t="s">
        <v>99</v>
      </c>
      <c r="L38" s="14" t="s">
        <v>99</v>
      </c>
      <c r="M38" s="14" t="s">
        <v>103</v>
      </c>
      <c r="N38" s="14" t="s">
        <v>104</v>
      </c>
      <c r="O38" s="14" t="s">
        <v>99</v>
      </c>
      <c r="P38" s="14" t="s">
        <v>99</v>
      </c>
      <c r="Q38" s="14" t="s">
        <v>99</v>
      </c>
      <c r="R38" s="14" t="s">
        <v>99</v>
      </c>
      <c r="S38" s="14" t="s">
        <v>99</v>
      </c>
      <c r="T38" s="14" t="s">
        <v>10122</v>
      </c>
      <c r="U38" s="14" t="s">
        <v>10123</v>
      </c>
      <c r="V38" s="14" t="s">
        <v>10124</v>
      </c>
      <c r="W38" s="14" t="s">
        <v>10125</v>
      </c>
      <c r="X38" s="14" t="s">
        <v>6206</v>
      </c>
      <c r="Y38" s="14" t="s">
        <v>10126</v>
      </c>
      <c r="Z38" s="14" t="s">
        <v>10127</v>
      </c>
      <c r="AA38" s="14" t="s">
        <v>99</v>
      </c>
      <c r="AB38" s="14" t="s">
        <v>99</v>
      </c>
      <c r="AC38" s="14" t="s">
        <v>99</v>
      </c>
      <c r="AD38" s="14" t="s">
        <v>99</v>
      </c>
      <c r="AE38" s="14" t="s">
        <v>99</v>
      </c>
      <c r="AF38" s="14" t="s">
        <v>99</v>
      </c>
      <c r="AG38" s="14">
        <v>33.0</v>
      </c>
      <c r="AH38" s="14">
        <v>45.0</v>
      </c>
      <c r="AI38" s="14">
        <v>56.0</v>
      </c>
      <c r="AJ38" s="14">
        <v>0.0</v>
      </c>
      <c r="AK38" s="14">
        <v>15.0</v>
      </c>
      <c r="AL38" s="14" t="s">
        <v>467</v>
      </c>
      <c r="AM38" s="14" t="s">
        <v>468</v>
      </c>
      <c r="AN38" s="14" t="s">
        <v>469</v>
      </c>
      <c r="AO38" s="14" t="s">
        <v>470</v>
      </c>
      <c r="AP38" s="14" t="s">
        <v>471</v>
      </c>
      <c r="AQ38" s="14" t="s">
        <v>99</v>
      </c>
      <c r="AR38" s="14" t="s">
        <v>472</v>
      </c>
      <c r="AS38" s="14" t="s">
        <v>473</v>
      </c>
      <c r="AT38" s="14" t="s">
        <v>525</v>
      </c>
      <c r="AU38" s="14">
        <v>1998.0</v>
      </c>
      <c r="AV38" s="14">
        <v>36.0</v>
      </c>
      <c r="AW38" s="14">
        <v>7.0</v>
      </c>
      <c r="AX38" s="14" t="s">
        <v>99</v>
      </c>
      <c r="AY38" s="14" t="s">
        <v>99</v>
      </c>
      <c r="AZ38" s="14" t="s">
        <v>99</v>
      </c>
      <c r="BA38" s="14" t="s">
        <v>99</v>
      </c>
      <c r="BB38" s="14">
        <v>519.0</v>
      </c>
      <c r="BC38" s="14">
        <v>526.0</v>
      </c>
      <c r="BD38" s="14" t="s">
        <v>99</v>
      </c>
      <c r="BE38" s="14" t="s">
        <v>10128</v>
      </c>
      <c r="BF38" s="15" t="str">
        <f>HYPERLINK("http://dx.doi.org/10.1016/S0025-326X(98)80018-0","http://dx.doi.org/10.1016/S0025-326X(98)80018-0")</f>
        <v>http://dx.doi.org/10.1016/S0025-326X(98)80018-0</v>
      </c>
      <c r="BG38" s="14" t="s">
        <v>99</v>
      </c>
      <c r="BH38" s="14" t="s">
        <v>99</v>
      </c>
      <c r="BI38" s="14">
        <v>8.0</v>
      </c>
      <c r="BJ38" s="14" t="s">
        <v>396</v>
      </c>
      <c r="BK38" s="14" t="s">
        <v>122</v>
      </c>
      <c r="BL38" s="14" t="s">
        <v>397</v>
      </c>
      <c r="BM38" s="14" t="s">
        <v>10129</v>
      </c>
      <c r="BN38" s="14" t="s">
        <v>99</v>
      </c>
      <c r="BO38" s="14" t="s">
        <v>99</v>
      </c>
      <c r="BP38" s="14" t="s">
        <v>99</v>
      </c>
      <c r="BQ38" s="14" t="s">
        <v>99</v>
      </c>
      <c r="BR38" s="14" t="s">
        <v>124</v>
      </c>
      <c r="BS38" s="14" t="s">
        <v>10130</v>
      </c>
      <c r="BT38" s="14" t="str">
        <f>HYPERLINK("https%3A%2F%2Fwww.webofscience.com%2Fwos%2Fwoscc%2Ffull-record%2FWOS:000075376600012","View Full Record in Web of Science")</f>
        <v>View Full Record in Web of Science</v>
      </c>
    </row>
    <row r="39" ht="12.75" customHeight="1">
      <c r="A39" s="14" t="s">
        <v>97</v>
      </c>
      <c r="B39" s="14" t="s">
        <v>10131</v>
      </c>
      <c r="C39" s="14" t="s">
        <v>99</v>
      </c>
      <c r="D39" s="14" t="s">
        <v>99</v>
      </c>
      <c r="E39" s="14" t="s">
        <v>99</v>
      </c>
      <c r="F39" s="14" t="s">
        <v>10131</v>
      </c>
      <c r="G39" s="14" t="s">
        <v>99</v>
      </c>
      <c r="H39" s="14" t="s">
        <v>99</v>
      </c>
      <c r="I39" s="14" t="s">
        <v>10132</v>
      </c>
      <c r="J39" s="14" t="s">
        <v>3065</v>
      </c>
      <c r="K39" s="14" t="s">
        <v>99</v>
      </c>
      <c r="L39" s="14" t="s">
        <v>99</v>
      </c>
      <c r="M39" s="14" t="s">
        <v>103</v>
      </c>
      <c r="N39" s="14" t="s">
        <v>2284</v>
      </c>
      <c r="O39" s="14" t="s">
        <v>10133</v>
      </c>
      <c r="P39" s="14">
        <v>1996.0</v>
      </c>
      <c r="Q39" s="14" t="s">
        <v>10134</v>
      </c>
      <c r="R39" s="14" t="s">
        <v>99</v>
      </c>
      <c r="S39" s="14" t="s">
        <v>99</v>
      </c>
      <c r="T39" s="14" t="s">
        <v>10135</v>
      </c>
      <c r="U39" s="14" t="s">
        <v>10136</v>
      </c>
      <c r="V39" s="14" t="s">
        <v>10137</v>
      </c>
      <c r="W39" s="14" t="s">
        <v>10138</v>
      </c>
      <c r="X39" s="14" t="s">
        <v>6206</v>
      </c>
      <c r="Y39" s="14" t="s">
        <v>10139</v>
      </c>
      <c r="Z39" s="14" t="s">
        <v>99</v>
      </c>
      <c r="AA39" s="14" t="s">
        <v>99</v>
      </c>
      <c r="AB39" s="14" t="s">
        <v>99</v>
      </c>
      <c r="AC39" s="14" t="s">
        <v>99</v>
      </c>
      <c r="AD39" s="14" t="s">
        <v>99</v>
      </c>
      <c r="AE39" s="14" t="s">
        <v>99</v>
      </c>
      <c r="AF39" s="14" t="s">
        <v>99</v>
      </c>
      <c r="AG39" s="14">
        <v>34.0</v>
      </c>
      <c r="AH39" s="14">
        <v>58.0</v>
      </c>
      <c r="AI39" s="14">
        <v>62.0</v>
      </c>
      <c r="AJ39" s="14">
        <v>0.0</v>
      </c>
      <c r="AK39" s="14">
        <v>23.0</v>
      </c>
      <c r="AL39" s="14" t="s">
        <v>10116</v>
      </c>
      <c r="AM39" s="14" t="s">
        <v>274</v>
      </c>
      <c r="AN39" s="14" t="s">
        <v>2074</v>
      </c>
      <c r="AO39" s="14" t="s">
        <v>3080</v>
      </c>
      <c r="AP39" s="14" t="s">
        <v>99</v>
      </c>
      <c r="AQ39" s="14" t="s">
        <v>99</v>
      </c>
      <c r="AR39" s="14" t="s">
        <v>3082</v>
      </c>
      <c r="AS39" s="14" t="s">
        <v>3083</v>
      </c>
      <c r="AT39" s="14" t="s">
        <v>616</v>
      </c>
      <c r="AU39" s="14">
        <v>1998.0</v>
      </c>
      <c r="AV39" s="14">
        <v>55.0</v>
      </c>
      <c r="AW39" s="14">
        <v>3.0</v>
      </c>
      <c r="AX39" s="14" t="s">
        <v>99</v>
      </c>
      <c r="AY39" s="14" t="s">
        <v>99</v>
      </c>
      <c r="AZ39" s="14" t="s">
        <v>99</v>
      </c>
      <c r="BA39" s="14" t="s">
        <v>99</v>
      </c>
      <c r="BB39" s="14">
        <v>342.0</v>
      </c>
      <c r="BC39" s="14">
        <v>352.0</v>
      </c>
      <c r="BD39" s="14" t="s">
        <v>99</v>
      </c>
      <c r="BE39" s="14" t="s">
        <v>10140</v>
      </c>
      <c r="BF39" s="15" t="str">
        <f>HYPERLINK("http://dx.doi.org/10.1006/jmsc.1997.0321","http://dx.doi.org/10.1006/jmsc.1997.0321")</f>
        <v>http://dx.doi.org/10.1006/jmsc.1997.0321</v>
      </c>
      <c r="BG39" s="14" t="s">
        <v>99</v>
      </c>
      <c r="BH39" s="14" t="s">
        <v>99</v>
      </c>
      <c r="BI39" s="14">
        <v>11.0</v>
      </c>
      <c r="BJ39" s="14" t="s">
        <v>3086</v>
      </c>
      <c r="BK39" s="14" t="s">
        <v>9825</v>
      </c>
      <c r="BL39" s="14" t="s">
        <v>3086</v>
      </c>
      <c r="BM39" s="14" t="s">
        <v>10141</v>
      </c>
      <c r="BN39" s="14" t="s">
        <v>99</v>
      </c>
      <c r="BO39" s="14" t="s">
        <v>238</v>
      </c>
      <c r="BP39" s="14" t="s">
        <v>99</v>
      </c>
      <c r="BQ39" s="14" t="s">
        <v>99</v>
      </c>
      <c r="BR39" s="14" t="s">
        <v>124</v>
      </c>
      <c r="BS39" s="14" t="s">
        <v>10142</v>
      </c>
      <c r="BT39" s="14" t="str">
        <f>HYPERLINK("https%3A%2F%2Fwww.webofscience.com%2Fwos%2Fwoscc%2Ffull-record%2FWOS:000074867800003","View Full Record in Web of Science")</f>
        <v>View Full Record in Web of Science</v>
      </c>
    </row>
    <row r="40" ht="12.75" customHeight="1">
      <c r="A40" s="14" t="s">
        <v>97</v>
      </c>
      <c r="B40" s="14" t="s">
        <v>10231</v>
      </c>
      <c r="C40" s="14" t="s">
        <v>99</v>
      </c>
      <c r="D40" s="14" t="s">
        <v>99</v>
      </c>
      <c r="E40" s="14" t="s">
        <v>99</v>
      </c>
      <c r="F40" s="14" t="s">
        <v>10231</v>
      </c>
      <c r="G40" s="14" t="s">
        <v>99</v>
      </c>
      <c r="H40" s="14" t="s">
        <v>99</v>
      </c>
      <c r="I40" s="14" t="s">
        <v>10232</v>
      </c>
      <c r="J40" s="14" t="s">
        <v>3065</v>
      </c>
      <c r="K40" s="14" t="s">
        <v>99</v>
      </c>
      <c r="L40" s="14" t="s">
        <v>99</v>
      </c>
      <c r="M40" s="14" t="s">
        <v>103</v>
      </c>
      <c r="N40" s="14" t="s">
        <v>2284</v>
      </c>
      <c r="O40" s="14" t="s">
        <v>10233</v>
      </c>
      <c r="P40" s="14" t="s">
        <v>10234</v>
      </c>
      <c r="Q40" s="14" t="s">
        <v>10235</v>
      </c>
      <c r="R40" s="14" t="s">
        <v>10236</v>
      </c>
      <c r="S40" s="14" t="s">
        <v>99</v>
      </c>
      <c r="T40" s="14" t="s">
        <v>10237</v>
      </c>
      <c r="U40" s="14" t="s">
        <v>10238</v>
      </c>
      <c r="V40" s="14" t="s">
        <v>10239</v>
      </c>
      <c r="W40" s="14" t="s">
        <v>99</v>
      </c>
      <c r="X40" s="14" t="s">
        <v>99</v>
      </c>
      <c r="Y40" s="14" t="s">
        <v>10240</v>
      </c>
      <c r="Z40" s="14" t="s">
        <v>99</v>
      </c>
      <c r="AA40" s="14" t="s">
        <v>99</v>
      </c>
      <c r="AB40" s="14" t="s">
        <v>99</v>
      </c>
      <c r="AC40" s="14" t="s">
        <v>99</v>
      </c>
      <c r="AD40" s="14" t="s">
        <v>99</v>
      </c>
      <c r="AE40" s="14" t="s">
        <v>99</v>
      </c>
      <c r="AF40" s="14" t="s">
        <v>99</v>
      </c>
      <c r="AG40" s="14">
        <v>18.0</v>
      </c>
      <c r="AH40" s="14">
        <v>39.0</v>
      </c>
      <c r="AI40" s="14">
        <v>41.0</v>
      </c>
      <c r="AJ40" s="14">
        <v>0.0</v>
      </c>
      <c r="AK40" s="14">
        <v>12.0</v>
      </c>
      <c r="AL40" s="14" t="s">
        <v>3078</v>
      </c>
      <c r="AM40" s="14" t="s">
        <v>468</v>
      </c>
      <c r="AN40" s="14" t="s">
        <v>3079</v>
      </c>
      <c r="AO40" s="14" t="s">
        <v>3080</v>
      </c>
      <c r="AP40" s="14" t="s">
        <v>99</v>
      </c>
      <c r="AQ40" s="14" t="s">
        <v>99</v>
      </c>
      <c r="AR40" s="14" t="s">
        <v>3082</v>
      </c>
      <c r="AS40" s="14" t="s">
        <v>3083</v>
      </c>
      <c r="AT40" s="14" t="s">
        <v>1058</v>
      </c>
      <c r="AU40" s="14">
        <v>1996.0</v>
      </c>
      <c r="AV40" s="14">
        <v>53.0</v>
      </c>
      <c r="AW40" s="14">
        <v>6.0</v>
      </c>
      <c r="AX40" s="14" t="s">
        <v>99</v>
      </c>
      <c r="AY40" s="14" t="s">
        <v>99</v>
      </c>
      <c r="AZ40" s="14" t="s">
        <v>99</v>
      </c>
      <c r="BA40" s="14" t="s">
        <v>99</v>
      </c>
      <c r="BB40" s="14">
        <v>951.0</v>
      </c>
      <c r="BC40" s="14">
        <v>956.0</v>
      </c>
      <c r="BD40" s="14" t="s">
        <v>99</v>
      </c>
      <c r="BE40" s="14" t="s">
        <v>10241</v>
      </c>
      <c r="BF40" s="15" t="str">
        <f>HYPERLINK("http://dx.doi.org/10.1006/jmsc.1996.0117","http://dx.doi.org/10.1006/jmsc.1996.0117")</f>
        <v>http://dx.doi.org/10.1006/jmsc.1996.0117</v>
      </c>
      <c r="BG40" s="14" t="s">
        <v>99</v>
      </c>
      <c r="BH40" s="14" t="s">
        <v>99</v>
      </c>
      <c r="BI40" s="14">
        <v>6.0</v>
      </c>
      <c r="BJ40" s="14" t="s">
        <v>3086</v>
      </c>
      <c r="BK40" s="14" t="s">
        <v>2311</v>
      </c>
      <c r="BL40" s="14" t="s">
        <v>3086</v>
      </c>
      <c r="BM40" s="14" t="s">
        <v>10242</v>
      </c>
      <c r="BN40" s="14" t="s">
        <v>99</v>
      </c>
      <c r="BO40" s="14" t="s">
        <v>238</v>
      </c>
      <c r="BP40" s="14" t="s">
        <v>99</v>
      </c>
      <c r="BQ40" s="14" t="s">
        <v>99</v>
      </c>
      <c r="BR40" s="14" t="s">
        <v>124</v>
      </c>
      <c r="BS40" s="14" t="s">
        <v>10243</v>
      </c>
      <c r="BT40" s="14" t="str">
        <f>HYPERLINK("https%3A%2F%2Fwww.webofscience.com%2Fwos%2Fwoscc%2Ffull-record%2FWOS:A1996VZ68900009","View Full Record in Web of Science")</f>
        <v>View Full Record in Web of Science</v>
      </c>
    </row>
    <row r="41" ht="12.75" customHeight="1">
      <c r="A41" s="14" t="s">
        <v>97</v>
      </c>
      <c r="B41" s="14" t="s">
        <v>10244</v>
      </c>
      <c r="C41" s="14" t="s">
        <v>99</v>
      </c>
      <c r="D41" s="14" t="s">
        <v>99</v>
      </c>
      <c r="E41" s="14" t="s">
        <v>99</v>
      </c>
      <c r="F41" s="14" t="s">
        <v>10244</v>
      </c>
      <c r="G41" s="14" t="s">
        <v>99</v>
      </c>
      <c r="H41" s="14" t="s">
        <v>99</v>
      </c>
      <c r="I41" s="14" t="s">
        <v>10245</v>
      </c>
      <c r="J41" s="14" t="s">
        <v>3065</v>
      </c>
      <c r="K41" s="14" t="s">
        <v>99</v>
      </c>
      <c r="L41" s="14" t="s">
        <v>99</v>
      </c>
      <c r="M41" s="14" t="s">
        <v>103</v>
      </c>
      <c r="N41" s="14" t="s">
        <v>2284</v>
      </c>
      <c r="O41" s="14" t="s">
        <v>10233</v>
      </c>
      <c r="P41" s="14" t="s">
        <v>10234</v>
      </c>
      <c r="Q41" s="14" t="s">
        <v>10235</v>
      </c>
      <c r="R41" s="14" t="s">
        <v>10236</v>
      </c>
      <c r="S41" s="14" t="s">
        <v>99</v>
      </c>
      <c r="T41" s="14" t="s">
        <v>10246</v>
      </c>
      <c r="U41" s="14" t="s">
        <v>10247</v>
      </c>
      <c r="V41" s="14" t="s">
        <v>10248</v>
      </c>
      <c r="W41" s="14" t="s">
        <v>99</v>
      </c>
      <c r="X41" s="14" t="s">
        <v>99</v>
      </c>
      <c r="Y41" s="14" t="s">
        <v>10249</v>
      </c>
      <c r="Z41" s="14" t="s">
        <v>99</v>
      </c>
      <c r="AA41" s="14" t="s">
        <v>10250</v>
      </c>
      <c r="AB41" s="14" t="s">
        <v>10251</v>
      </c>
      <c r="AC41" s="14" t="s">
        <v>99</v>
      </c>
      <c r="AD41" s="14" t="s">
        <v>99</v>
      </c>
      <c r="AE41" s="14" t="s">
        <v>99</v>
      </c>
      <c r="AF41" s="14" t="s">
        <v>99</v>
      </c>
      <c r="AG41" s="14">
        <v>37.0</v>
      </c>
      <c r="AH41" s="14">
        <v>113.0</v>
      </c>
      <c r="AI41" s="14">
        <v>122.0</v>
      </c>
      <c r="AJ41" s="14">
        <v>0.0</v>
      </c>
      <c r="AK41" s="14">
        <v>23.0</v>
      </c>
      <c r="AL41" s="14" t="s">
        <v>10116</v>
      </c>
      <c r="AM41" s="14" t="s">
        <v>274</v>
      </c>
      <c r="AN41" s="14" t="s">
        <v>10252</v>
      </c>
      <c r="AO41" s="14" t="s">
        <v>3080</v>
      </c>
      <c r="AP41" s="14" t="s">
        <v>99</v>
      </c>
      <c r="AQ41" s="14" t="s">
        <v>99</v>
      </c>
      <c r="AR41" s="14" t="s">
        <v>3082</v>
      </c>
      <c r="AS41" s="14" t="s">
        <v>3083</v>
      </c>
      <c r="AT41" s="14" t="s">
        <v>1058</v>
      </c>
      <c r="AU41" s="14">
        <v>1996.0</v>
      </c>
      <c r="AV41" s="14">
        <v>53.0</v>
      </c>
      <c r="AW41" s="14">
        <v>6.0</v>
      </c>
      <c r="AX41" s="14" t="s">
        <v>99</v>
      </c>
      <c r="AY41" s="14" t="s">
        <v>99</v>
      </c>
      <c r="AZ41" s="14" t="s">
        <v>99</v>
      </c>
      <c r="BA41" s="14" t="s">
        <v>99</v>
      </c>
      <c r="BB41" s="14">
        <v>1199.0</v>
      </c>
      <c r="BC41" s="14">
        <v>1213.0</v>
      </c>
      <c r="BD41" s="14" t="s">
        <v>99</v>
      </c>
      <c r="BE41" s="14" t="s">
        <v>10253</v>
      </c>
      <c r="BF41" s="15" t="str">
        <f>HYPERLINK("http://dx.doi.org/10.1006/jmsc.1996.0145","http://dx.doi.org/10.1006/jmsc.1996.0145")</f>
        <v>http://dx.doi.org/10.1006/jmsc.1996.0145</v>
      </c>
      <c r="BG41" s="14" t="s">
        <v>99</v>
      </c>
      <c r="BH41" s="14" t="s">
        <v>99</v>
      </c>
      <c r="BI41" s="14">
        <v>15.0</v>
      </c>
      <c r="BJ41" s="14" t="s">
        <v>3086</v>
      </c>
      <c r="BK41" s="14" t="s">
        <v>9825</v>
      </c>
      <c r="BL41" s="14" t="s">
        <v>3086</v>
      </c>
      <c r="BM41" s="14" t="s">
        <v>10242</v>
      </c>
      <c r="BN41" s="14" t="s">
        <v>99</v>
      </c>
      <c r="BO41" s="14" t="s">
        <v>238</v>
      </c>
      <c r="BP41" s="14" t="s">
        <v>99</v>
      </c>
      <c r="BQ41" s="14" t="s">
        <v>99</v>
      </c>
      <c r="BR41" s="14" t="s">
        <v>124</v>
      </c>
      <c r="BS41" s="14" t="s">
        <v>10254</v>
      </c>
      <c r="BT41" s="14" t="str">
        <f>HYPERLINK("https%3A%2F%2Fwww.webofscience.com%2Fwos%2Fwoscc%2Ffull-record%2FWOS:A1996VZ68900037","View Full Record in Web of Science")</f>
        <v>View Full Record in Web of Science</v>
      </c>
    </row>
    <row r="42" ht="12.75" customHeight="1">
      <c r="A42" s="14" t="s">
        <v>97</v>
      </c>
      <c r="B42" s="14" t="s">
        <v>10255</v>
      </c>
      <c r="C42" s="14" t="s">
        <v>99</v>
      </c>
      <c r="D42" s="14" t="s">
        <v>99</v>
      </c>
      <c r="E42" s="14" t="s">
        <v>99</v>
      </c>
      <c r="F42" s="14" t="s">
        <v>10255</v>
      </c>
      <c r="G42" s="14" t="s">
        <v>99</v>
      </c>
      <c r="H42" s="14" t="s">
        <v>99</v>
      </c>
      <c r="I42" s="14" t="s">
        <v>10256</v>
      </c>
      <c r="J42" s="14" t="s">
        <v>10257</v>
      </c>
      <c r="K42" s="14" t="s">
        <v>99</v>
      </c>
      <c r="L42" s="14" t="s">
        <v>99</v>
      </c>
      <c r="M42" s="14" t="s">
        <v>103</v>
      </c>
      <c r="N42" s="14" t="s">
        <v>104</v>
      </c>
      <c r="O42" s="14" t="s">
        <v>99</v>
      </c>
      <c r="P42" s="14" t="s">
        <v>99</v>
      </c>
      <c r="Q42" s="14" t="s">
        <v>99</v>
      </c>
      <c r="R42" s="14" t="s">
        <v>99</v>
      </c>
      <c r="S42" s="14" t="s">
        <v>99</v>
      </c>
      <c r="T42" s="14" t="s">
        <v>10258</v>
      </c>
      <c r="U42" s="14" t="s">
        <v>10259</v>
      </c>
      <c r="V42" s="14" t="s">
        <v>10260</v>
      </c>
      <c r="W42" s="14" t="s">
        <v>99</v>
      </c>
      <c r="X42" s="14" t="s">
        <v>99</v>
      </c>
      <c r="Y42" s="14" t="s">
        <v>10261</v>
      </c>
      <c r="Z42" s="14" t="s">
        <v>99</v>
      </c>
      <c r="AA42" s="14" t="s">
        <v>10262</v>
      </c>
      <c r="AB42" s="14" t="s">
        <v>10263</v>
      </c>
      <c r="AC42" s="14" t="s">
        <v>99</v>
      </c>
      <c r="AD42" s="14" t="s">
        <v>99</v>
      </c>
      <c r="AE42" s="14" t="s">
        <v>99</v>
      </c>
      <c r="AF42" s="14" t="s">
        <v>99</v>
      </c>
      <c r="AG42" s="14">
        <v>43.0</v>
      </c>
      <c r="AH42" s="14">
        <v>4.0</v>
      </c>
      <c r="AI42" s="14">
        <v>4.0</v>
      </c>
      <c r="AJ42" s="14">
        <v>0.0</v>
      </c>
      <c r="AK42" s="14">
        <v>15.0</v>
      </c>
      <c r="AL42" s="14" t="s">
        <v>1593</v>
      </c>
      <c r="AM42" s="14" t="s">
        <v>1594</v>
      </c>
      <c r="AN42" s="14" t="s">
        <v>10264</v>
      </c>
      <c r="AO42" s="14" t="s">
        <v>10265</v>
      </c>
      <c r="AP42" s="14" t="s">
        <v>99</v>
      </c>
      <c r="AQ42" s="14" t="s">
        <v>99</v>
      </c>
      <c r="AR42" s="14" t="s">
        <v>10266</v>
      </c>
      <c r="AS42" s="14" t="s">
        <v>10267</v>
      </c>
      <c r="AT42" s="14" t="s">
        <v>421</v>
      </c>
      <c r="AU42" s="14">
        <v>1996.0</v>
      </c>
      <c r="AV42" s="14">
        <v>23.0</v>
      </c>
      <c r="AW42" s="14">
        <v>3.0</v>
      </c>
      <c r="AX42" s="14" t="s">
        <v>99</v>
      </c>
      <c r="AY42" s="14" t="s">
        <v>99</v>
      </c>
      <c r="AZ42" s="14" t="s">
        <v>99</v>
      </c>
      <c r="BA42" s="14" t="s">
        <v>99</v>
      </c>
      <c r="BB42" s="14">
        <v>198.0</v>
      </c>
      <c r="BC42" s="14">
        <v>206.0</v>
      </c>
      <c r="BD42" s="14" t="s">
        <v>99</v>
      </c>
      <c r="BE42" s="14" t="s">
        <v>10268</v>
      </c>
      <c r="BF42" s="15" t="str">
        <f>HYPERLINK("http://dx.doi.org/10.1017/S0376892900038819","http://dx.doi.org/10.1017/S0376892900038819")</f>
        <v>http://dx.doi.org/10.1017/S0376892900038819</v>
      </c>
      <c r="BG42" s="14" t="s">
        <v>99</v>
      </c>
      <c r="BH42" s="14" t="s">
        <v>99</v>
      </c>
      <c r="BI42" s="14">
        <v>9.0</v>
      </c>
      <c r="BJ42" s="14" t="s">
        <v>598</v>
      </c>
      <c r="BK42" s="14" t="s">
        <v>122</v>
      </c>
      <c r="BL42" s="14" t="s">
        <v>352</v>
      </c>
      <c r="BM42" s="14" t="s">
        <v>10269</v>
      </c>
      <c r="BN42" s="14" t="s">
        <v>99</v>
      </c>
      <c r="BO42" s="14" t="s">
        <v>99</v>
      </c>
      <c r="BP42" s="14" t="s">
        <v>99</v>
      </c>
      <c r="BQ42" s="14" t="s">
        <v>99</v>
      </c>
      <c r="BR42" s="14" t="s">
        <v>124</v>
      </c>
      <c r="BS42" s="14" t="s">
        <v>10270</v>
      </c>
      <c r="BT42" s="14" t="str">
        <f>HYPERLINK("https%3A%2F%2Fwww.webofscience.com%2Fwos%2Fwoscc%2Ffull-record%2FWOS:A1996WL65600004","View Full Record in Web of Science")</f>
        <v>View Full Record in Web of Science</v>
      </c>
    </row>
    <row r="43" ht="12.75" customHeight="1">
      <c r="A43" s="14" t="s">
        <v>97</v>
      </c>
      <c r="B43" s="14" t="s">
        <v>10406</v>
      </c>
      <c r="C43" s="14" t="s">
        <v>99</v>
      </c>
      <c r="D43" s="14" t="s">
        <v>99</v>
      </c>
      <c r="E43" s="14" t="s">
        <v>99</v>
      </c>
      <c r="F43" s="14" t="s">
        <v>10406</v>
      </c>
      <c r="G43" s="14" t="s">
        <v>99</v>
      </c>
      <c r="H43" s="14" t="s">
        <v>99</v>
      </c>
      <c r="I43" s="14" t="s">
        <v>10407</v>
      </c>
      <c r="J43" s="14" t="s">
        <v>456</v>
      </c>
      <c r="K43" s="14" t="s">
        <v>99</v>
      </c>
      <c r="L43" s="14" t="s">
        <v>99</v>
      </c>
      <c r="M43" s="14" t="s">
        <v>103</v>
      </c>
      <c r="N43" s="14" t="s">
        <v>104</v>
      </c>
      <c r="O43" s="14" t="s">
        <v>99</v>
      </c>
      <c r="P43" s="14" t="s">
        <v>99</v>
      </c>
      <c r="Q43" s="14" t="s">
        <v>99</v>
      </c>
      <c r="R43" s="14" t="s">
        <v>99</v>
      </c>
      <c r="S43" s="14" t="s">
        <v>99</v>
      </c>
      <c r="T43" s="14" t="s">
        <v>99</v>
      </c>
      <c r="U43" s="14" t="s">
        <v>10408</v>
      </c>
      <c r="V43" s="14" t="s">
        <v>10409</v>
      </c>
      <c r="W43" s="14" t="s">
        <v>99</v>
      </c>
      <c r="X43" s="14" t="s">
        <v>99</v>
      </c>
      <c r="Y43" s="14" t="s">
        <v>10410</v>
      </c>
      <c r="Z43" s="14" t="s">
        <v>99</v>
      </c>
      <c r="AA43" s="14" t="s">
        <v>8936</v>
      </c>
      <c r="AB43" s="14" t="s">
        <v>8937</v>
      </c>
      <c r="AC43" s="14" t="s">
        <v>99</v>
      </c>
      <c r="AD43" s="14" t="s">
        <v>99</v>
      </c>
      <c r="AE43" s="14" t="s">
        <v>99</v>
      </c>
      <c r="AF43" s="14" t="s">
        <v>99</v>
      </c>
      <c r="AG43" s="14">
        <v>44.0</v>
      </c>
      <c r="AH43" s="14">
        <v>65.0</v>
      </c>
      <c r="AI43" s="14">
        <v>71.0</v>
      </c>
      <c r="AJ43" s="14">
        <v>1.0</v>
      </c>
      <c r="AK43" s="14">
        <v>15.0</v>
      </c>
      <c r="AL43" s="14" t="s">
        <v>467</v>
      </c>
      <c r="AM43" s="14" t="s">
        <v>468</v>
      </c>
      <c r="AN43" s="14" t="s">
        <v>469</v>
      </c>
      <c r="AO43" s="14" t="s">
        <v>470</v>
      </c>
      <c r="AP43" s="14" t="s">
        <v>471</v>
      </c>
      <c r="AQ43" s="14" t="s">
        <v>99</v>
      </c>
      <c r="AR43" s="14" t="s">
        <v>472</v>
      </c>
      <c r="AS43" s="14" t="s">
        <v>473</v>
      </c>
      <c r="AT43" s="14" t="s">
        <v>99</v>
      </c>
      <c r="AU43" s="14">
        <v>1994.0</v>
      </c>
      <c r="AV43" s="14">
        <v>29.0</v>
      </c>
      <c r="AW43" s="14" t="s">
        <v>10411</v>
      </c>
      <c r="AX43" s="14" t="s">
        <v>99</v>
      </c>
      <c r="AY43" s="14" t="s">
        <v>99</v>
      </c>
      <c r="AZ43" s="14" t="s">
        <v>99</v>
      </c>
      <c r="BA43" s="14" t="s">
        <v>99</v>
      </c>
      <c r="BB43" s="14">
        <v>520.0</v>
      </c>
      <c r="BC43" s="14">
        <v>527.0</v>
      </c>
      <c r="BD43" s="14" t="s">
        <v>99</v>
      </c>
      <c r="BE43" s="14" t="s">
        <v>10412</v>
      </c>
      <c r="BF43" s="15" t="str">
        <f>HYPERLINK("http://dx.doi.org/10.1016/0025-326X(94)90680-7","http://dx.doi.org/10.1016/0025-326X(94)90680-7")</f>
        <v>http://dx.doi.org/10.1016/0025-326X(94)90680-7</v>
      </c>
      <c r="BG43" s="14" t="s">
        <v>99</v>
      </c>
      <c r="BH43" s="14" t="s">
        <v>99</v>
      </c>
      <c r="BI43" s="14">
        <v>8.0</v>
      </c>
      <c r="BJ43" s="14" t="s">
        <v>396</v>
      </c>
      <c r="BK43" s="14" t="s">
        <v>122</v>
      </c>
      <c r="BL43" s="14" t="s">
        <v>397</v>
      </c>
      <c r="BM43" s="14" t="s">
        <v>10413</v>
      </c>
      <c r="BN43" s="14" t="s">
        <v>99</v>
      </c>
      <c r="BO43" s="14" t="s">
        <v>99</v>
      </c>
      <c r="BP43" s="14" t="s">
        <v>99</v>
      </c>
      <c r="BQ43" s="14" t="s">
        <v>99</v>
      </c>
      <c r="BR43" s="14" t="s">
        <v>124</v>
      </c>
      <c r="BS43" s="14" t="s">
        <v>10414</v>
      </c>
      <c r="BT43" s="14" t="str">
        <f>HYPERLINK("https%3A%2F%2Fwww.webofscience.com%2Fwos%2Fwoscc%2Ffull-record%2FWOS:A1994RC98400049","View Full Record in Web of Science")</f>
        <v>View Full Record in Web of Science</v>
      </c>
    </row>
    <row r="44" ht="12.75" customHeight="1">
      <c r="A44" s="14" t="s">
        <v>97</v>
      </c>
      <c r="B44" s="14" t="s">
        <v>10415</v>
      </c>
      <c r="C44" s="14" t="s">
        <v>99</v>
      </c>
      <c r="D44" s="14" t="s">
        <v>99</v>
      </c>
      <c r="E44" s="14" t="s">
        <v>99</v>
      </c>
      <c r="F44" s="14" t="s">
        <v>10415</v>
      </c>
      <c r="G44" s="14" t="s">
        <v>99</v>
      </c>
      <c r="H44" s="14" t="s">
        <v>99</v>
      </c>
      <c r="I44" s="14" t="s">
        <v>10416</v>
      </c>
      <c r="J44" s="14" t="s">
        <v>10417</v>
      </c>
      <c r="K44" s="14" t="s">
        <v>99</v>
      </c>
      <c r="L44" s="14" t="s">
        <v>99</v>
      </c>
      <c r="M44" s="14" t="s">
        <v>103</v>
      </c>
      <c r="N44" s="14" t="s">
        <v>104</v>
      </c>
      <c r="O44" s="14" t="s">
        <v>99</v>
      </c>
      <c r="P44" s="14" t="s">
        <v>99</v>
      </c>
      <c r="Q44" s="14" t="s">
        <v>99</v>
      </c>
      <c r="R44" s="14" t="s">
        <v>99</v>
      </c>
      <c r="S44" s="14" t="s">
        <v>99</v>
      </c>
      <c r="T44" s="14" t="s">
        <v>99</v>
      </c>
      <c r="U44" s="14" t="s">
        <v>10418</v>
      </c>
      <c r="V44" s="14" t="s">
        <v>10419</v>
      </c>
      <c r="W44" s="14" t="s">
        <v>99</v>
      </c>
      <c r="X44" s="14" t="s">
        <v>99</v>
      </c>
      <c r="Y44" s="14" t="s">
        <v>10420</v>
      </c>
      <c r="Z44" s="14" t="s">
        <v>99</v>
      </c>
      <c r="AA44" s="14" t="s">
        <v>99</v>
      </c>
      <c r="AB44" s="14" t="s">
        <v>99</v>
      </c>
      <c r="AC44" s="14" t="s">
        <v>99</v>
      </c>
      <c r="AD44" s="14" t="s">
        <v>99</v>
      </c>
      <c r="AE44" s="14" t="s">
        <v>99</v>
      </c>
      <c r="AF44" s="14" t="s">
        <v>99</v>
      </c>
      <c r="AG44" s="14">
        <v>23.0</v>
      </c>
      <c r="AH44" s="14">
        <v>122.0</v>
      </c>
      <c r="AI44" s="14">
        <v>125.0</v>
      </c>
      <c r="AJ44" s="14">
        <v>0.0</v>
      </c>
      <c r="AK44" s="14">
        <v>24.0</v>
      </c>
      <c r="AL44" s="14" t="s">
        <v>10421</v>
      </c>
      <c r="AM44" s="14" t="s">
        <v>10422</v>
      </c>
      <c r="AN44" s="14" t="s">
        <v>10423</v>
      </c>
      <c r="AO44" s="14" t="s">
        <v>10424</v>
      </c>
      <c r="AP44" s="14" t="s">
        <v>99</v>
      </c>
      <c r="AQ44" s="14" t="s">
        <v>99</v>
      </c>
      <c r="AR44" s="14" t="s">
        <v>10425</v>
      </c>
      <c r="AS44" s="14" t="s">
        <v>10426</v>
      </c>
      <c r="AT44" s="14" t="s">
        <v>99</v>
      </c>
      <c r="AU44" s="14">
        <v>1993.0</v>
      </c>
      <c r="AV44" s="14">
        <v>47.0</v>
      </c>
      <c r="AW44" s="14">
        <v>3.0</v>
      </c>
      <c r="AX44" s="14" t="s">
        <v>99</v>
      </c>
      <c r="AY44" s="14" t="s">
        <v>99</v>
      </c>
      <c r="AZ44" s="14" t="s">
        <v>99</v>
      </c>
      <c r="BA44" s="14" t="s">
        <v>99</v>
      </c>
      <c r="BB44" s="14">
        <v>243.0</v>
      </c>
      <c r="BC44" s="14">
        <v>263.0</v>
      </c>
      <c r="BD44" s="14" t="s">
        <v>99</v>
      </c>
      <c r="BE44" s="14" t="s">
        <v>10427</v>
      </c>
      <c r="BF44" s="15" t="str">
        <f>HYPERLINK("http://dx.doi.org/10.1007/BF02367167","http://dx.doi.org/10.1007/BF02367167")</f>
        <v>http://dx.doi.org/10.1007/BF02367167</v>
      </c>
      <c r="BG44" s="14" t="s">
        <v>99</v>
      </c>
      <c r="BH44" s="14" t="s">
        <v>99</v>
      </c>
      <c r="BI44" s="14">
        <v>21.0</v>
      </c>
      <c r="BJ44" s="14" t="s">
        <v>720</v>
      </c>
      <c r="BK44" s="14" t="s">
        <v>122</v>
      </c>
      <c r="BL44" s="14" t="s">
        <v>720</v>
      </c>
      <c r="BM44" s="14" t="s">
        <v>10428</v>
      </c>
      <c r="BN44" s="14" t="s">
        <v>99</v>
      </c>
      <c r="BO44" s="14" t="s">
        <v>238</v>
      </c>
      <c r="BP44" s="14" t="s">
        <v>99</v>
      </c>
      <c r="BQ44" s="14" t="s">
        <v>99</v>
      </c>
      <c r="BR44" s="14" t="s">
        <v>124</v>
      </c>
      <c r="BS44" s="14" t="s">
        <v>10429</v>
      </c>
      <c r="BT44" s="14" t="str">
        <f>HYPERLINK("https%3A%2F%2Fwww.webofscience.com%2Fwos%2Fwoscc%2Ffull-record%2FWOS:A1993MT33400001","View Full Record in Web of Science")</f>
        <v>View Full Record in Web of Science</v>
      </c>
    </row>
    <row r="45" ht="12.75" customHeight="1">
      <c r="A45" s="14" t="s">
        <v>97</v>
      </c>
      <c r="B45" s="14" t="s">
        <v>10430</v>
      </c>
      <c r="C45" s="14" t="s">
        <v>99</v>
      </c>
      <c r="D45" s="14" t="s">
        <v>99</v>
      </c>
      <c r="E45" s="14" t="s">
        <v>99</v>
      </c>
      <c r="F45" s="14" t="s">
        <v>10430</v>
      </c>
      <c r="G45" s="14" t="s">
        <v>99</v>
      </c>
      <c r="H45" s="14" t="s">
        <v>99</v>
      </c>
      <c r="I45" s="14" t="s">
        <v>10431</v>
      </c>
      <c r="J45" s="14" t="s">
        <v>749</v>
      </c>
      <c r="K45" s="14" t="s">
        <v>99</v>
      </c>
      <c r="L45" s="14" t="s">
        <v>99</v>
      </c>
      <c r="M45" s="14" t="s">
        <v>103</v>
      </c>
      <c r="N45" s="14" t="s">
        <v>104</v>
      </c>
      <c r="O45" s="14" t="s">
        <v>99</v>
      </c>
      <c r="P45" s="14" t="s">
        <v>99</v>
      </c>
      <c r="Q45" s="14" t="s">
        <v>99</v>
      </c>
      <c r="R45" s="14" t="s">
        <v>99</v>
      </c>
      <c r="S45" s="14" t="s">
        <v>99</v>
      </c>
      <c r="T45" s="14" t="s">
        <v>99</v>
      </c>
      <c r="U45" s="14" t="s">
        <v>10432</v>
      </c>
      <c r="V45" s="14" t="s">
        <v>10433</v>
      </c>
      <c r="W45" s="14" t="s">
        <v>99</v>
      </c>
      <c r="X45" s="14" t="s">
        <v>99</v>
      </c>
      <c r="Y45" s="14" t="s">
        <v>10434</v>
      </c>
      <c r="Z45" s="14" t="s">
        <v>99</v>
      </c>
      <c r="AA45" s="14" t="s">
        <v>99</v>
      </c>
      <c r="AB45" s="14" t="s">
        <v>99</v>
      </c>
      <c r="AC45" s="14" t="s">
        <v>99</v>
      </c>
      <c r="AD45" s="14" t="s">
        <v>99</v>
      </c>
      <c r="AE45" s="14" t="s">
        <v>99</v>
      </c>
      <c r="AF45" s="14" t="s">
        <v>99</v>
      </c>
      <c r="AG45" s="14">
        <v>48.0</v>
      </c>
      <c r="AH45" s="14">
        <v>25.0</v>
      </c>
      <c r="AI45" s="14">
        <v>30.0</v>
      </c>
      <c r="AJ45" s="14">
        <v>0.0</v>
      </c>
      <c r="AK45" s="14">
        <v>6.0</v>
      </c>
      <c r="AL45" s="14" t="s">
        <v>762</v>
      </c>
      <c r="AM45" s="14" t="s">
        <v>763</v>
      </c>
      <c r="AN45" s="14" t="s">
        <v>764</v>
      </c>
      <c r="AO45" s="14" t="s">
        <v>765</v>
      </c>
      <c r="AP45" s="14" t="s">
        <v>99</v>
      </c>
      <c r="AQ45" s="14" t="s">
        <v>99</v>
      </c>
      <c r="AR45" s="14" t="s">
        <v>767</v>
      </c>
      <c r="AS45" s="14" t="s">
        <v>768</v>
      </c>
      <c r="AT45" s="14" t="s">
        <v>1058</v>
      </c>
      <c r="AU45" s="14">
        <v>1992.0</v>
      </c>
      <c r="AV45" s="14">
        <v>91.0</v>
      </c>
      <c r="AW45" s="14" t="s">
        <v>8123</v>
      </c>
      <c r="AX45" s="14" t="s">
        <v>99</v>
      </c>
      <c r="AY45" s="14" t="s">
        <v>99</v>
      </c>
      <c r="AZ45" s="14" t="s">
        <v>99</v>
      </c>
      <c r="BA45" s="14" t="s">
        <v>99</v>
      </c>
      <c r="BB45" s="14">
        <v>313.0</v>
      </c>
      <c r="BC45" s="14">
        <v>322.0</v>
      </c>
      <c r="BD45" s="14" t="s">
        <v>99</v>
      </c>
      <c r="BE45" s="14" t="s">
        <v>10435</v>
      </c>
      <c r="BF45" s="15" t="str">
        <f>HYPERLINK("http://dx.doi.org/10.3354/meps091313","http://dx.doi.org/10.3354/meps091313")</f>
        <v>http://dx.doi.org/10.3354/meps091313</v>
      </c>
      <c r="BG45" s="14" t="s">
        <v>99</v>
      </c>
      <c r="BH45" s="14" t="s">
        <v>99</v>
      </c>
      <c r="BI45" s="14">
        <v>10.0</v>
      </c>
      <c r="BJ45" s="14" t="s">
        <v>301</v>
      </c>
      <c r="BK45" s="14" t="s">
        <v>122</v>
      </c>
      <c r="BL45" s="14" t="s">
        <v>303</v>
      </c>
      <c r="BM45" s="14" t="s">
        <v>10436</v>
      </c>
      <c r="BN45" s="14" t="s">
        <v>99</v>
      </c>
      <c r="BO45" s="14" t="s">
        <v>238</v>
      </c>
      <c r="BP45" s="14" t="s">
        <v>99</v>
      </c>
      <c r="BQ45" s="14" t="s">
        <v>99</v>
      </c>
      <c r="BR45" s="14" t="s">
        <v>124</v>
      </c>
      <c r="BS45" s="14" t="s">
        <v>10437</v>
      </c>
      <c r="BT45" s="14" t="str">
        <f>HYPERLINK("https%3A%2F%2Fwww.webofscience.com%2Fwos%2Fwoscc%2Ffull-record%2FWOS:A1992LL06400040","View Full Record in Web of Science")</f>
        <v>View Full Record in Web of Science</v>
      </c>
    </row>
    <row r="46" ht="12.75" customHeight="1">
      <c r="A46" s="14" t="s">
        <v>97</v>
      </c>
      <c r="B46" s="14" t="s">
        <v>10472</v>
      </c>
      <c r="C46" s="14" t="s">
        <v>99</v>
      </c>
      <c r="D46" s="14" t="s">
        <v>99</v>
      </c>
      <c r="E46" s="14" t="s">
        <v>99</v>
      </c>
      <c r="F46" s="14" t="s">
        <v>10472</v>
      </c>
      <c r="G46" s="14" t="s">
        <v>99</v>
      </c>
      <c r="H46" s="14" t="s">
        <v>99</v>
      </c>
      <c r="I46" s="14" t="s">
        <v>10473</v>
      </c>
      <c r="J46" s="14" t="s">
        <v>749</v>
      </c>
      <c r="K46" s="14" t="s">
        <v>99</v>
      </c>
      <c r="L46" s="14" t="s">
        <v>99</v>
      </c>
      <c r="M46" s="14" t="s">
        <v>103</v>
      </c>
      <c r="N46" s="14" t="s">
        <v>104</v>
      </c>
      <c r="O46" s="14" t="s">
        <v>99</v>
      </c>
      <c r="P46" s="14" t="s">
        <v>99</v>
      </c>
      <c r="Q46" s="14" t="s">
        <v>99</v>
      </c>
      <c r="R46" s="14" t="s">
        <v>99</v>
      </c>
      <c r="S46" s="14" t="s">
        <v>99</v>
      </c>
      <c r="T46" s="14" t="s">
        <v>99</v>
      </c>
      <c r="U46" s="14" t="s">
        <v>99</v>
      </c>
      <c r="V46" s="14" t="s">
        <v>10474</v>
      </c>
      <c r="W46" s="14" t="s">
        <v>10475</v>
      </c>
      <c r="X46" s="14" t="s">
        <v>8179</v>
      </c>
      <c r="Y46" s="14" t="s">
        <v>10476</v>
      </c>
      <c r="Z46" s="14" t="s">
        <v>99</v>
      </c>
      <c r="AA46" s="14" t="s">
        <v>8182</v>
      </c>
      <c r="AB46" s="14" t="s">
        <v>99</v>
      </c>
      <c r="AC46" s="14" t="s">
        <v>99</v>
      </c>
      <c r="AD46" s="14" t="s">
        <v>99</v>
      </c>
      <c r="AE46" s="14" t="s">
        <v>99</v>
      </c>
      <c r="AF46" s="14" t="s">
        <v>99</v>
      </c>
      <c r="AG46" s="14">
        <v>26.0</v>
      </c>
      <c r="AH46" s="14">
        <v>374.0</v>
      </c>
      <c r="AI46" s="14">
        <v>399.0</v>
      </c>
      <c r="AJ46" s="14">
        <v>2.0</v>
      </c>
      <c r="AK46" s="14">
        <v>55.0</v>
      </c>
      <c r="AL46" s="14" t="s">
        <v>762</v>
      </c>
      <c r="AM46" s="14" t="s">
        <v>763</v>
      </c>
      <c r="AN46" s="14" t="s">
        <v>764</v>
      </c>
      <c r="AO46" s="14" t="s">
        <v>765</v>
      </c>
      <c r="AP46" s="14" t="s">
        <v>766</v>
      </c>
      <c r="AQ46" s="14" t="s">
        <v>99</v>
      </c>
      <c r="AR46" s="14" t="s">
        <v>767</v>
      </c>
      <c r="AS46" s="14" t="s">
        <v>768</v>
      </c>
      <c r="AT46" s="14" t="s">
        <v>421</v>
      </c>
      <c r="AU46" s="14">
        <v>1990.0</v>
      </c>
      <c r="AV46" s="14">
        <v>66.0</v>
      </c>
      <c r="AW46" s="14">
        <v>3.0</v>
      </c>
      <c r="AX46" s="14" t="s">
        <v>99</v>
      </c>
      <c r="AY46" s="14" t="s">
        <v>99</v>
      </c>
      <c r="AZ46" s="14" t="s">
        <v>99</v>
      </c>
      <c r="BA46" s="14" t="s">
        <v>99</v>
      </c>
      <c r="BB46" s="14">
        <v>285.0</v>
      </c>
      <c r="BC46" s="14">
        <v>299.0</v>
      </c>
      <c r="BD46" s="14" t="s">
        <v>99</v>
      </c>
      <c r="BE46" s="14" t="s">
        <v>10477</v>
      </c>
      <c r="BF46" s="15" t="str">
        <f>HYPERLINK("http://dx.doi.org/10.3354/meps066285","http://dx.doi.org/10.3354/meps066285")</f>
        <v>http://dx.doi.org/10.3354/meps066285</v>
      </c>
      <c r="BG46" s="14" t="s">
        <v>99</v>
      </c>
      <c r="BH46" s="14" t="s">
        <v>99</v>
      </c>
      <c r="BI46" s="14">
        <v>15.0</v>
      </c>
      <c r="BJ46" s="14" t="s">
        <v>301</v>
      </c>
      <c r="BK46" s="14" t="s">
        <v>122</v>
      </c>
      <c r="BL46" s="14" t="s">
        <v>303</v>
      </c>
      <c r="BM46" s="14" t="s">
        <v>10478</v>
      </c>
      <c r="BN46" s="14" t="s">
        <v>99</v>
      </c>
      <c r="BO46" s="14" t="s">
        <v>238</v>
      </c>
      <c r="BP46" s="14" t="s">
        <v>99</v>
      </c>
      <c r="BQ46" s="14" t="s">
        <v>99</v>
      </c>
      <c r="BR46" s="14" t="s">
        <v>124</v>
      </c>
      <c r="BS46" s="14" t="s">
        <v>10479</v>
      </c>
      <c r="BT46" s="14" t="str">
        <f>HYPERLINK("https%3A%2F%2Fwww.webofscience.com%2Fwos%2Fwoscc%2Ffull-record%2FWOS:A1990DZ03300009","View Full Record in Web of Science")</f>
        <v>View Full Record in Web of Science</v>
      </c>
    </row>
    <row r="47" ht="12.75" customHeight="1">
      <c r="A47" s="14" t="s">
        <v>97</v>
      </c>
      <c r="B47" s="14" t="s">
        <v>10480</v>
      </c>
      <c r="C47" s="14" t="s">
        <v>99</v>
      </c>
      <c r="D47" s="14" t="s">
        <v>99</v>
      </c>
      <c r="E47" s="14" t="s">
        <v>99</v>
      </c>
      <c r="F47" s="14" t="s">
        <v>10480</v>
      </c>
      <c r="G47" s="14" t="s">
        <v>99</v>
      </c>
      <c r="H47" s="14" t="s">
        <v>99</v>
      </c>
      <c r="I47" s="14" t="s">
        <v>10481</v>
      </c>
      <c r="J47" s="14" t="s">
        <v>10482</v>
      </c>
      <c r="K47" s="14" t="s">
        <v>99</v>
      </c>
      <c r="L47" s="14" t="s">
        <v>99</v>
      </c>
      <c r="M47" s="14" t="s">
        <v>103</v>
      </c>
      <c r="N47" s="14" t="s">
        <v>104</v>
      </c>
      <c r="O47" s="14" t="s">
        <v>99</v>
      </c>
      <c r="P47" s="14" t="s">
        <v>99</v>
      </c>
      <c r="Q47" s="14" t="s">
        <v>99</v>
      </c>
      <c r="R47" s="14" t="s">
        <v>99</v>
      </c>
      <c r="S47" s="14" t="s">
        <v>99</v>
      </c>
      <c r="T47" s="14" t="s">
        <v>99</v>
      </c>
      <c r="U47" s="14" t="s">
        <v>99</v>
      </c>
      <c r="V47" s="14" t="s">
        <v>99</v>
      </c>
      <c r="W47" s="14" t="s">
        <v>10483</v>
      </c>
      <c r="X47" s="14" t="s">
        <v>5515</v>
      </c>
      <c r="Y47" s="14" t="s">
        <v>10484</v>
      </c>
      <c r="Z47" s="14" t="s">
        <v>99</v>
      </c>
      <c r="AA47" s="14" t="s">
        <v>99</v>
      </c>
      <c r="AB47" s="14" t="s">
        <v>99</v>
      </c>
      <c r="AC47" s="14" t="s">
        <v>99</v>
      </c>
      <c r="AD47" s="14" t="s">
        <v>99</v>
      </c>
      <c r="AE47" s="14" t="s">
        <v>99</v>
      </c>
      <c r="AF47" s="14" t="s">
        <v>99</v>
      </c>
      <c r="AG47" s="14">
        <v>53.0</v>
      </c>
      <c r="AH47" s="14">
        <v>128.0</v>
      </c>
      <c r="AI47" s="14">
        <v>133.0</v>
      </c>
      <c r="AJ47" s="14">
        <v>0.0</v>
      </c>
      <c r="AK47" s="14">
        <v>10.0</v>
      </c>
      <c r="AL47" s="14" t="s">
        <v>467</v>
      </c>
      <c r="AM47" s="14" t="s">
        <v>468</v>
      </c>
      <c r="AN47" s="14" t="s">
        <v>10485</v>
      </c>
      <c r="AO47" s="14" t="s">
        <v>10486</v>
      </c>
      <c r="AP47" s="14" t="s">
        <v>99</v>
      </c>
      <c r="AQ47" s="14" t="s">
        <v>99</v>
      </c>
      <c r="AR47" s="14" t="s">
        <v>10487</v>
      </c>
      <c r="AS47" s="14" t="s">
        <v>10488</v>
      </c>
      <c r="AT47" s="14" t="s">
        <v>718</v>
      </c>
      <c r="AU47" s="14">
        <v>1990.0</v>
      </c>
      <c r="AV47" s="14">
        <v>10.0</v>
      </c>
      <c r="AW47" s="14">
        <v>4.0</v>
      </c>
      <c r="AX47" s="14" t="s">
        <v>99</v>
      </c>
      <c r="AY47" s="14" t="s">
        <v>99</v>
      </c>
      <c r="AZ47" s="14" t="s">
        <v>99</v>
      </c>
      <c r="BA47" s="14" t="s">
        <v>99</v>
      </c>
      <c r="BB47" s="14">
        <v>305.0</v>
      </c>
      <c r="BC47" s="14">
        <v>328.0</v>
      </c>
      <c r="BD47" s="14" t="s">
        <v>99</v>
      </c>
      <c r="BE47" s="14" t="s">
        <v>10489</v>
      </c>
      <c r="BF47" s="15" t="str">
        <f>HYPERLINK("http://dx.doi.org/10.1016/0278-4343(90)90054-P","http://dx.doi.org/10.1016/0278-4343(90)90054-P")</f>
        <v>http://dx.doi.org/10.1016/0278-4343(90)90054-P</v>
      </c>
      <c r="BG47" s="14" t="s">
        <v>99</v>
      </c>
      <c r="BH47" s="14" t="s">
        <v>99</v>
      </c>
      <c r="BI47" s="14">
        <v>24.0</v>
      </c>
      <c r="BJ47" s="14" t="s">
        <v>2034</v>
      </c>
      <c r="BK47" s="14" t="s">
        <v>122</v>
      </c>
      <c r="BL47" s="14" t="s">
        <v>2034</v>
      </c>
      <c r="BM47" s="14" t="s">
        <v>10490</v>
      </c>
      <c r="BN47" s="14" t="s">
        <v>99</v>
      </c>
      <c r="BO47" s="14" t="s">
        <v>99</v>
      </c>
      <c r="BP47" s="14" t="s">
        <v>99</v>
      </c>
      <c r="BQ47" s="14" t="s">
        <v>99</v>
      </c>
      <c r="BR47" s="14" t="s">
        <v>124</v>
      </c>
      <c r="BS47" s="14" t="s">
        <v>10491</v>
      </c>
      <c r="BT47" s="14" t="str">
        <f>HYPERLINK("https%3A%2F%2Fwww.webofscience.com%2Fwos%2Fwoscc%2Ffull-record%2FWOS:A1990DF51700001","View Full Record in Web of Science")</f>
        <v>View Full Record in Web of Science</v>
      </c>
    </row>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14" t="s">
        <v>26</v>
      </c>
      <c r="B1" s="14" t="s">
        <v>27</v>
      </c>
      <c r="C1" s="14" t="s">
        <v>28</v>
      </c>
      <c r="D1" s="14" t="s">
        <v>29</v>
      </c>
      <c r="E1" s="14" t="s">
        <v>30</v>
      </c>
      <c r="F1" s="14" t="s">
        <v>31</v>
      </c>
      <c r="G1" s="14" t="s">
        <v>32</v>
      </c>
      <c r="H1" s="14" t="s">
        <v>33</v>
      </c>
      <c r="I1" s="14" t="s">
        <v>34</v>
      </c>
      <c r="J1" s="14" t="s">
        <v>35</v>
      </c>
      <c r="K1" s="14" t="s">
        <v>36</v>
      </c>
      <c r="L1" s="14" t="s">
        <v>37</v>
      </c>
      <c r="M1" s="14" t="s">
        <v>38</v>
      </c>
      <c r="N1" s="14" t="s">
        <v>39</v>
      </c>
      <c r="O1" s="14" t="s">
        <v>40</v>
      </c>
      <c r="P1" s="14" t="s">
        <v>41</v>
      </c>
      <c r="Q1" s="14" t="s">
        <v>42</v>
      </c>
      <c r="R1" s="14" t="s">
        <v>43</v>
      </c>
      <c r="S1" s="14" t="s">
        <v>44</v>
      </c>
      <c r="T1" s="14" t="s">
        <v>45</v>
      </c>
      <c r="U1" s="14" t="s">
        <v>46</v>
      </c>
      <c r="V1" s="14" t="s">
        <v>47</v>
      </c>
      <c r="W1" s="14" t="s">
        <v>48</v>
      </c>
      <c r="X1" s="14" t="s">
        <v>49</v>
      </c>
      <c r="Y1" s="14" t="s">
        <v>50</v>
      </c>
      <c r="Z1" s="14" t="s">
        <v>51</v>
      </c>
      <c r="AA1" s="14" t="s">
        <v>52</v>
      </c>
      <c r="AB1" s="14" t="s">
        <v>53</v>
      </c>
      <c r="AC1" s="14" t="s">
        <v>54</v>
      </c>
      <c r="AD1" s="14" t="s">
        <v>55</v>
      </c>
      <c r="AE1" s="14" t="s">
        <v>56</v>
      </c>
      <c r="AF1" s="14" t="s">
        <v>57</v>
      </c>
      <c r="AG1" s="14" t="s">
        <v>58</v>
      </c>
      <c r="AH1" s="14" t="s">
        <v>59</v>
      </c>
      <c r="AI1" s="14" t="s">
        <v>60</v>
      </c>
      <c r="AJ1" s="14" t="s">
        <v>61</v>
      </c>
      <c r="AK1" s="14" t="s">
        <v>62</v>
      </c>
      <c r="AL1" s="14" t="s">
        <v>63</v>
      </c>
      <c r="AM1" s="14" t="s">
        <v>64</v>
      </c>
      <c r="AN1" s="14" t="s">
        <v>65</v>
      </c>
      <c r="AO1" s="14" t="s">
        <v>66</v>
      </c>
      <c r="AP1" s="14" t="s">
        <v>67</v>
      </c>
      <c r="AQ1" s="14" t="s">
        <v>68</v>
      </c>
      <c r="AR1" s="14" t="s">
        <v>69</v>
      </c>
      <c r="AS1" s="14" t="s">
        <v>70</v>
      </c>
      <c r="AT1" s="14" t="s">
        <v>71</v>
      </c>
      <c r="AU1" s="14" t="s">
        <v>72</v>
      </c>
      <c r="AV1" s="14" t="s">
        <v>73</v>
      </c>
      <c r="AW1" s="14" t="s">
        <v>74</v>
      </c>
      <c r="AX1" s="14" t="s">
        <v>75</v>
      </c>
      <c r="AY1" s="14" t="s">
        <v>76</v>
      </c>
      <c r="AZ1" s="14" t="s">
        <v>77</v>
      </c>
      <c r="BA1" s="14" t="s">
        <v>78</v>
      </c>
      <c r="BB1" s="14" t="s">
        <v>79</v>
      </c>
      <c r="BC1" s="14" t="s">
        <v>80</v>
      </c>
      <c r="BD1" s="14" t="s">
        <v>81</v>
      </c>
      <c r="BE1" s="14" t="s">
        <v>9</v>
      </c>
      <c r="BF1" s="14" t="s">
        <v>82</v>
      </c>
      <c r="BG1" s="14" t="s">
        <v>83</v>
      </c>
      <c r="BH1" s="14" t="s">
        <v>84</v>
      </c>
      <c r="BI1" s="14" t="s">
        <v>85</v>
      </c>
      <c r="BJ1" s="14" t="s">
        <v>86</v>
      </c>
      <c r="BK1" s="14" t="s">
        <v>87</v>
      </c>
      <c r="BL1" s="14" t="s">
        <v>88</v>
      </c>
      <c r="BM1" s="14" t="s">
        <v>89</v>
      </c>
      <c r="BN1" s="14" t="s">
        <v>90</v>
      </c>
      <c r="BO1" s="14" t="s">
        <v>91</v>
      </c>
      <c r="BP1" s="14" t="s">
        <v>92</v>
      </c>
      <c r="BQ1" s="14" t="s">
        <v>93</v>
      </c>
      <c r="BR1" s="14" t="s">
        <v>94</v>
      </c>
      <c r="BS1" s="14" t="s">
        <v>95</v>
      </c>
      <c r="BT1" s="14" t="s">
        <v>96</v>
      </c>
    </row>
    <row r="2" ht="12.75" customHeight="1">
      <c r="A2" s="14" t="s">
        <v>97</v>
      </c>
      <c r="B2" s="14" t="s">
        <v>306</v>
      </c>
      <c r="C2" s="14" t="s">
        <v>99</v>
      </c>
      <c r="D2" s="14" t="s">
        <v>99</v>
      </c>
      <c r="E2" s="14" t="s">
        <v>99</v>
      </c>
      <c r="F2" s="14" t="s">
        <v>306</v>
      </c>
      <c r="G2" s="14" t="s">
        <v>99</v>
      </c>
      <c r="H2" s="14" t="s">
        <v>99</v>
      </c>
      <c r="I2" s="14" t="s">
        <v>307</v>
      </c>
      <c r="J2" s="14" t="s">
        <v>308</v>
      </c>
      <c r="K2" s="14" t="s">
        <v>99</v>
      </c>
      <c r="L2" s="14" t="s">
        <v>99</v>
      </c>
      <c r="M2" s="14" t="s">
        <v>103</v>
      </c>
      <c r="N2" s="14" t="s">
        <v>104</v>
      </c>
      <c r="O2" s="14" t="s">
        <v>99</v>
      </c>
      <c r="P2" s="14" t="s">
        <v>99</v>
      </c>
      <c r="Q2" s="14" t="s">
        <v>99</v>
      </c>
      <c r="R2" s="14" t="s">
        <v>99</v>
      </c>
      <c r="S2" s="14" t="s">
        <v>99</v>
      </c>
      <c r="T2" s="14" t="s">
        <v>309</v>
      </c>
      <c r="U2" s="14" t="s">
        <v>310</v>
      </c>
      <c r="V2" s="14" t="s">
        <v>311</v>
      </c>
      <c r="W2" s="14" t="s">
        <v>312</v>
      </c>
      <c r="X2" s="14" t="s">
        <v>313</v>
      </c>
      <c r="Y2" s="14" t="s">
        <v>314</v>
      </c>
      <c r="Z2" s="14" t="s">
        <v>99</v>
      </c>
      <c r="AA2" s="14" t="s">
        <v>99</v>
      </c>
      <c r="AB2" s="14" t="s">
        <v>315</v>
      </c>
      <c r="AC2" s="14" t="s">
        <v>99</v>
      </c>
      <c r="AD2" s="14" t="s">
        <v>99</v>
      </c>
      <c r="AE2" s="14" t="s">
        <v>99</v>
      </c>
      <c r="AF2" s="14" t="s">
        <v>99</v>
      </c>
      <c r="AG2" s="14">
        <v>66.0</v>
      </c>
      <c r="AH2" s="14">
        <v>95.0</v>
      </c>
      <c r="AI2" s="14">
        <v>118.0</v>
      </c>
      <c r="AJ2" s="14">
        <v>2.0</v>
      </c>
      <c r="AK2" s="14">
        <v>45.0</v>
      </c>
      <c r="AL2" s="14" t="s">
        <v>316</v>
      </c>
      <c r="AM2" s="14" t="s">
        <v>317</v>
      </c>
      <c r="AN2" s="14" t="s">
        <v>318</v>
      </c>
      <c r="AO2" s="14" t="s">
        <v>319</v>
      </c>
      <c r="AP2" s="14" t="s">
        <v>320</v>
      </c>
      <c r="AQ2" s="14" t="s">
        <v>99</v>
      </c>
      <c r="AR2" s="14" t="s">
        <v>321</v>
      </c>
      <c r="AS2" s="14" t="s">
        <v>322</v>
      </c>
      <c r="AT2" s="14" t="s">
        <v>99</v>
      </c>
      <c r="AU2" s="14">
        <v>2005.0</v>
      </c>
      <c r="AV2" s="14">
        <v>92.0</v>
      </c>
      <c r="AW2" s="14">
        <v>2.0</v>
      </c>
      <c r="AX2" s="14" t="s">
        <v>99</v>
      </c>
      <c r="AY2" s="14" t="s">
        <v>99</v>
      </c>
      <c r="AZ2" s="14" t="s">
        <v>99</v>
      </c>
      <c r="BA2" s="14" t="s">
        <v>99</v>
      </c>
      <c r="BB2" s="14">
        <v>139.0</v>
      </c>
      <c r="BC2" s="14">
        <v>152.0</v>
      </c>
      <c r="BD2" s="14" t="s">
        <v>99</v>
      </c>
      <c r="BE2" s="14" t="s">
        <v>99</v>
      </c>
      <c r="BF2" s="14" t="s">
        <v>99</v>
      </c>
      <c r="BG2" s="14" t="s">
        <v>99</v>
      </c>
      <c r="BH2" s="14" t="s">
        <v>99</v>
      </c>
      <c r="BI2" s="14">
        <v>14.0</v>
      </c>
      <c r="BJ2" s="14" t="s">
        <v>214</v>
      </c>
      <c r="BK2" s="14" t="s">
        <v>122</v>
      </c>
      <c r="BL2" s="14" t="s">
        <v>214</v>
      </c>
      <c r="BM2" s="14" t="s">
        <v>323</v>
      </c>
      <c r="BN2" s="14" t="s">
        <v>99</v>
      </c>
      <c r="BO2" s="14" t="s">
        <v>99</v>
      </c>
      <c r="BP2" s="14" t="s">
        <v>99</v>
      </c>
      <c r="BQ2" s="14" t="s">
        <v>99</v>
      </c>
      <c r="BR2" s="14" t="s">
        <v>124</v>
      </c>
      <c r="BS2" s="14" t="s">
        <v>324</v>
      </c>
      <c r="BT2" s="14" t="str">
        <f>HYPERLINK("https%3A%2F%2Fwww.webofscience.com%2Fwos%2Fwoscc%2Ffull-record%2FWOS:000230948700001","View Full Record in Web of Science")</f>
        <v>View Full Record in Web of Science</v>
      </c>
    </row>
    <row r="3" ht="12.75" customHeight="1">
      <c r="A3" s="14" t="s">
        <v>97</v>
      </c>
      <c r="B3" s="14" t="s">
        <v>3195</v>
      </c>
      <c r="C3" s="14" t="s">
        <v>99</v>
      </c>
      <c r="D3" s="14" t="s">
        <v>99</v>
      </c>
      <c r="E3" s="14" t="s">
        <v>99</v>
      </c>
      <c r="F3" s="14" t="s">
        <v>3196</v>
      </c>
      <c r="G3" s="14" t="s">
        <v>99</v>
      </c>
      <c r="H3" s="14" t="s">
        <v>99</v>
      </c>
      <c r="I3" s="14" t="s">
        <v>3197</v>
      </c>
      <c r="J3" s="14" t="s">
        <v>1605</v>
      </c>
      <c r="K3" s="14" t="s">
        <v>99</v>
      </c>
      <c r="L3" s="14" t="s">
        <v>99</v>
      </c>
      <c r="M3" s="14" t="s">
        <v>103</v>
      </c>
      <c r="N3" s="14" t="s">
        <v>104</v>
      </c>
      <c r="O3" s="14" t="s">
        <v>99</v>
      </c>
      <c r="P3" s="14" t="s">
        <v>99</v>
      </c>
      <c r="Q3" s="14" t="s">
        <v>99</v>
      </c>
      <c r="R3" s="14" t="s">
        <v>99</v>
      </c>
      <c r="S3" s="14" t="s">
        <v>99</v>
      </c>
      <c r="T3" s="14" t="s">
        <v>3198</v>
      </c>
      <c r="U3" s="14" t="s">
        <v>3199</v>
      </c>
      <c r="V3" s="14" t="s">
        <v>3200</v>
      </c>
      <c r="W3" s="14" t="s">
        <v>3201</v>
      </c>
      <c r="X3" s="14" t="s">
        <v>3202</v>
      </c>
      <c r="Y3" s="14" t="s">
        <v>3203</v>
      </c>
      <c r="Z3" s="14" t="s">
        <v>3204</v>
      </c>
      <c r="AA3" s="14" t="s">
        <v>3205</v>
      </c>
      <c r="AB3" s="14" t="s">
        <v>3206</v>
      </c>
      <c r="AC3" s="14" t="s">
        <v>3207</v>
      </c>
      <c r="AD3" s="14" t="s">
        <v>3208</v>
      </c>
      <c r="AE3" s="14" t="s">
        <v>3209</v>
      </c>
      <c r="AF3" s="14" t="s">
        <v>99</v>
      </c>
      <c r="AG3" s="14">
        <v>87.0</v>
      </c>
      <c r="AH3" s="14">
        <v>37.0</v>
      </c>
      <c r="AI3" s="14">
        <v>40.0</v>
      </c>
      <c r="AJ3" s="14">
        <v>2.0</v>
      </c>
      <c r="AK3" s="14">
        <v>83.0</v>
      </c>
      <c r="AL3" s="14" t="s">
        <v>341</v>
      </c>
      <c r="AM3" s="14" t="s">
        <v>342</v>
      </c>
      <c r="AN3" s="14" t="s">
        <v>343</v>
      </c>
      <c r="AO3" s="14" t="s">
        <v>1618</v>
      </c>
      <c r="AP3" s="14" t="s">
        <v>1619</v>
      </c>
      <c r="AQ3" s="14" t="s">
        <v>99</v>
      </c>
      <c r="AR3" s="14" t="s">
        <v>1620</v>
      </c>
      <c r="AS3" s="14" t="s">
        <v>1621</v>
      </c>
      <c r="AT3" s="14" t="s">
        <v>525</v>
      </c>
      <c r="AU3" s="14">
        <v>2014.0</v>
      </c>
      <c r="AV3" s="14">
        <v>41.0</v>
      </c>
      <c r="AW3" s="14">
        <v>7.0</v>
      </c>
      <c r="AX3" s="14" t="s">
        <v>99</v>
      </c>
      <c r="AY3" s="14" t="s">
        <v>99</v>
      </c>
      <c r="AZ3" s="14" t="s">
        <v>99</v>
      </c>
      <c r="BA3" s="14" t="s">
        <v>99</v>
      </c>
      <c r="BB3" s="14">
        <v>1352.0</v>
      </c>
      <c r="BC3" s="14">
        <v>1366.0</v>
      </c>
      <c r="BD3" s="14" t="s">
        <v>99</v>
      </c>
      <c r="BE3" s="14" t="s">
        <v>3210</v>
      </c>
      <c r="BF3" s="15" t="str">
        <f>HYPERLINK("http://dx.doi.org/10.1111/jbi.12289","http://dx.doi.org/10.1111/jbi.12289")</f>
        <v>http://dx.doi.org/10.1111/jbi.12289</v>
      </c>
      <c r="BG3" s="14" t="s">
        <v>99</v>
      </c>
      <c r="BH3" s="14" t="s">
        <v>99</v>
      </c>
      <c r="BI3" s="14">
        <v>15.0</v>
      </c>
      <c r="BJ3" s="14" t="s">
        <v>869</v>
      </c>
      <c r="BK3" s="14" t="s">
        <v>122</v>
      </c>
      <c r="BL3" s="14" t="s">
        <v>870</v>
      </c>
      <c r="BM3" s="14" t="s">
        <v>3211</v>
      </c>
      <c r="BN3" s="14" t="s">
        <v>99</v>
      </c>
      <c r="BO3" s="14" t="s">
        <v>99</v>
      </c>
      <c r="BP3" s="14" t="s">
        <v>99</v>
      </c>
      <c r="BQ3" s="14" t="s">
        <v>99</v>
      </c>
      <c r="BR3" s="14" t="s">
        <v>124</v>
      </c>
      <c r="BS3" s="14" t="s">
        <v>3212</v>
      </c>
      <c r="BT3" s="14" t="str">
        <f>HYPERLINK("https%3A%2F%2Fwww.webofscience.com%2Fwos%2Fwoscc%2Ffull-record%2FWOS:000337615500011","View Full Record in Web of Science")</f>
        <v>View Full Record in Web of Science</v>
      </c>
    </row>
    <row r="4" ht="12.75" customHeight="1">
      <c r="A4" s="14" t="s">
        <v>97</v>
      </c>
      <c r="B4" s="14" t="s">
        <v>3548</v>
      </c>
      <c r="C4" s="14" t="s">
        <v>99</v>
      </c>
      <c r="D4" s="14" t="s">
        <v>99</v>
      </c>
      <c r="E4" s="14" t="s">
        <v>99</v>
      </c>
      <c r="F4" s="14" t="s">
        <v>3549</v>
      </c>
      <c r="G4" s="14" t="s">
        <v>99</v>
      </c>
      <c r="H4" s="14" t="s">
        <v>99</v>
      </c>
      <c r="I4" s="14" t="s">
        <v>3550</v>
      </c>
      <c r="J4" s="14" t="s">
        <v>3551</v>
      </c>
      <c r="K4" s="14" t="s">
        <v>99</v>
      </c>
      <c r="L4" s="14" t="s">
        <v>99</v>
      </c>
      <c r="M4" s="14" t="s">
        <v>103</v>
      </c>
      <c r="N4" s="14" t="s">
        <v>104</v>
      </c>
      <c r="O4" s="14" t="s">
        <v>99</v>
      </c>
      <c r="P4" s="14" t="s">
        <v>99</v>
      </c>
      <c r="Q4" s="14" t="s">
        <v>99</v>
      </c>
      <c r="R4" s="14" t="s">
        <v>99</v>
      </c>
      <c r="S4" s="14" t="s">
        <v>99</v>
      </c>
      <c r="T4" s="14" t="s">
        <v>3552</v>
      </c>
      <c r="U4" s="14" t="s">
        <v>3553</v>
      </c>
      <c r="V4" s="14" t="s">
        <v>3554</v>
      </c>
      <c r="W4" s="14" t="s">
        <v>3555</v>
      </c>
      <c r="X4" s="14" t="s">
        <v>3556</v>
      </c>
      <c r="Y4" s="14" t="s">
        <v>3557</v>
      </c>
      <c r="Z4" s="14" t="s">
        <v>3558</v>
      </c>
      <c r="AA4" s="14" t="s">
        <v>3559</v>
      </c>
      <c r="AB4" s="14" t="s">
        <v>3560</v>
      </c>
      <c r="AC4" s="14" t="s">
        <v>3561</v>
      </c>
      <c r="AD4" s="14" t="s">
        <v>3562</v>
      </c>
      <c r="AE4" s="14" t="s">
        <v>3563</v>
      </c>
      <c r="AF4" s="14" t="s">
        <v>99</v>
      </c>
      <c r="AG4" s="14">
        <v>69.0</v>
      </c>
      <c r="AH4" s="14">
        <v>28.0</v>
      </c>
      <c r="AI4" s="14">
        <v>31.0</v>
      </c>
      <c r="AJ4" s="14">
        <v>2.0</v>
      </c>
      <c r="AK4" s="14">
        <v>120.0</v>
      </c>
      <c r="AL4" s="14" t="s">
        <v>2301</v>
      </c>
      <c r="AM4" s="14" t="s">
        <v>2302</v>
      </c>
      <c r="AN4" s="14" t="s">
        <v>2303</v>
      </c>
      <c r="AO4" s="14" t="s">
        <v>3564</v>
      </c>
      <c r="AP4" s="14" t="s">
        <v>3565</v>
      </c>
      <c r="AQ4" s="14" t="s">
        <v>99</v>
      </c>
      <c r="AR4" s="14" t="s">
        <v>3566</v>
      </c>
      <c r="AS4" s="14" t="s">
        <v>3567</v>
      </c>
      <c r="AT4" s="14" t="s">
        <v>1058</v>
      </c>
      <c r="AU4" s="14">
        <v>2013.0</v>
      </c>
      <c r="AV4" s="14">
        <v>13.0</v>
      </c>
      <c r="AW4" s="14">
        <v>6.0</v>
      </c>
      <c r="AX4" s="14" t="s">
        <v>99</v>
      </c>
      <c r="AY4" s="14" t="s">
        <v>99</v>
      </c>
      <c r="AZ4" s="14" t="s">
        <v>99</v>
      </c>
      <c r="BA4" s="14" t="s">
        <v>99</v>
      </c>
      <c r="BB4" s="14">
        <v>1245.0</v>
      </c>
      <c r="BC4" s="14">
        <v>1257.0</v>
      </c>
      <c r="BD4" s="14" t="s">
        <v>99</v>
      </c>
      <c r="BE4" s="14" t="s">
        <v>3568</v>
      </c>
      <c r="BF4" s="15" t="str">
        <f>HYPERLINK("http://dx.doi.org/10.1007/s10113-013-0425-7","http://dx.doi.org/10.1007/s10113-013-0425-7")</f>
        <v>http://dx.doi.org/10.1007/s10113-013-0425-7</v>
      </c>
      <c r="BG4" s="14" t="s">
        <v>99</v>
      </c>
      <c r="BH4" s="14" t="s">
        <v>99</v>
      </c>
      <c r="BI4" s="14">
        <v>13.0</v>
      </c>
      <c r="BJ4" s="14" t="s">
        <v>3569</v>
      </c>
      <c r="BK4" s="14" t="s">
        <v>800</v>
      </c>
      <c r="BL4" s="14" t="s">
        <v>260</v>
      </c>
      <c r="BM4" s="14" t="s">
        <v>3570</v>
      </c>
      <c r="BN4" s="14" t="s">
        <v>99</v>
      </c>
      <c r="BO4" s="14" t="s">
        <v>99</v>
      </c>
      <c r="BP4" s="14" t="s">
        <v>99</v>
      </c>
      <c r="BQ4" s="14" t="s">
        <v>99</v>
      </c>
      <c r="BR4" s="14" t="s">
        <v>124</v>
      </c>
      <c r="BS4" s="14" t="s">
        <v>3571</v>
      </c>
      <c r="BT4" s="14" t="str">
        <f>HYPERLINK("https%3A%2F%2Fwww.webofscience.com%2Fwos%2Fwoscc%2Ffull-record%2FWOS:000327501900010","View Full Record in Web of Science")</f>
        <v>View Full Record in Web of Science</v>
      </c>
    </row>
    <row r="5" ht="12.75" customHeight="1">
      <c r="A5" s="14" t="s">
        <v>97</v>
      </c>
      <c r="B5" s="14" t="s">
        <v>3654</v>
      </c>
      <c r="C5" s="14" t="s">
        <v>99</v>
      </c>
      <c r="D5" s="14" t="s">
        <v>99</v>
      </c>
      <c r="E5" s="14" t="s">
        <v>99</v>
      </c>
      <c r="F5" s="14" t="s">
        <v>3655</v>
      </c>
      <c r="G5" s="14" t="s">
        <v>99</v>
      </c>
      <c r="H5" s="14" t="s">
        <v>99</v>
      </c>
      <c r="I5" s="14" t="s">
        <v>3656</v>
      </c>
      <c r="J5" s="14" t="s">
        <v>2500</v>
      </c>
      <c r="K5" s="14" t="s">
        <v>99</v>
      </c>
      <c r="L5" s="14" t="s">
        <v>99</v>
      </c>
      <c r="M5" s="14" t="s">
        <v>103</v>
      </c>
      <c r="N5" s="14" t="s">
        <v>104</v>
      </c>
      <c r="O5" s="14" t="s">
        <v>99</v>
      </c>
      <c r="P5" s="14" t="s">
        <v>99</v>
      </c>
      <c r="Q5" s="14" t="s">
        <v>99</v>
      </c>
      <c r="R5" s="14" t="s">
        <v>99</v>
      </c>
      <c r="S5" s="14" t="s">
        <v>99</v>
      </c>
      <c r="T5" s="14" t="s">
        <v>99</v>
      </c>
      <c r="U5" s="14" t="s">
        <v>3657</v>
      </c>
      <c r="V5" s="14" t="s">
        <v>3658</v>
      </c>
      <c r="W5" s="14" t="s">
        <v>3659</v>
      </c>
      <c r="X5" s="14" t="s">
        <v>3660</v>
      </c>
      <c r="Y5" s="14" t="s">
        <v>3661</v>
      </c>
      <c r="Z5" s="14" t="s">
        <v>3662</v>
      </c>
      <c r="AA5" s="14" t="s">
        <v>3663</v>
      </c>
      <c r="AB5" s="14" t="s">
        <v>3664</v>
      </c>
      <c r="AC5" s="14" t="s">
        <v>3665</v>
      </c>
      <c r="AD5" s="14" t="s">
        <v>3666</v>
      </c>
      <c r="AE5" s="14" t="s">
        <v>3667</v>
      </c>
      <c r="AF5" s="14" t="s">
        <v>99</v>
      </c>
      <c r="AG5" s="14">
        <v>84.0</v>
      </c>
      <c r="AH5" s="14">
        <v>37.0</v>
      </c>
      <c r="AI5" s="14">
        <v>42.0</v>
      </c>
      <c r="AJ5" s="14">
        <v>0.0</v>
      </c>
      <c r="AK5" s="14">
        <v>42.0</v>
      </c>
      <c r="AL5" s="14" t="s">
        <v>2512</v>
      </c>
      <c r="AM5" s="14" t="s">
        <v>2513</v>
      </c>
      <c r="AN5" s="14" t="s">
        <v>2514</v>
      </c>
      <c r="AO5" s="14" t="s">
        <v>2515</v>
      </c>
      <c r="AP5" s="14" t="s">
        <v>99</v>
      </c>
      <c r="AQ5" s="14" t="s">
        <v>99</v>
      </c>
      <c r="AR5" s="14" t="s">
        <v>2500</v>
      </c>
      <c r="AS5" s="14" t="s">
        <v>2516</v>
      </c>
      <c r="AT5" s="14" t="s">
        <v>3668</v>
      </c>
      <c r="AU5" s="14">
        <v>2013.0</v>
      </c>
      <c r="AV5" s="14">
        <v>8.0</v>
      </c>
      <c r="AW5" s="14">
        <v>11.0</v>
      </c>
      <c r="AX5" s="14" t="s">
        <v>99</v>
      </c>
      <c r="AY5" s="14" t="s">
        <v>99</v>
      </c>
      <c r="AZ5" s="14" t="s">
        <v>99</v>
      </c>
      <c r="BA5" s="14" t="s">
        <v>99</v>
      </c>
      <c r="BB5" s="14" t="s">
        <v>99</v>
      </c>
      <c r="BC5" s="14" t="s">
        <v>99</v>
      </c>
      <c r="BD5" s="14" t="s">
        <v>3669</v>
      </c>
      <c r="BE5" s="14" t="s">
        <v>3670</v>
      </c>
      <c r="BF5" s="15" t="str">
        <f>HYPERLINK("http://dx.doi.org/10.1371/journal.pone.0080531","http://dx.doi.org/10.1371/journal.pone.0080531")</f>
        <v>http://dx.doi.org/10.1371/journal.pone.0080531</v>
      </c>
      <c r="BG5" s="14" t="s">
        <v>99</v>
      </c>
      <c r="BH5" s="14" t="s">
        <v>99</v>
      </c>
      <c r="BI5" s="14">
        <v>10.0</v>
      </c>
      <c r="BJ5" s="14" t="s">
        <v>799</v>
      </c>
      <c r="BK5" s="14" t="s">
        <v>122</v>
      </c>
      <c r="BL5" s="14" t="s">
        <v>801</v>
      </c>
      <c r="BM5" s="14" t="s">
        <v>3671</v>
      </c>
      <c r="BN5" s="14">
        <v>2.4260411E7</v>
      </c>
      <c r="BO5" s="14" t="s">
        <v>1251</v>
      </c>
      <c r="BP5" s="14" t="s">
        <v>99</v>
      </c>
      <c r="BQ5" s="14" t="s">
        <v>99</v>
      </c>
      <c r="BR5" s="14" t="s">
        <v>124</v>
      </c>
      <c r="BS5" s="14" t="s">
        <v>3672</v>
      </c>
      <c r="BT5" s="14" t="str">
        <f>HYPERLINK("https%3A%2F%2Fwww.webofscience.com%2Fwos%2Fwoscc%2Ffull-record%2FWOS:000327258600069","View Full Record in Web of Science")</f>
        <v>View Full Record in Web of Science</v>
      </c>
    </row>
    <row r="6" ht="12.75" customHeight="1">
      <c r="A6" s="14" t="s">
        <v>97</v>
      </c>
      <c r="B6" s="14" t="s">
        <v>3708</v>
      </c>
      <c r="C6" s="14" t="s">
        <v>99</v>
      </c>
      <c r="D6" s="14" t="s">
        <v>99</v>
      </c>
      <c r="E6" s="14" t="s">
        <v>99</v>
      </c>
      <c r="F6" s="14" t="s">
        <v>3709</v>
      </c>
      <c r="G6" s="14" t="s">
        <v>99</v>
      </c>
      <c r="H6" s="14" t="s">
        <v>99</v>
      </c>
      <c r="I6" s="14" t="s">
        <v>3710</v>
      </c>
      <c r="J6" s="14" t="s">
        <v>328</v>
      </c>
      <c r="K6" s="14" t="s">
        <v>99</v>
      </c>
      <c r="L6" s="14" t="s">
        <v>99</v>
      </c>
      <c r="M6" s="14" t="s">
        <v>103</v>
      </c>
      <c r="N6" s="14" t="s">
        <v>104</v>
      </c>
      <c r="O6" s="14" t="s">
        <v>99</v>
      </c>
      <c r="P6" s="14" t="s">
        <v>99</v>
      </c>
      <c r="Q6" s="14" t="s">
        <v>99</v>
      </c>
      <c r="R6" s="14" t="s">
        <v>99</v>
      </c>
      <c r="S6" s="14" t="s">
        <v>99</v>
      </c>
      <c r="T6" s="14" t="s">
        <v>3711</v>
      </c>
      <c r="U6" s="14" t="s">
        <v>3712</v>
      </c>
      <c r="V6" s="14" t="s">
        <v>3713</v>
      </c>
      <c r="W6" s="14" t="s">
        <v>3714</v>
      </c>
      <c r="X6" s="14" t="s">
        <v>3715</v>
      </c>
      <c r="Y6" s="14" t="s">
        <v>3716</v>
      </c>
      <c r="Z6" s="14" t="s">
        <v>3717</v>
      </c>
      <c r="AA6" s="14" t="s">
        <v>3718</v>
      </c>
      <c r="AB6" s="14" t="s">
        <v>3719</v>
      </c>
      <c r="AC6" s="14" t="s">
        <v>3720</v>
      </c>
      <c r="AD6" s="14" t="s">
        <v>3721</v>
      </c>
      <c r="AE6" s="14" t="s">
        <v>3722</v>
      </c>
      <c r="AF6" s="14" t="s">
        <v>99</v>
      </c>
      <c r="AG6" s="14">
        <v>76.0</v>
      </c>
      <c r="AH6" s="14">
        <v>75.0</v>
      </c>
      <c r="AI6" s="14">
        <v>86.0</v>
      </c>
      <c r="AJ6" s="14">
        <v>0.0</v>
      </c>
      <c r="AK6" s="14">
        <v>259.0</v>
      </c>
      <c r="AL6" s="14" t="s">
        <v>341</v>
      </c>
      <c r="AM6" s="14" t="s">
        <v>342</v>
      </c>
      <c r="AN6" s="14" t="s">
        <v>343</v>
      </c>
      <c r="AO6" s="14" t="s">
        <v>344</v>
      </c>
      <c r="AP6" s="14" t="s">
        <v>345</v>
      </c>
      <c r="AQ6" s="14" t="s">
        <v>99</v>
      </c>
      <c r="AR6" s="14" t="s">
        <v>346</v>
      </c>
      <c r="AS6" s="14" t="s">
        <v>347</v>
      </c>
      <c r="AT6" s="14" t="s">
        <v>2372</v>
      </c>
      <c r="AU6" s="14">
        <v>2013.0</v>
      </c>
      <c r="AV6" s="14">
        <v>19.0</v>
      </c>
      <c r="AW6" s="14">
        <v>10.0</v>
      </c>
      <c r="AX6" s="14" t="s">
        <v>99</v>
      </c>
      <c r="AY6" s="14" t="s">
        <v>99</v>
      </c>
      <c r="AZ6" s="14" t="s">
        <v>99</v>
      </c>
      <c r="BA6" s="14" t="s">
        <v>99</v>
      </c>
      <c r="BB6" s="14">
        <v>3224.0</v>
      </c>
      <c r="BC6" s="14">
        <v>3237.0</v>
      </c>
      <c r="BD6" s="14" t="s">
        <v>99</v>
      </c>
      <c r="BE6" s="14" t="s">
        <v>3723</v>
      </c>
      <c r="BF6" s="15" t="str">
        <f>HYPERLINK("http://dx.doi.org/10.1111/gcb.12289","http://dx.doi.org/10.1111/gcb.12289")</f>
        <v>http://dx.doi.org/10.1111/gcb.12289</v>
      </c>
      <c r="BG6" s="14" t="s">
        <v>99</v>
      </c>
      <c r="BH6" s="14" t="s">
        <v>99</v>
      </c>
      <c r="BI6" s="14">
        <v>14.0</v>
      </c>
      <c r="BJ6" s="14" t="s">
        <v>351</v>
      </c>
      <c r="BK6" s="14" t="s">
        <v>122</v>
      </c>
      <c r="BL6" s="14" t="s">
        <v>352</v>
      </c>
      <c r="BM6" s="14" t="s">
        <v>3724</v>
      </c>
      <c r="BN6" s="14">
        <v>2.3907833E7</v>
      </c>
      <c r="BO6" s="14" t="s">
        <v>238</v>
      </c>
      <c r="BP6" s="14" t="s">
        <v>99</v>
      </c>
      <c r="BQ6" s="14" t="s">
        <v>99</v>
      </c>
      <c r="BR6" s="14" t="s">
        <v>124</v>
      </c>
      <c r="BS6" s="14" t="s">
        <v>3725</v>
      </c>
      <c r="BT6" s="14" t="str">
        <f>HYPERLINK("https%3A%2F%2Fwww.webofscience.com%2Fwos%2Fwoscc%2Ffull-record%2FWOS:000323844200027","View Full Record in Web of Science")</f>
        <v>View Full Record in Web of Science</v>
      </c>
    </row>
    <row r="7" ht="12.75" customHeight="1">
      <c r="A7" s="14" t="s">
        <v>97</v>
      </c>
      <c r="B7" s="14" t="s">
        <v>3769</v>
      </c>
      <c r="C7" s="14" t="s">
        <v>99</v>
      </c>
      <c r="D7" s="14" t="s">
        <v>99</v>
      </c>
      <c r="E7" s="14" t="s">
        <v>99</v>
      </c>
      <c r="F7" s="14" t="s">
        <v>3770</v>
      </c>
      <c r="G7" s="14" t="s">
        <v>99</v>
      </c>
      <c r="H7" s="14" t="s">
        <v>99</v>
      </c>
      <c r="I7" s="14" t="s">
        <v>3771</v>
      </c>
      <c r="J7" s="14" t="s">
        <v>3772</v>
      </c>
      <c r="K7" s="14" t="s">
        <v>99</v>
      </c>
      <c r="L7" s="14" t="s">
        <v>99</v>
      </c>
      <c r="M7" s="14" t="s">
        <v>103</v>
      </c>
      <c r="N7" s="14" t="s">
        <v>104</v>
      </c>
      <c r="O7" s="14" t="s">
        <v>99</v>
      </c>
      <c r="P7" s="14" t="s">
        <v>99</v>
      </c>
      <c r="Q7" s="14" t="s">
        <v>99</v>
      </c>
      <c r="R7" s="14" t="s">
        <v>99</v>
      </c>
      <c r="S7" s="14" t="s">
        <v>99</v>
      </c>
      <c r="T7" s="14" t="s">
        <v>3773</v>
      </c>
      <c r="U7" s="14" t="s">
        <v>3774</v>
      </c>
      <c r="V7" s="14" t="s">
        <v>3775</v>
      </c>
      <c r="W7" s="14" t="s">
        <v>3776</v>
      </c>
      <c r="X7" s="14" t="s">
        <v>3777</v>
      </c>
      <c r="Y7" s="14" t="s">
        <v>3778</v>
      </c>
      <c r="Z7" s="14" t="s">
        <v>3779</v>
      </c>
      <c r="AA7" s="14" t="s">
        <v>3780</v>
      </c>
      <c r="AB7" s="14" t="s">
        <v>3781</v>
      </c>
      <c r="AC7" s="14" t="s">
        <v>3782</v>
      </c>
      <c r="AD7" s="14" t="s">
        <v>3783</v>
      </c>
      <c r="AE7" s="14" t="s">
        <v>3784</v>
      </c>
      <c r="AF7" s="14" t="s">
        <v>99</v>
      </c>
      <c r="AG7" s="14">
        <v>60.0</v>
      </c>
      <c r="AH7" s="14">
        <v>35.0</v>
      </c>
      <c r="AI7" s="14">
        <v>39.0</v>
      </c>
      <c r="AJ7" s="14">
        <v>1.0</v>
      </c>
      <c r="AK7" s="14">
        <v>69.0</v>
      </c>
      <c r="AL7" s="14" t="s">
        <v>1731</v>
      </c>
      <c r="AM7" s="14" t="s">
        <v>1594</v>
      </c>
      <c r="AN7" s="14" t="s">
        <v>3448</v>
      </c>
      <c r="AO7" s="14" t="s">
        <v>3785</v>
      </c>
      <c r="AP7" s="14" t="s">
        <v>99</v>
      </c>
      <c r="AQ7" s="14" t="s">
        <v>99</v>
      </c>
      <c r="AR7" s="14" t="s">
        <v>3772</v>
      </c>
      <c r="AS7" s="14" t="s">
        <v>3786</v>
      </c>
      <c r="AT7" s="14" t="s">
        <v>421</v>
      </c>
      <c r="AU7" s="14">
        <v>2013.0</v>
      </c>
      <c r="AV7" s="14">
        <v>100.0</v>
      </c>
      <c r="AW7" s="14">
        <v>9.0</v>
      </c>
      <c r="AX7" s="14" t="s">
        <v>99</v>
      </c>
      <c r="AY7" s="14" t="s">
        <v>99</v>
      </c>
      <c r="AZ7" s="14" t="s">
        <v>99</v>
      </c>
      <c r="BA7" s="14" t="s">
        <v>99</v>
      </c>
      <c r="BB7" s="14">
        <v>877.0</v>
      </c>
      <c r="BC7" s="14">
        <v>889.0</v>
      </c>
      <c r="BD7" s="14" t="s">
        <v>99</v>
      </c>
      <c r="BE7" s="14" t="s">
        <v>3787</v>
      </c>
      <c r="BF7" s="15" t="str">
        <f>HYPERLINK("http://dx.doi.org/10.1007/s00114-013-1088-4","http://dx.doi.org/10.1007/s00114-013-1088-4")</f>
        <v>http://dx.doi.org/10.1007/s00114-013-1088-4</v>
      </c>
      <c r="BG7" s="14" t="s">
        <v>99</v>
      </c>
      <c r="BH7" s="14" t="s">
        <v>99</v>
      </c>
      <c r="BI7" s="14">
        <v>13.0</v>
      </c>
      <c r="BJ7" s="14" t="s">
        <v>799</v>
      </c>
      <c r="BK7" s="14" t="s">
        <v>122</v>
      </c>
      <c r="BL7" s="14" t="s">
        <v>801</v>
      </c>
      <c r="BM7" s="14" t="s">
        <v>3788</v>
      </c>
      <c r="BN7" s="14">
        <v>2.394255E7</v>
      </c>
      <c r="BO7" s="14" t="s">
        <v>99</v>
      </c>
      <c r="BP7" s="14" t="s">
        <v>99</v>
      </c>
      <c r="BQ7" s="14" t="s">
        <v>99</v>
      </c>
      <c r="BR7" s="14" t="s">
        <v>124</v>
      </c>
      <c r="BS7" s="14" t="s">
        <v>3789</v>
      </c>
      <c r="BT7" s="14" t="str">
        <f>HYPERLINK("https%3A%2F%2Fwww.webofscience.com%2Fwos%2Fwoscc%2Ffull-record%2FWOS:000323670800008","View Full Record in Web of Science")</f>
        <v>View Full Record in Web of Science</v>
      </c>
    </row>
    <row r="8" ht="12.75" customHeight="1">
      <c r="A8" s="14" t="s">
        <v>97</v>
      </c>
      <c r="B8" s="14" t="s">
        <v>3877</v>
      </c>
      <c r="C8" s="14" t="s">
        <v>99</v>
      </c>
      <c r="D8" s="14" t="s">
        <v>99</v>
      </c>
      <c r="E8" s="14" t="s">
        <v>99</v>
      </c>
      <c r="F8" s="14" t="s">
        <v>3878</v>
      </c>
      <c r="G8" s="14" t="s">
        <v>99</v>
      </c>
      <c r="H8" s="14" t="s">
        <v>99</v>
      </c>
      <c r="I8" s="14" t="s">
        <v>3879</v>
      </c>
      <c r="J8" s="14" t="s">
        <v>3551</v>
      </c>
      <c r="K8" s="14" t="s">
        <v>99</v>
      </c>
      <c r="L8" s="14" t="s">
        <v>99</v>
      </c>
      <c r="M8" s="14" t="s">
        <v>103</v>
      </c>
      <c r="N8" s="14" t="s">
        <v>104</v>
      </c>
      <c r="O8" s="14" t="s">
        <v>99</v>
      </c>
      <c r="P8" s="14" t="s">
        <v>99</v>
      </c>
      <c r="Q8" s="14" t="s">
        <v>99</v>
      </c>
      <c r="R8" s="14" t="s">
        <v>99</v>
      </c>
      <c r="S8" s="14" t="s">
        <v>99</v>
      </c>
      <c r="T8" s="14" t="s">
        <v>3880</v>
      </c>
      <c r="U8" s="14" t="s">
        <v>3881</v>
      </c>
      <c r="V8" s="14" t="s">
        <v>3882</v>
      </c>
      <c r="W8" s="14" t="s">
        <v>3883</v>
      </c>
      <c r="X8" s="14" t="s">
        <v>3884</v>
      </c>
      <c r="Y8" s="14" t="s">
        <v>3885</v>
      </c>
      <c r="Z8" s="14" t="s">
        <v>3886</v>
      </c>
      <c r="AA8" s="14" t="s">
        <v>3887</v>
      </c>
      <c r="AB8" s="14" t="s">
        <v>3888</v>
      </c>
      <c r="AC8" s="14" t="s">
        <v>3889</v>
      </c>
      <c r="AD8" s="14" t="s">
        <v>3890</v>
      </c>
      <c r="AE8" s="14" t="s">
        <v>3891</v>
      </c>
      <c r="AF8" s="14" t="s">
        <v>99</v>
      </c>
      <c r="AG8" s="14">
        <v>54.0</v>
      </c>
      <c r="AH8" s="14">
        <v>52.0</v>
      </c>
      <c r="AI8" s="14">
        <v>81.0</v>
      </c>
      <c r="AJ8" s="14">
        <v>5.0</v>
      </c>
      <c r="AK8" s="14">
        <v>152.0</v>
      </c>
      <c r="AL8" s="14" t="s">
        <v>2301</v>
      </c>
      <c r="AM8" s="14" t="s">
        <v>2302</v>
      </c>
      <c r="AN8" s="14" t="s">
        <v>2303</v>
      </c>
      <c r="AO8" s="14" t="s">
        <v>3564</v>
      </c>
      <c r="AP8" s="14" t="s">
        <v>3565</v>
      </c>
      <c r="AQ8" s="14" t="s">
        <v>99</v>
      </c>
      <c r="AR8" s="14" t="s">
        <v>3566</v>
      </c>
      <c r="AS8" s="14" t="s">
        <v>3567</v>
      </c>
      <c r="AT8" s="14" t="s">
        <v>474</v>
      </c>
      <c r="AU8" s="14">
        <v>2013.0</v>
      </c>
      <c r="AV8" s="14">
        <v>13.0</v>
      </c>
      <c r="AW8" s="14">
        <v>4.0</v>
      </c>
      <c r="AX8" s="14" t="s">
        <v>99</v>
      </c>
      <c r="AY8" s="14" t="s">
        <v>99</v>
      </c>
      <c r="AZ8" s="14" t="s">
        <v>1738</v>
      </c>
      <c r="BA8" s="14" t="s">
        <v>99</v>
      </c>
      <c r="BB8" s="14">
        <v>843.0</v>
      </c>
      <c r="BC8" s="14">
        <v>852.0</v>
      </c>
      <c r="BD8" s="14" t="s">
        <v>99</v>
      </c>
      <c r="BE8" s="14" t="s">
        <v>3892</v>
      </c>
      <c r="BF8" s="15" t="str">
        <f>HYPERLINK("http://dx.doi.org/10.1007/s10113-012-0344-z","http://dx.doi.org/10.1007/s10113-012-0344-z")</f>
        <v>http://dx.doi.org/10.1007/s10113-012-0344-z</v>
      </c>
      <c r="BG8" s="14" t="s">
        <v>99</v>
      </c>
      <c r="BH8" s="14" t="s">
        <v>99</v>
      </c>
      <c r="BI8" s="14">
        <v>10.0</v>
      </c>
      <c r="BJ8" s="14" t="s">
        <v>3569</v>
      </c>
      <c r="BK8" s="14" t="s">
        <v>800</v>
      </c>
      <c r="BL8" s="14" t="s">
        <v>260</v>
      </c>
      <c r="BM8" s="14" t="s">
        <v>3893</v>
      </c>
      <c r="BN8" s="14" t="s">
        <v>99</v>
      </c>
      <c r="BO8" s="14" t="s">
        <v>99</v>
      </c>
      <c r="BP8" s="14" t="s">
        <v>99</v>
      </c>
      <c r="BQ8" s="14" t="s">
        <v>99</v>
      </c>
      <c r="BR8" s="14" t="s">
        <v>124</v>
      </c>
      <c r="BS8" s="14" t="s">
        <v>3894</v>
      </c>
      <c r="BT8" s="14" t="str">
        <f>HYPERLINK("https%3A%2F%2Fwww.webofscience.com%2Fwos%2Fwoscc%2Ffull-record%2FWOS:000322671700008","View Full Record in Web of Science")</f>
        <v>View Full Record in Web of Science</v>
      </c>
    </row>
    <row r="9" ht="12.75" customHeight="1">
      <c r="A9" s="14" t="s">
        <v>97</v>
      </c>
      <c r="B9" s="14" t="s">
        <v>3957</v>
      </c>
      <c r="C9" s="14" t="s">
        <v>99</v>
      </c>
      <c r="D9" s="14" t="s">
        <v>99</v>
      </c>
      <c r="E9" s="14" t="s">
        <v>99</v>
      </c>
      <c r="F9" s="14" t="s">
        <v>3958</v>
      </c>
      <c r="G9" s="14" t="s">
        <v>99</v>
      </c>
      <c r="H9" s="14" t="s">
        <v>99</v>
      </c>
      <c r="I9" s="14" t="s">
        <v>3959</v>
      </c>
      <c r="J9" s="14" t="s">
        <v>2793</v>
      </c>
      <c r="K9" s="14" t="s">
        <v>99</v>
      </c>
      <c r="L9" s="14" t="s">
        <v>99</v>
      </c>
      <c r="M9" s="14" t="s">
        <v>103</v>
      </c>
      <c r="N9" s="14" t="s">
        <v>104</v>
      </c>
      <c r="O9" s="14" t="s">
        <v>99</v>
      </c>
      <c r="P9" s="14" t="s">
        <v>99</v>
      </c>
      <c r="Q9" s="14" t="s">
        <v>99</v>
      </c>
      <c r="R9" s="14" t="s">
        <v>99</v>
      </c>
      <c r="S9" s="14" t="s">
        <v>99</v>
      </c>
      <c r="T9" s="14" t="s">
        <v>99</v>
      </c>
      <c r="U9" s="14" t="s">
        <v>3960</v>
      </c>
      <c r="V9" s="14" t="s">
        <v>3961</v>
      </c>
      <c r="W9" s="14" t="s">
        <v>3962</v>
      </c>
      <c r="X9" s="14" t="s">
        <v>3963</v>
      </c>
      <c r="Y9" s="14" t="s">
        <v>3964</v>
      </c>
      <c r="Z9" s="14" t="s">
        <v>3965</v>
      </c>
      <c r="AA9" s="14" t="s">
        <v>3966</v>
      </c>
      <c r="AB9" s="14" t="s">
        <v>3967</v>
      </c>
      <c r="AC9" s="14" t="s">
        <v>3968</v>
      </c>
      <c r="AD9" s="14" t="s">
        <v>3969</v>
      </c>
      <c r="AE9" s="14" t="s">
        <v>3970</v>
      </c>
      <c r="AF9" s="14" t="s">
        <v>99</v>
      </c>
      <c r="AG9" s="14">
        <v>30.0</v>
      </c>
      <c r="AH9" s="14">
        <v>314.0</v>
      </c>
      <c r="AI9" s="14">
        <v>356.0</v>
      </c>
      <c r="AJ9" s="14">
        <v>5.0</v>
      </c>
      <c r="AK9" s="14">
        <v>247.0</v>
      </c>
      <c r="AL9" s="14" t="s">
        <v>1326</v>
      </c>
      <c r="AM9" s="14" t="s">
        <v>274</v>
      </c>
      <c r="AN9" s="14" t="s">
        <v>1327</v>
      </c>
      <c r="AO9" s="14" t="s">
        <v>2805</v>
      </c>
      <c r="AP9" s="14" t="s">
        <v>2806</v>
      </c>
      <c r="AQ9" s="14" t="s">
        <v>99</v>
      </c>
      <c r="AR9" s="14" t="s">
        <v>2807</v>
      </c>
      <c r="AS9" s="14" t="s">
        <v>2808</v>
      </c>
      <c r="AT9" s="14" t="s">
        <v>525</v>
      </c>
      <c r="AU9" s="14">
        <v>2013.0</v>
      </c>
      <c r="AV9" s="14">
        <v>3.0</v>
      </c>
      <c r="AW9" s="14">
        <v>7.0</v>
      </c>
      <c r="AX9" s="14" t="s">
        <v>99</v>
      </c>
      <c r="AY9" s="14" t="s">
        <v>99</v>
      </c>
      <c r="AZ9" s="14" t="s">
        <v>99</v>
      </c>
      <c r="BA9" s="14" t="s">
        <v>99</v>
      </c>
      <c r="BB9" s="14">
        <v>678.0</v>
      </c>
      <c r="BC9" s="14">
        <v>682.0</v>
      </c>
      <c r="BD9" s="14" t="s">
        <v>99</v>
      </c>
      <c r="BE9" s="14" t="s">
        <v>3971</v>
      </c>
      <c r="BF9" s="15" t="str">
        <f>HYPERLINK("http://dx.doi.org/10.1038/NCLIMATE1887","http://dx.doi.org/10.1038/NCLIMATE1887")</f>
        <v>http://dx.doi.org/10.1038/NCLIMATE1887</v>
      </c>
      <c r="BG9" s="14" t="s">
        <v>99</v>
      </c>
      <c r="BH9" s="14" t="s">
        <v>99</v>
      </c>
      <c r="BI9" s="14">
        <v>5.0</v>
      </c>
      <c r="BJ9" s="14" t="s">
        <v>2810</v>
      </c>
      <c r="BK9" s="14" t="s">
        <v>800</v>
      </c>
      <c r="BL9" s="14" t="s">
        <v>574</v>
      </c>
      <c r="BM9" s="14" t="s">
        <v>3972</v>
      </c>
      <c r="BN9" s="14" t="s">
        <v>99</v>
      </c>
      <c r="BO9" s="14" t="s">
        <v>99</v>
      </c>
      <c r="BP9" s="14" t="s">
        <v>99</v>
      </c>
      <c r="BQ9" s="14" t="s">
        <v>99</v>
      </c>
      <c r="BR9" s="14" t="s">
        <v>124</v>
      </c>
      <c r="BS9" s="14" t="s">
        <v>3973</v>
      </c>
      <c r="BT9" s="14" t="str">
        <f>HYPERLINK("https%3A%2F%2Fwww.webofscience.com%2Fwos%2Fwoscc%2Ffull-record%2FWOS:000324486300025","View Full Record in Web of Science")</f>
        <v>View Full Record in Web of Science</v>
      </c>
    </row>
    <row r="10" ht="12.75" customHeight="1">
      <c r="A10" s="14" t="s">
        <v>97</v>
      </c>
      <c r="B10" s="14" t="s">
        <v>3993</v>
      </c>
      <c r="C10" s="14" t="s">
        <v>99</v>
      </c>
      <c r="D10" s="14" t="s">
        <v>99</v>
      </c>
      <c r="E10" s="14" t="s">
        <v>99</v>
      </c>
      <c r="F10" s="14" t="s">
        <v>3994</v>
      </c>
      <c r="G10" s="14" t="s">
        <v>99</v>
      </c>
      <c r="H10" s="14" t="s">
        <v>99</v>
      </c>
      <c r="I10" s="14" t="s">
        <v>3995</v>
      </c>
      <c r="J10" s="14" t="s">
        <v>2500</v>
      </c>
      <c r="K10" s="14" t="s">
        <v>99</v>
      </c>
      <c r="L10" s="14" t="s">
        <v>99</v>
      </c>
      <c r="M10" s="14" t="s">
        <v>103</v>
      </c>
      <c r="N10" s="14" t="s">
        <v>104</v>
      </c>
      <c r="O10" s="14" t="s">
        <v>99</v>
      </c>
      <c r="P10" s="14" t="s">
        <v>99</v>
      </c>
      <c r="Q10" s="14" t="s">
        <v>99</v>
      </c>
      <c r="R10" s="14" t="s">
        <v>99</v>
      </c>
      <c r="S10" s="14" t="s">
        <v>99</v>
      </c>
      <c r="T10" s="14" t="s">
        <v>99</v>
      </c>
      <c r="U10" s="14" t="s">
        <v>3996</v>
      </c>
      <c r="V10" s="14" t="s">
        <v>3997</v>
      </c>
      <c r="W10" s="14" t="s">
        <v>3998</v>
      </c>
      <c r="X10" s="14" t="s">
        <v>3999</v>
      </c>
      <c r="Y10" s="14" t="s">
        <v>4000</v>
      </c>
      <c r="Z10" s="14" t="s">
        <v>4001</v>
      </c>
      <c r="AA10" s="14" t="s">
        <v>4002</v>
      </c>
      <c r="AB10" s="14" t="s">
        <v>4003</v>
      </c>
      <c r="AC10" s="14" t="s">
        <v>4004</v>
      </c>
      <c r="AD10" s="14" t="s">
        <v>4005</v>
      </c>
      <c r="AE10" s="14" t="s">
        <v>4006</v>
      </c>
      <c r="AF10" s="14" t="s">
        <v>99</v>
      </c>
      <c r="AG10" s="14">
        <v>41.0</v>
      </c>
      <c r="AH10" s="14">
        <v>711.0</v>
      </c>
      <c r="AI10" s="14">
        <v>815.0</v>
      </c>
      <c r="AJ10" s="14">
        <v>3.0</v>
      </c>
      <c r="AK10" s="14">
        <v>231.0</v>
      </c>
      <c r="AL10" s="14" t="s">
        <v>2512</v>
      </c>
      <c r="AM10" s="14" t="s">
        <v>2513</v>
      </c>
      <c r="AN10" s="14" t="s">
        <v>2514</v>
      </c>
      <c r="AO10" s="14" t="s">
        <v>2515</v>
      </c>
      <c r="AP10" s="14" t="s">
        <v>99</v>
      </c>
      <c r="AQ10" s="14" t="s">
        <v>99</v>
      </c>
      <c r="AR10" s="14" t="s">
        <v>2500</v>
      </c>
      <c r="AS10" s="14" t="s">
        <v>2516</v>
      </c>
      <c r="AT10" s="14" t="s">
        <v>2581</v>
      </c>
      <c r="AU10" s="14">
        <v>2013.0</v>
      </c>
      <c r="AV10" s="14">
        <v>8.0</v>
      </c>
      <c r="AW10" s="14">
        <v>6.0</v>
      </c>
      <c r="AX10" s="14" t="s">
        <v>99</v>
      </c>
      <c r="AY10" s="14" t="s">
        <v>99</v>
      </c>
      <c r="AZ10" s="14" t="s">
        <v>99</v>
      </c>
      <c r="BA10" s="14" t="s">
        <v>99</v>
      </c>
      <c r="BB10" s="14" t="s">
        <v>99</v>
      </c>
      <c r="BC10" s="14" t="s">
        <v>99</v>
      </c>
      <c r="BD10" s="14" t="s">
        <v>4007</v>
      </c>
      <c r="BE10" s="14" t="s">
        <v>4008</v>
      </c>
      <c r="BF10" s="15" t="str">
        <f>HYPERLINK("http://dx.doi.org/10.1371/journal.pone.0065427","http://dx.doi.org/10.1371/journal.pone.0065427")</f>
        <v>http://dx.doi.org/10.1371/journal.pone.0065427</v>
      </c>
      <c r="BG10" s="14" t="s">
        <v>99</v>
      </c>
      <c r="BH10" s="14" t="s">
        <v>99</v>
      </c>
      <c r="BI10" s="14">
        <v>13.0</v>
      </c>
      <c r="BJ10" s="14" t="s">
        <v>799</v>
      </c>
      <c r="BK10" s="14" t="s">
        <v>122</v>
      </c>
      <c r="BL10" s="14" t="s">
        <v>801</v>
      </c>
      <c r="BM10" s="14" t="s">
        <v>4009</v>
      </c>
      <c r="BN10" s="14">
        <v>2.3950785E7</v>
      </c>
      <c r="BO10" s="14" t="s">
        <v>1251</v>
      </c>
      <c r="BP10" s="14" t="s">
        <v>99</v>
      </c>
      <c r="BQ10" s="14" t="s">
        <v>99</v>
      </c>
      <c r="BR10" s="14" t="s">
        <v>124</v>
      </c>
      <c r="BS10" s="14" t="s">
        <v>4010</v>
      </c>
      <c r="BT10" s="14" t="str">
        <f>HYPERLINK("https%3A%2F%2Fwww.webofscience.com%2Fwos%2Fwoscc%2Ffull-record%2FWOS:000320322400025","View Full Record in Web of Science")</f>
        <v>View Full Record in Web of Science</v>
      </c>
    </row>
    <row r="11" ht="12.75" customHeight="1">
      <c r="A11" s="14" t="s">
        <v>97</v>
      </c>
      <c r="B11" s="14" t="s">
        <v>4087</v>
      </c>
      <c r="C11" s="14" t="s">
        <v>99</v>
      </c>
      <c r="D11" s="14" t="s">
        <v>99</v>
      </c>
      <c r="E11" s="14" t="s">
        <v>99</v>
      </c>
      <c r="F11" s="14" t="s">
        <v>4088</v>
      </c>
      <c r="G11" s="14" t="s">
        <v>99</v>
      </c>
      <c r="H11" s="14" t="s">
        <v>99</v>
      </c>
      <c r="I11" s="14" t="s">
        <v>4089</v>
      </c>
      <c r="J11" s="14" t="s">
        <v>2500</v>
      </c>
      <c r="K11" s="14" t="s">
        <v>99</v>
      </c>
      <c r="L11" s="14" t="s">
        <v>99</v>
      </c>
      <c r="M11" s="14" t="s">
        <v>103</v>
      </c>
      <c r="N11" s="14" t="s">
        <v>104</v>
      </c>
      <c r="O11" s="14" t="s">
        <v>99</v>
      </c>
      <c r="P11" s="14" t="s">
        <v>99</v>
      </c>
      <c r="Q11" s="14" t="s">
        <v>99</v>
      </c>
      <c r="R11" s="14" t="s">
        <v>99</v>
      </c>
      <c r="S11" s="14" t="s">
        <v>99</v>
      </c>
      <c r="T11" s="14" t="s">
        <v>99</v>
      </c>
      <c r="U11" s="14" t="s">
        <v>4090</v>
      </c>
      <c r="V11" s="14" t="s">
        <v>4091</v>
      </c>
      <c r="W11" s="14" t="s">
        <v>4092</v>
      </c>
      <c r="X11" s="14" t="s">
        <v>4093</v>
      </c>
      <c r="Y11" s="14" t="s">
        <v>4094</v>
      </c>
      <c r="Z11" s="14" t="s">
        <v>4095</v>
      </c>
      <c r="AA11" s="14" t="s">
        <v>4096</v>
      </c>
      <c r="AB11" s="14" t="s">
        <v>99</v>
      </c>
      <c r="AC11" s="14" t="s">
        <v>4097</v>
      </c>
      <c r="AD11" s="14" t="s">
        <v>4097</v>
      </c>
      <c r="AE11" s="14" t="s">
        <v>4098</v>
      </c>
      <c r="AF11" s="14" t="s">
        <v>99</v>
      </c>
      <c r="AG11" s="14">
        <v>30.0</v>
      </c>
      <c r="AH11" s="14">
        <v>127.0</v>
      </c>
      <c r="AI11" s="14">
        <v>151.0</v>
      </c>
      <c r="AJ11" s="14">
        <v>1.0</v>
      </c>
      <c r="AK11" s="14">
        <v>92.0</v>
      </c>
      <c r="AL11" s="14" t="s">
        <v>2512</v>
      </c>
      <c r="AM11" s="14" t="s">
        <v>2513</v>
      </c>
      <c r="AN11" s="14" t="s">
        <v>2514</v>
      </c>
      <c r="AO11" s="14" t="s">
        <v>2515</v>
      </c>
      <c r="AP11" s="14" t="s">
        <v>99</v>
      </c>
      <c r="AQ11" s="14" t="s">
        <v>99</v>
      </c>
      <c r="AR11" s="14" t="s">
        <v>2500</v>
      </c>
      <c r="AS11" s="14" t="s">
        <v>2516</v>
      </c>
      <c r="AT11" s="14" t="s">
        <v>4083</v>
      </c>
      <c r="AU11" s="14">
        <v>2013.0</v>
      </c>
      <c r="AV11" s="14">
        <v>8.0</v>
      </c>
      <c r="AW11" s="14">
        <v>5.0</v>
      </c>
      <c r="AX11" s="14" t="s">
        <v>99</v>
      </c>
      <c r="AY11" s="14" t="s">
        <v>99</v>
      </c>
      <c r="AZ11" s="14" t="s">
        <v>99</v>
      </c>
      <c r="BA11" s="14" t="s">
        <v>99</v>
      </c>
      <c r="BB11" s="14" t="s">
        <v>99</v>
      </c>
      <c r="BC11" s="14" t="s">
        <v>99</v>
      </c>
      <c r="BD11" s="14" t="s">
        <v>4099</v>
      </c>
      <c r="BE11" s="14" t="s">
        <v>4100</v>
      </c>
      <c r="BF11" s="15" t="str">
        <f>HYPERLINK("http://dx.doi.org/10.1371/journal.pone.0063883","http://dx.doi.org/10.1371/journal.pone.0063883")</f>
        <v>http://dx.doi.org/10.1371/journal.pone.0063883</v>
      </c>
      <c r="BG11" s="14" t="s">
        <v>99</v>
      </c>
      <c r="BH11" s="14" t="s">
        <v>99</v>
      </c>
      <c r="BI11" s="14">
        <v>12.0</v>
      </c>
      <c r="BJ11" s="14" t="s">
        <v>799</v>
      </c>
      <c r="BK11" s="14" t="s">
        <v>122</v>
      </c>
      <c r="BL11" s="14" t="s">
        <v>801</v>
      </c>
      <c r="BM11" s="14" t="s">
        <v>4101</v>
      </c>
      <c r="BN11" s="14">
        <v>2.3717503E7</v>
      </c>
      <c r="BO11" s="14" t="s">
        <v>1251</v>
      </c>
      <c r="BP11" s="14" t="s">
        <v>99</v>
      </c>
      <c r="BQ11" s="14" t="s">
        <v>99</v>
      </c>
      <c r="BR11" s="14" t="s">
        <v>124</v>
      </c>
      <c r="BS11" s="14" t="s">
        <v>4102</v>
      </c>
      <c r="BT11" s="14" t="str">
        <f>HYPERLINK("https%3A%2F%2Fwww.webofscience.com%2Fwos%2Fwoscc%2Ffull-record%2FWOS:000320362700075","View Full Record in Web of Science")</f>
        <v>View Full Record in Web of Science</v>
      </c>
    </row>
    <row r="12" ht="12.75" customHeight="1">
      <c r="A12" s="14" t="s">
        <v>97</v>
      </c>
      <c r="B12" s="14" t="s">
        <v>4154</v>
      </c>
      <c r="C12" s="14" t="s">
        <v>99</v>
      </c>
      <c r="D12" s="14" t="s">
        <v>99</v>
      </c>
      <c r="E12" s="14" t="s">
        <v>99</v>
      </c>
      <c r="F12" s="14" t="s">
        <v>4155</v>
      </c>
      <c r="G12" s="14" t="s">
        <v>99</v>
      </c>
      <c r="H12" s="14" t="s">
        <v>99</v>
      </c>
      <c r="I12" s="14" t="s">
        <v>4156</v>
      </c>
      <c r="J12" s="14" t="s">
        <v>3479</v>
      </c>
      <c r="K12" s="14" t="s">
        <v>99</v>
      </c>
      <c r="L12" s="14" t="s">
        <v>99</v>
      </c>
      <c r="M12" s="14" t="s">
        <v>103</v>
      </c>
      <c r="N12" s="14" t="s">
        <v>104</v>
      </c>
      <c r="O12" s="14" t="s">
        <v>99</v>
      </c>
      <c r="P12" s="14" t="s">
        <v>99</v>
      </c>
      <c r="Q12" s="14" t="s">
        <v>99</v>
      </c>
      <c r="R12" s="14" t="s">
        <v>99</v>
      </c>
      <c r="S12" s="14" t="s">
        <v>99</v>
      </c>
      <c r="T12" s="14" t="s">
        <v>4157</v>
      </c>
      <c r="U12" s="14" t="s">
        <v>4158</v>
      </c>
      <c r="V12" s="14" t="s">
        <v>4159</v>
      </c>
      <c r="W12" s="14" t="s">
        <v>4160</v>
      </c>
      <c r="X12" s="14" t="s">
        <v>4161</v>
      </c>
      <c r="Y12" s="14" t="s">
        <v>4162</v>
      </c>
      <c r="Z12" s="14" t="s">
        <v>4163</v>
      </c>
      <c r="AA12" s="14" t="s">
        <v>4164</v>
      </c>
      <c r="AB12" s="14" t="s">
        <v>4165</v>
      </c>
      <c r="AC12" s="14" t="s">
        <v>99</v>
      </c>
      <c r="AD12" s="14" t="s">
        <v>99</v>
      </c>
      <c r="AE12" s="14" t="s">
        <v>99</v>
      </c>
      <c r="AF12" s="14" t="s">
        <v>99</v>
      </c>
      <c r="AG12" s="14">
        <v>67.0</v>
      </c>
      <c r="AH12" s="14">
        <v>222.0</v>
      </c>
      <c r="AI12" s="14">
        <v>263.0</v>
      </c>
      <c r="AJ12" s="14">
        <v>2.0</v>
      </c>
      <c r="AK12" s="14">
        <v>133.0</v>
      </c>
      <c r="AL12" s="14" t="s">
        <v>441</v>
      </c>
      <c r="AM12" s="14" t="s">
        <v>442</v>
      </c>
      <c r="AN12" s="14" t="s">
        <v>443</v>
      </c>
      <c r="AO12" s="14" t="s">
        <v>3490</v>
      </c>
      <c r="AP12" s="14" t="s">
        <v>3491</v>
      </c>
      <c r="AQ12" s="14" t="s">
        <v>99</v>
      </c>
      <c r="AR12" s="14" t="s">
        <v>3492</v>
      </c>
      <c r="AS12" s="14" t="s">
        <v>3493</v>
      </c>
      <c r="AT12" s="14" t="s">
        <v>640</v>
      </c>
      <c r="AU12" s="14">
        <v>2013.0</v>
      </c>
      <c r="AV12" s="14">
        <v>49.0</v>
      </c>
      <c r="AW12" s="14" t="s">
        <v>99</v>
      </c>
      <c r="AX12" s="14" t="s">
        <v>99</v>
      </c>
      <c r="AY12" s="14" t="s">
        <v>99</v>
      </c>
      <c r="AZ12" s="14" t="s">
        <v>99</v>
      </c>
      <c r="BA12" s="14" t="s">
        <v>99</v>
      </c>
      <c r="BB12" s="14">
        <v>23.0</v>
      </c>
      <c r="BC12" s="14">
        <v>31.0</v>
      </c>
      <c r="BD12" s="14" t="s">
        <v>99</v>
      </c>
      <c r="BE12" s="14" t="s">
        <v>4166</v>
      </c>
      <c r="BF12" s="15" t="str">
        <f>HYPERLINK("http://dx.doi.org/10.1016/j.actao.2013.02.007","http://dx.doi.org/10.1016/j.actao.2013.02.007")</f>
        <v>http://dx.doi.org/10.1016/j.actao.2013.02.007</v>
      </c>
      <c r="BG12" s="14" t="s">
        <v>99</v>
      </c>
      <c r="BH12" s="14" t="s">
        <v>99</v>
      </c>
      <c r="BI12" s="14">
        <v>9.0</v>
      </c>
      <c r="BJ12" s="14" t="s">
        <v>259</v>
      </c>
      <c r="BK12" s="14" t="s">
        <v>122</v>
      </c>
      <c r="BL12" s="14" t="s">
        <v>260</v>
      </c>
      <c r="BM12" s="14" t="s">
        <v>4167</v>
      </c>
      <c r="BN12" s="14" t="s">
        <v>99</v>
      </c>
      <c r="BO12" s="14" t="s">
        <v>99</v>
      </c>
      <c r="BP12" s="14" t="s">
        <v>99</v>
      </c>
      <c r="BQ12" s="14" t="s">
        <v>99</v>
      </c>
      <c r="BR12" s="14" t="s">
        <v>124</v>
      </c>
      <c r="BS12" s="14" t="s">
        <v>4168</v>
      </c>
      <c r="BT12" s="14" t="str">
        <f>HYPERLINK("https%3A%2F%2Fwww.webofscience.com%2Fwos%2Fwoscc%2Ffull-record%2FWOS:000319538700005","View Full Record in Web of Science")</f>
        <v>View Full Record in Web of Science</v>
      </c>
    </row>
    <row r="13" ht="12.75" customHeight="1">
      <c r="A13" s="14" t="s">
        <v>97</v>
      </c>
      <c r="B13" s="14" t="s">
        <v>4188</v>
      </c>
      <c r="C13" s="14" t="s">
        <v>99</v>
      </c>
      <c r="D13" s="14" t="s">
        <v>99</v>
      </c>
      <c r="E13" s="14" t="s">
        <v>99</v>
      </c>
      <c r="F13" s="14" t="s">
        <v>4189</v>
      </c>
      <c r="G13" s="14" t="s">
        <v>99</v>
      </c>
      <c r="H13" s="14" t="s">
        <v>99</v>
      </c>
      <c r="I13" s="14" t="s">
        <v>4190</v>
      </c>
      <c r="J13" s="14" t="s">
        <v>726</v>
      </c>
      <c r="K13" s="14" t="s">
        <v>99</v>
      </c>
      <c r="L13" s="14" t="s">
        <v>99</v>
      </c>
      <c r="M13" s="14" t="s">
        <v>103</v>
      </c>
      <c r="N13" s="14" t="s">
        <v>104</v>
      </c>
      <c r="O13" s="14" t="s">
        <v>99</v>
      </c>
      <c r="P13" s="14" t="s">
        <v>99</v>
      </c>
      <c r="Q13" s="14" t="s">
        <v>99</v>
      </c>
      <c r="R13" s="14" t="s">
        <v>99</v>
      </c>
      <c r="S13" s="14" t="s">
        <v>99</v>
      </c>
      <c r="T13" s="14" t="s">
        <v>4191</v>
      </c>
      <c r="U13" s="14" t="s">
        <v>4192</v>
      </c>
      <c r="V13" s="14" t="s">
        <v>4193</v>
      </c>
      <c r="W13" s="14" t="s">
        <v>4194</v>
      </c>
      <c r="X13" s="14" t="s">
        <v>4195</v>
      </c>
      <c r="Y13" s="14" t="s">
        <v>4196</v>
      </c>
      <c r="Z13" s="14" t="s">
        <v>4197</v>
      </c>
      <c r="AA13" s="14" t="s">
        <v>4198</v>
      </c>
      <c r="AB13" s="14" t="s">
        <v>4199</v>
      </c>
      <c r="AC13" s="14" t="s">
        <v>4200</v>
      </c>
      <c r="AD13" s="14" t="s">
        <v>4201</v>
      </c>
      <c r="AE13" s="14" t="s">
        <v>4202</v>
      </c>
      <c r="AF13" s="14" t="s">
        <v>99</v>
      </c>
      <c r="AG13" s="14">
        <v>91.0</v>
      </c>
      <c r="AH13" s="14">
        <v>32.0</v>
      </c>
      <c r="AI13" s="14">
        <v>34.0</v>
      </c>
      <c r="AJ13" s="14">
        <v>1.0</v>
      </c>
      <c r="AK13" s="14">
        <v>126.0</v>
      </c>
      <c r="AL13" s="14" t="s">
        <v>341</v>
      </c>
      <c r="AM13" s="14" t="s">
        <v>342</v>
      </c>
      <c r="AN13" s="14" t="s">
        <v>343</v>
      </c>
      <c r="AO13" s="14" t="s">
        <v>739</v>
      </c>
      <c r="AP13" s="14" t="s">
        <v>740</v>
      </c>
      <c r="AQ13" s="14" t="s">
        <v>99</v>
      </c>
      <c r="AR13" s="14" t="s">
        <v>741</v>
      </c>
      <c r="AS13" s="14" t="s">
        <v>742</v>
      </c>
      <c r="AT13" s="14" t="s">
        <v>718</v>
      </c>
      <c r="AU13" s="14">
        <v>2013.0</v>
      </c>
      <c r="AV13" s="14">
        <v>19.0</v>
      </c>
      <c r="AW13" s="14">
        <v>4.0</v>
      </c>
      <c r="AX13" s="14" t="s">
        <v>99</v>
      </c>
      <c r="AY13" s="14" t="s">
        <v>99</v>
      </c>
      <c r="AZ13" s="14" t="s">
        <v>99</v>
      </c>
      <c r="BA13" s="14" t="s">
        <v>99</v>
      </c>
      <c r="BB13" s="14">
        <v>363.0</v>
      </c>
      <c r="BC13" s="14">
        <v>376.0</v>
      </c>
      <c r="BD13" s="14" t="s">
        <v>99</v>
      </c>
      <c r="BE13" s="14" t="s">
        <v>4203</v>
      </c>
      <c r="BF13" s="15" t="str">
        <f>HYPERLINK("http://dx.doi.org/10.1111/ddi.12011","http://dx.doi.org/10.1111/ddi.12011")</f>
        <v>http://dx.doi.org/10.1111/ddi.12011</v>
      </c>
      <c r="BG13" s="14" t="s">
        <v>99</v>
      </c>
      <c r="BH13" s="14" t="s">
        <v>99</v>
      </c>
      <c r="BI13" s="14">
        <v>14.0</v>
      </c>
      <c r="BJ13" s="14" t="s">
        <v>550</v>
      </c>
      <c r="BK13" s="14" t="s">
        <v>122</v>
      </c>
      <c r="BL13" s="14" t="s">
        <v>352</v>
      </c>
      <c r="BM13" s="14" t="s">
        <v>4204</v>
      </c>
      <c r="BN13" s="14" t="s">
        <v>99</v>
      </c>
      <c r="BO13" s="14" t="s">
        <v>99</v>
      </c>
      <c r="BP13" s="14" t="s">
        <v>99</v>
      </c>
      <c r="BQ13" s="14" t="s">
        <v>99</v>
      </c>
      <c r="BR13" s="14" t="s">
        <v>124</v>
      </c>
      <c r="BS13" s="14" t="s">
        <v>4205</v>
      </c>
      <c r="BT13" s="14" t="str">
        <f>HYPERLINK("https%3A%2F%2Fwww.webofscience.com%2Fwos%2Fwoscc%2Ffull-record%2FWOS:000316324800001","View Full Record in Web of Science")</f>
        <v>View Full Record in Web of Science</v>
      </c>
    </row>
    <row r="14" ht="12.75" customHeight="1">
      <c r="A14" s="14" t="s">
        <v>97</v>
      </c>
      <c r="B14" s="14" t="s">
        <v>4224</v>
      </c>
      <c r="C14" s="14" t="s">
        <v>99</v>
      </c>
      <c r="D14" s="14" t="s">
        <v>99</v>
      </c>
      <c r="E14" s="14" t="s">
        <v>99</v>
      </c>
      <c r="F14" s="14" t="s">
        <v>4225</v>
      </c>
      <c r="G14" s="14" t="s">
        <v>99</v>
      </c>
      <c r="H14" s="14" t="s">
        <v>99</v>
      </c>
      <c r="I14" s="14" t="s">
        <v>4226</v>
      </c>
      <c r="J14" s="14" t="s">
        <v>1102</v>
      </c>
      <c r="K14" s="14" t="s">
        <v>99</v>
      </c>
      <c r="L14" s="14" t="s">
        <v>99</v>
      </c>
      <c r="M14" s="14" t="s">
        <v>103</v>
      </c>
      <c r="N14" s="14" t="s">
        <v>104</v>
      </c>
      <c r="O14" s="14" t="s">
        <v>99</v>
      </c>
      <c r="P14" s="14" t="s">
        <v>99</v>
      </c>
      <c r="Q14" s="14" t="s">
        <v>99</v>
      </c>
      <c r="R14" s="14" t="s">
        <v>99</v>
      </c>
      <c r="S14" s="14" t="s">
        <v>99</v>
      </c>
      <c r="T14" s="14" t="s">
        <v>4227</v>
      </c>
      <c r="U14" s="14" t="s">
        <v>4228</v>
      </c>
      <c r="V14" s="14" t="s">
        <v>4229</v>
      </c>
      <c r="W14" s="14" t="s">
        <v>4230</v>
      </c>
      <c r="X14" s="14" t="s">
        <v>4231</v>
      </c>
      <c r="Y14" s="14" t="s">
        <v>4232</v>
      </c>
      <c r="Z14" s="14" t="s">
        <v>4233</v>
      </c>
      <c r="AA14" s="14" t="s">
        <v>4234</v>
      </c>
      <c r="AB14" s="14" t="s">
        <v>4235</v>
      </c>
      <c r="AC14" s="14" t="s">
        <v>4236</v>
      </c>
      <c r="AD14" s="14" t="s">
        <v>4237</v>
      </c>
      <c r="AE14" s="14" t="s">
        <v>4238</v>
      </c>
      <c r="AF14" s="14" t="s">
        <v>99</v>
      </c>
      <c r="AG14" s="14">
        <v>75.0</v>
      </c>
      <c r="AH14" s="14">
        <v>103.0</v>
      </c>
      <c r="AI14" s="14">
        <v>118.0</v>
      </c>
      <c r="AJ14" s="14">
        <v>1.0</v>
      </c>
      <c r="AK14" s="14">
        <v>187.0</v>
      </c>
      <c r="AL14" s="14" t="s">
        <v>493</v>
      </c>
      <c r="AM14" s="14" t="s">
        <v>494</v>
      </c>
      <c r="AN14" s="14" t="s">
        <v>495</v>
      </c>
      <c r="AO14" s="14" t="s">
        <v>1112</v>
      </c>
      <c r="AP14" s="14" t="s">
        <v>1113</v>
      </c>
      <c r="AQ14" s="14" t="s">
        <v>99</v>
      </c>
      <c r="AR14" s="14" t="s">
        <v>1114</v>
      </c>
      <c r="AS14" s="14" t="s">
        <v>1115</v>
      </c>
      <c r="AT14" s="14" t="s">
        <v>718</v>
      </c>
      <c r="AU14" s="14">
        <v>2013.0</v>
      </c>
      <c r="AV14" s="14">
        <v>160.0</v>
      </c>
      <c r="AW14" s="14" t="s">
        <v>99</v>
      </c>
      <c r="AX14" s="14" t="s">
        <v>99</v>
      </c>
      <c r="AY14" s="14" t="s">
        <v>99</v>
      </c>
      <c r="AZ14" s="14" t="s">
        <v>99</v>
      </c>
      <c r="BA14" s="14" t="s">
        <v>99</v>
      </c>
      <c r="BB14" s="14">
        <v>225.0</v>
      </c>
      <c r="BC14" s="14">
        <v>233.0</v>
      </c>
      <c r="BD14" s="14" t="s">
        <v>99</v>
      </c>
      <c r="BE14" s="14" t="s">
        <v>4239</v>
      </c>
      <c r="BF14" s="15" t="str">
        <f>HYPERLINK("http://dx.doi.org/10.1016/j.biocon.2013.02.001","http://dx.doi.org/10.1016/j.biocon.2013.02.001")</f>
        <v>http://dx.doi.org/10.1016/j.biocon.2013.02.001</v>
      </c>
      <c r="BG14" s="14" t="s">
        <v>99</v>
      </c>
      <c r="BH14" s="14" t="s">
        <v>99</v>
      </c>
      <c r="BI14" s="14">
        <v>9.0</v>
      </c>
      <c r="BJ14" s="14" t="s">
        <v>351</v>
      </c>
      <c r="BK14" s="14" t="s">
        <v>122</v>
      </c>
      <c r="BL14" s="14" t="s">
        <v>352</v>
      </c>
      <c r="BM14" s="14" t="s">
        <v>4240</v>
      </c>
      <c r="BN14" s="14" t="s">
        <v>99</v>
      </c>
      <c r="BO14" s="14" t="s">
        <v>99</v>
      </c>
      <c r="BP14" s="14" t="s">
        <v>99</v>
      </c>
      <c r="BQ14" s="14" t="s">
        <v>99</v>
      </c>
      <c r="BR14" s="14" t="s">
        <v>124</v>
      </c>
      <c r="BS14" s="14" t="s">
        <v>4241</v>
      </c>
      <c r="BT14" s="14" t="str">
        <f>HYPERLINK("https%3A%2F%2Fwww.webofscience.com%2Fwos%2Fwoscc%2Ffull-record%2FWOS:000320684700025","View Full Record in Web of Science")</f>
        <v>View Full Record in Web of Science</v>
      </c>
    </row>
    <row r="15" ht="12.75" customHeight="1">
      <c r="A15" s="14" t="s">
        <v>97</v>
      </c>
      <c r="B15" s="14" t="s">
        <v>4317</v>
      </c>
      <c r="C15" s="14" t="s">
        <v>99</v>
      </c>
      <c r="D15" s="14" t="s">
        <v>99</v>
      </c>
      <c r="E15" s="14" t="s">
        <v>99</v>
      </c>
      <c r="F15" s="14" t="s">
        <v>4318</v>
      </c>
      <c r="G15" s="14" t="s">
        <v>99</v>
      </c>
      <c r="H15" s="14" t="s">
        <v>99</v>
      </c>
      <c r="I15" s="14" t="s">
        <v>4319</v>
      </c>
      <c r="J15" s="14" t="s">
        <v>1605</v>
      </c>
      <c r="K15" s="14" t="s">
        <v>99</v>
      </c>
      <c r="L15" s="14" t="s">
        <v>99</v>
      </c>
      <c r="M15" s="14" t="s">
        <v>103</v>
      </c>
      <c r="N15" s="14" t="s">
        <v>104</v>
      </c>
      <c r="O15" s="14" t="s">
        <v>99</v>
      </c>
      <c r="P15" s="14" t="s">
        <v>99</v>
      </c>
      <c r="Q15" s="14" t="s">
        <v>99</v>
      </c>
      <c r="R15" s="14" t="s">
        <v>99</v>
      </c>
      <c r="S15" s="14" t="s">
        <v>99</v>
      </c>
      <c r="T15" s="14" t="s">
        <v>4320</v>
      </c>
      <c r="U15" s="14" t="s">
        <v>4321</v>
      </c>
      <c r="V15" s="14" t="s">
        <v>4322</v>
      </c>
      <c r="W15" s="14" t="s">
        <v>4323</v>
      </c>
      <c r="X15" s="14" t="s">
        <v>4324</v>
      </c>
      <c r="Y15" s="14" t="s">
        <v>4325</v>
      </c>
      <c r="Z15" s="14" t="s">
        <v>4326</v>
      </c>
      <c r="AA15" s="14" t="s">
        <v>4327</v>
      </c>
      <c r="AB15" s="14" t="s">
        <v>4328</v>
      </c>
      <c r="AC15" s="14" t="s">
        <v>4329</v>
      </c>
      <c r="AD15" s="14" t="s">
        <v>4330</v>
      </c>
      <c r="AE15" s="14" t="s">
        <v>4331</v>
      </c>
      <c r="AF15" s="14" t="s">
        <v>99</v>
      </c>
      <c r="AG15" s="14">
        <v>52.0</v>
      </c>
      <c r="AH15" s="14">
        <v>102.0</v>
      </c>
      <c r="AI15" s="14">
        <v>106.0</v>
      </c>
      <c r="AJ15" s="14">
        <v>5.0</v>
      </c>
      <c r="AK15" s="14">
        <v>167.0</v>
      </c>
      <c r="AL15" s="14" t="s">
        <v>341</v>
      </c>
      <c r="AM15" s="14" t="s">
        <v>342</v>
      </c>
      <c r="AN15" s="14" t="s">
        <v>343</v>
      </c>
      <c r="AO15" s="14" t="s">
        <v>1618</v>
      </c>
      <c r="AP15" s="14" t="s">
        <v>1619</v>
      </c>
      <c r="AQ15" s="14" t="s">
        <v>99</v>
      </c>
      <c r="AR15" s="14" t="s">
        <v>1620</v>
      </c>
      <c r="AS15" s="14" t="s">
        <v>1621</v>
      </c>
      <c r="AT15" s="14" t="s">
        <v>1485</v>
      </c>
      <c r="AU15" s="14">
        <v>2013.0</v>
      </c>
      <c r="AV15" s="14">
        <v>40.0</v>
      </c>
      <c r="AW15" s="14">
        <v>3.0</v>
      </c>
      <c r="AX15" s="14" t="s">
        <v>99</v>
      </c>
      <c r="AY15" s="14" t="s">
        <v>99</v>
      </c>
      <c r="AZ15" s="14" t="s">
        <v>99</v>
      </c>
      <c r="BA15" s="14" t="s">
        <v>99</v>
      </c>
      <c r="BB15" s="14">
        <v>534.0</v>
      </c>
      <c r="BC15" s="14">
        <v>547.0</v>
      </c>
      <c r="BD15" s="14" t="s">
        <v>99</v>
      </c>
      <c r="BE15" s="14" t="s">
        <v>4332</v>
      </c>
      <c r="BF15" s="15" t="str">
        <f>HYPERLINK("http://dx.doi.org/10.1111/jbi.12013","http://dx.doi.org/10.1111/jbi.12013")</f>
        <v>http://dx.doi.org/10.1111/jbi.12013</v>
      </c>
      <c r="BG15" s="14" t="s">
        <v>99</v>
      </c>
      <c r="BH15" s="14" t="s">
        <v>99</v>
      </c>
      <c r="BI15" s="14">
        <v>14.0</v>
      </c>
      <c r="BJ15" s="14" t="s">
        <v>869</v>
      </c>
      <c r="BK15" s="14" t="s">
        <v>122</v>
      </c>
      <c r="BL15" s="14" t="s">
        <v>870</v>
      </c>
      <c r="BM15" s="14" t="s">
        <v>4333</v>
      </c>
      <c r="BN15" s="14" t="s">
        <v>99</v>
      </c>
      <c r="BO15" s="14" t="s">
        <v>99</v>
      </c>
      <c r="BP15" s="14" t="s">
        <v>99</v>
      </c>
      <c r="BQ15" s="14" t="s">
        <v>99</v>
      </c>
      <c r="BR15" s="14" t="s">
        <v>124</v>
      </c>
      <c r="BS15" s="14" t="s">
        <v>4334</v>
      </c>
      <c r="BT15" s="14" t="str">
        <f>HYPERLINK("https%3A%2F%2Fwww.webofscience.com%2Fwos%2Fwoscc%2Ffull-record%2FWOS:000314922500011","View Full Record in Web of Science")</f>
        <v>View Full Record in Web of Science</v>
      </c>
    </row>
    <row r="16" ht="12.75" customHeight="1">
      <c r="A16" s="14" t="s">
        <v>97</v>
      </c>
      <c r="B16" s="14" t="s">
        <v>4335</v>
      </c>
      <c r="C16" s="14" t="s">
        <v>99</v>
      </c>
      <c r="D16" s="14" t="s">
        <v>99</v>
      </c>
      <c r="E16" s="14" t="s">
        <v>99</v>
      </c>
      <c r="F16" s="14" t="s">
        <v>4336</v>
      </c>
      <c r="G16" s="14" t="s">
        <v>99</v>
      </c>
      <c r="H16" s="14" t="s">
        <v>99</v>
      </c>
      <c r="I16" s="14" t="s">
        <v>4337</v>
      </c>
      <c r="J16" s="14" t="s">
        <v>328</v>
      </c>
      <c r="K16" s="14" t="s">
        <v>99</v>
      </c>
      <c r="L16" s="14" t="s">
        <v>99</v>
      </c>
      <c r="M16" s="14" t="s">
        <v>103</v>
      </c>
      <c r="N16" s="14" t="s">
        <v>104</v>
      </c>
      <c r="O16" s="14" t="s">
        <v>99</v>
      </c>
      <c r="P16" s="14" t="s">
        <v>99</v>
      </c>
      <c r="Q16" s="14" t="s">
        <v>99</v>
      </c>
      <c r="R16" s="14" t="s">
        <v>99</v>
      </c>
      <c r="S16" s="14" t="s">
        <v>99</v>
      </c>
      <c r="T16" s="14" t="s">
        <v>4338</v>
      </c>
      <c r="U16" s="14" t="s">
        <v>4339</v>
      </c>
      <c r="V16" s="14" t="s">
        <v>4340</v>
      </c>
      <c r="W16" s="14" t="s">
        <v>4341</v>
      </c>
      <c r="X16" s="14" t="s">
        <v>4342</v>
      </c>
      <c r="Y16" s="14" t="s">
        <v>4343</v>
      </c>
      <c r="Z16" s="14" t="s">
        <v>4344</v>
      </c>
      <c r="AA16" s="14" t="s">
        <v>4345</v>
      </c>
      <c r="AB16" s="14" t="s">
        <v>4346</v>
      </c>
      <c r="AC16" s="14" t="s">
        <v>4347</v>
      </c>
      <c r="AD16" s="14" t="s">
        <v>4348</v>
      </c>
      <c r="AE16" s="14" t="s">
        <v>4349</v>
      </c>
      <c r="AF16" s="14" t="s">
        <v>99</v>
      </c>
      <c r="AG16" s="14">
        <v>96.0</v>
      </c>
      <c r="AH16" s="14">
        <v>163.0</v>
      </c>
      <c r="AI16" s="14">
        <v>185.0</v>
      </c>
      <c r="AJ16" s="14">
        <v>3.0</v>
      </c>
      <c r="AK16" s="14">
        <v>293.0</v>
      </c>
      <c r="AL16" s="14" t="s">
        <v>341</v>
      </c>
      <c r="AM16" s="14" t="s">
        <v>342</v>
      </c>
      <c r="AN16" s="14" t="s">
        <v>343</v>
      </c>
      <c r="AO16" s="14" t="s">
        <v>344</v>
      </c>
      <c r="AP16" s="14" t="s">
        <v>345</v>
      </c>
      <c r="AQ16" s="14" t="s">
        <v>99</v>
      </c>
      <c r="AR16" s="14" t="s">
        <v>346</v>
      </c>
      <c r="AS16" s="14" t="s">
        <v>347</v>
      </c>
      <c r="AT16" s="14" t="s">
        <v>1485</v>
      </c>
      <c r="AU16" s="14">
        <v>2013.0</v>
      </c>
      <c r="AV16" s="14">
        <v>19.0</v>
      </c>
      <c r="AW16" s="14">
        <v>3.0</v>
      </c>
      <c r="AX16" s="14" t="s">
        <v>99</v>
      </c>
      <c r="AY16" s="14" t="s">
        <v>99</v>
      </c>
      <c r="AZ16" s="14" t="s">
        <v>99</v>
      </c>
      <c r="BA16" s="14" t="s">
        <v>99</v>
      </c>
      <c r="BB16" s="14">
        <v>752.0</v>
      </c>
      <c r="BC16" s="14">
        <v>762.0</v>
      </c>
      <c r="BD16" s="14" t="s">
        <v>99</v>
      </c>
      <c r="BE16" s="14" t="s">
        <v>4350</v>
      </c>
      <c r="BF16" s="15" t="str">
        <f>HYPERLINK("http://dx.doi.org/10.1111/gcb.12107","http://dx.doi.org/10.1111/gcb.12107")</f>
        <v>http://dx.doi.org/10.1111/gcb.12107</v>
      </c>
      <c r="BG16" s="14" t="s">
        <v>99</v>
      </c>
      <c r="BH16" s="14" t="s">
        <v>99</v>
      </c>
      <c r="BI16" s="14">
        <v>11.0</v>
      </c>
      <c r="BJ16" s="14" t="s">
        <v>351</v>
      </c>
      <c r="BK16" s="14" t="s">
        <v>122</v>
      </c>
      <c r="BL16" s="14" t="s">
        <v>352</v>
      </c>
      <c r="BM16" s="14" t="s">
        <v>4351</v>
      </c>
      <c r="BN16" s="14">
        <v>2.3504833E7</v>
      </c>
      <c r="BO16" s="14" t="s">
        <v>99</v>
      </c>
      <c r="BP16" s="14" t="s">
        <v>99</v>
      </c>
      <c r="BQ16" s="14" t="s">
        <v>99</v>
      </c>
      <c r="BR16" s="14" t="s">
        <v>124</v>
      </c>
      <c r="BS16" s="14" t="s">
        <v>4352</v>
      </c>
      <c r="BT16" s="14" t="str">
        <f>HYPERLINK("https%3A%2F%2Fwww.webofscience.com%2Fwos%2Fwoscc%2Ffull-record%2FWOS:000314219700008","View Full Record in Web of Science")</f>
        <v>View Full Record in Web of Science</v>
      </c>
    </row>
    <row r="17" ht="12.75" customHeight="1">
      <c r="A17" s="14" t="s">
        <v>97</v>
      </c>
      <c r="B17" s="14" t="s">
        <v>4428</v>
      </c>
      <c r="C17" s="14" t="s">
        <v>99</v>
      </c>
      <c r="D17" s="14" t="s">
        <v>99</v>
      </c>
      <c r="E17" s="14" t="s">
        <v>99</v>
      </c>
      <c r="F17" s="14" t="s">
        <v>4429</v>
      </c>
      <c r="G17" s="14" t="s">
        <v>99</v>
      </c>
      <c r="H17" s="14" t="s">
        <v>99</v>
      </c>
      <c r="I17" s="14" t="s">
        <v>4430</v>
      </c>
      <c r="J17" s="14" t="s">
        <v>2500</v>
      </c>
      <c r="K17" s="14" t="s">
        <v>99</v>
      </c>
      <c r="L17" s="14" t="s">
        <v>99</v>
      </c>
      <c r="M17" s="14" t="s">
        <v>103</v>
      </c>
      <c r="N17" s="14" t="s">
        <v>104</v>
      </c>
      <c r="O17" s="14" t="s">
        <v>99</v>
      </c>
      <c r="P17" s="14" t="s">
        <v>99</v>
      </c>
      <c r="Q17" s="14" t="s">
        <v>99</v>
      </c>
      <c r="R17" s="14" t="s">
        <v>99</v>
      </c>
      <c r="S17" s="14" t="s">
        <v>99</v>
      </c>
      <c r="T17" s="14" t="s">
        <v>99</v>
      </c>
      <c r="U17" s="14" t="s">
        <v>4431</v>
      </c>
      <c r="V17" s="14" t="s">
        <v>4432</v>
      </c>
      <c r="W17" s="14" t="s">
        <v>4433</v>
      </c>
      <c r="X17" s="14" t="s">
        <v>4434</v>
      </c>
      <c r="Y17" s="14" t="s">
        <v>4435</v>
      </c>
      <c r="Z17" s="14" t="s">
        <v>4436</v>
      </c>
      <c r="AA17" s="14" t="s">
        <v>4437</v>
      </c>
      <c r="AB17" s="14" t="s">
        <v>4438</v>
      </c>
      <c r="AC17" s="14" t="s">
        <v>4439</v>
      </c>
      <c r="AD17" s="14" t="s">
        <v>4440</v>
      </c>
      <c r="AE17" s="14" t="s">
        <v>4441</v>
      </c>
      <c r="AF17" s="14" t="s">
        <v>99</v>
      </c>
      <c r="AG17" s="14">
        <v>78.0</v>
      </c>
      <c r="AH17" s="14">
        <v>117.0</v>
      </c>
      <c r="AI17" s="14">
        <v>124.0</v>
      </c>
      <c r="AJ17" s="14">
        <v>3.0</v>
      </c>
      <c r="AK17" s="14">
        <v>262.0</v>
      </c>
      <c r="AL17" s="14" t="s">
        <v>2512</v>
      </c>
      <c r="AM17" s="14" t="s">
        <v>2513</v>
      </c>
      <c r="AN17" s="14" t="s">
        <v>2514</v>
      </c>
      <c r="AO17" s="14" t="s">
        <v>2515</v>
      </c>
      <c r="AP17" s="14" t="s">
        <v>99</v>
      </c>
      <c r="AQ17" s="14" t="s">
        <v>99</v>
      </c>
      <c r="AR17" s="14" t="s">
        <v>2500</v>
      </c>
      <c r="AS17" s="14" t="s">
        <v>2516</v>
      </c>
      <c r="AT17" s="14" t="s">
        <v>4442</v>
      </c>
      <c r="AU17" s="14">
        <v>2013.0</v>
      </c>
      <c r="AV17" s="14">
        <v>8.0</v>
      </c>
      <c r="AW17" s="14">
        <v>1.0</v>
      </c>
      <c r="AX17" s="14" t="s">
        <v>99</v>
      </c>
      <c r="AY17" s="14" t="s">
        <v>99</v>
      </c>
      <c r="AZ17" s="14" t="s">
        <v>99</v>
      </c>
      <c r="BA17" s="14" t="s">
        <v>99</v>
      </c>
      <c r="BB17" s="14" t="s">
        <v>99</v>
      </c>
      <c r="BC17" s="14" t="s">
        <v>99</v>
      </c>
      <c r="BD17" s="14" t="s">
        <v>4443</v>
      </c>
      <c r="BE17" s="14" t="s">
        <v>4444</v>
      </c>
      <c r="BF17" s="15" t="str">
        <f>HYPERLINK("http://dx.doi.org/10.1371/journal.pone.0054216","http://dx.doi.org/10.1371/journal.pone.0054216")</f>
        <v>http://dx.doi.org/10.1371/journal.pone.0054216</v>
      </c>
      <c r="BG17" s="14" t="s">
        <v>99</v>
      </c>
      <c r="BH17" s="14" t="s">
        <v>99</v>
      </c>
      <c r="BI17" s="14">
        <v>13.0</v>
      </c>
      <c r="BJ17" s="14" t="s">
        <v>799</v>
      </c>
      <c r="BK17" s="14" t="s">
        <v>122</v>
      </c>
      <c r="BL17" s="14" t="s">
        <v>801</v>
      </c>
      <c r="BM17" s="14" t="s">
        <v>4445</v>
      </c>
      <c r="BN17" s="14">
        <v>2.3349829E7</v>
      </c>
      <c r="BO17" s="14" t="s">
        <v>1251</v>
      </c>
      <c r="BP17" s="14" t="s">
        <v>99</v>
      </c>
      <c r="BQ17" s="14" t="s">
        <v>99</v>
      </c>
      <c r="BR17" s="14" t="s">
        <v>124</v>
      </c>
      <c r="BS17" s="14" t="s">
        <v>4446</v>
      </c>
      <c r="BT17" s="14" t="str">
        <f>HYPERLINK("https%3A%2F%2Fwww.webofscience.com%2Fwos%2Fwoscc%2Ffull-record%2FWOS:000314019100051","View Full Record in Web of Science")</f>
        <v>View Full Record in Web of Science</v>
      </c>
    </row>
    <row r="18" ht="12.75" customHeight="1">
      <c r="A18" s="14" t="s">
        <v>97</v>
      </c>
      <c r="B18" s="14" t="s">
        <v>4488</v>
      </c>
      <c r="C18" s="14" t="s">
        <v>99</v>
      </c>
      <c r="D18" s="14" t="s">
        <v>99</v>
      </c>
      <c r="E18" s="14" t="s">
        <v>99</v>
      </c>
      <c r="F18" s="14" t="s">
        <v>4489</v>
      </c>
      <c r="G18" s="14" t="s">
        <v>99</v>
      </c>
      <c r="H18" s="14" t="s">
        <v>99</v>
      </c>
      <c r="I18" s="14" t="s">
        <v>4490</v>
      </c>
      <c r="J18" s="14" t="s">
        <v>2500</v>
      </c>
      <c r="K18" s="14" t="s">
        <v>99</v>
      </c>
      <c r="L18" s="14" t="s">
        <v>99</v>
      </c>
      <c r="M18" s="14" t="s">
        <v>103</v>
      </c>
      <c r="N18" s="14" t="s">
        <v>104</v>
      </c>
      <c r="O18" s="14" t="s">
        <v>99</v>
      </c>
      <c r="P18" s="14" t="s">
        <v>99</v>
      </c>
      <c r="Q18" s="14" t="s">
        <v>99</v>
      </c>
      <c r="R18" s="14" t="s">
        <v>99</v>
      </c>
      <c r="S18" s="14" t="s">
        <v>99</v>
      </c>
      <c r="T18" s="14" t="s">
        <v>99</v>
      </c>
      <c r="U18" s="14" t="s">
        <v>4491</v>
      </c>
      <c r="V18" s="14" t="s">
        <v>4492</v>
      </c>
      <c r="W18" s="14" t="s">
        <v>4493</v>
      </c>
      <c r="X18" s="14" t="s">
        <v>4494</v>
      </c>
      <c r="Y18" s="14" t="s">
        <v>4495</v>
      </c>
      <c r="Z18" s="14" t="s">
        <v>4496</v>
      </c>
      <c r="AA18" s="14" t="s">
        <v>4497</v>
      </c>
      <c r="AB18" s="14" t="s">
        <v>4498</v>
      </c>
      <c r="AC18" s="14" t="s">
        <v>4499</v>
      </c>
      <c r="AD18" s="14" t="s">
        <v>4500</v>
      </c>
      <c r="AE18" s="14" t="s">
        <v>4501</v>
      </c>
      <c r="AF18" s="14" t="s">
        <v>99</v>
      </c>
      <c r="AG18" s="14">
        <v>40.0</v>
      </c>
      <c r="AH18" s="14">
        <v>61.0</v>
      </c>
      <c r="AI18" s="14">
        <v>68.0</v>
      </c>
      <c r="AJ18" s="14">
        <v>0.0</v>
      </c>
      <c r="AK18" s="14">
        <v>130.0</v>
      </c>
      <c r="AL18" s="14" t="s">
        <v>2512</v>
      </c>
      <c r="AM18" s="14" t="s">
        <v>2513</v>
      </c>
      <c r="AN18" s="14" t="s">
        <v>2514</v>
      </c>
      <c r="AO18" s="14" t="s">
        <v>2515</v>
      </c>
      <c r="AP18" s="14" t="s">
        <v>99</v>
      </c>
      <c r="AQ18" s="14" t="s">
        <v>99</v>
      </c>
      <c r="AR18" s="14" t="s">
        <v>2500</v>
      </c>
      <c r="AS18" s="14" t="s">
        <v>2516</v>
      </c>
      <c r="AT18" s="14" t="s">
        <v>4502</v>
      </c>
      <c r="AU18" s="14">
        <v>2012.0</v>
      </c>
      <c r="AV18" s="14">
        <v>7.0</v>
      </c>
      <c r="AW18" s="14">
        <v>12.0</v>
      </c>
      <c r="AX18" s="14" t="s">
        <v>99</v>
      </c>
      <c r="AY18" s="14" t="s">
        <v>99</v>
      </c>
      <c r="AZ18" s="14" t="s">
        <v>99</v>
      </c>
      <c r="BA18" s="14" t="s">
        <v>99</v>
      </c>
      <c r="BB18" s="14" t="s">
        <v>99</v>
      </c>
      <c r="BC18" s="14" t="s">
        <v>99</v>
      </c>
      <c r="BD18" s="14" t="s">
        <v>4503</v>
      </c>
      <c r="BE18" s="14" t="s">
        <v>4504</v>
      </c>
      <c r="BF18" s="15" t="str">
        <f>HYPERLINK("http://dx.doi.org/10.1371/journal.pone.0052574","http://dx.doi.org/10.1371/journal.pone.0052574")</f>
        <v>http://dx.doi.org/10.1371/journal.pone.0052574</v>
      </c>
      <c r="BG18" s="14" t="s">
        <v>99</v>
      </c>
      <c r="BH18" s="14" t="s">
        <v>99</v>
      </c>
      <c r="BI18" s="14">
        <v>11.0</v>
      </c>
      <c r="BJ18" s="14" t="s">
        <v>799</v>
      </c>
      <c r="BK18" s="14" t="s">
        <v>122</v>
      </c>
      <c r="BL18" s="14" t="s">
        <v>801</v>
      </c>
      <c r="BM18" s="14" t="s">
        <v>4505</v>
      </c>
      <c r="BN18" s="14">
        <v>2.3285098E7</v>
      </c>
      <c r="BO18" s="14" t="s">
        <v>1508</v>
      </c>
      <c r="BP18" s="14" t="s">
        <v>99</v>
      </c>
      <c r="BQ18" s="14" t="s">
        <v>99</v>
      </c>
      <c r="BR18" s="14" t="s">
        <v>124</v>
      </c>
      <c r="BS18" s="14" t="s">
        <v>4506</v>
      </c>
      <c r="BT18" s="14" t="str">
        <f>HYPERLINK("https%3A%2F%2Fwww.webofscience.com%2Fwos%2Fwoscc%2Ffull-record%2FWOS:000312794500202","View Full Record in Web of Science")</f>
        <v>View Full Record in Web of Science</v>
      </c>
    </row>
    <row r="19" ht="12.75" customHeight="1">
      <c r="A19" s="14" t="s">
        <v>97</v>
      </c>
      <c r="B19" s="14" t="s">
        <v>4755</v>
      </c>
      <c r="C19" s="14" t="s">
        <v>99</v>
      </c>
      <c r="D19" s="14" t="s">
        <v>99</v>
      </c>
      <c r="E19" s="14" t="s">
        <v>99</v>
      </c>
      <c r="F19" s="14" t="s">
        <v>4756</v>
      </c>
      <c r="G19" s="14" t="s">
        <v>99</v>
      </c>
      <c r="H19" s="14" t="s">
        <v>99</v>
      </c>
      <c r="I19" s="14" t="s">
        <v>4757</v>
      </c>
      <c r="J19" s="14" t="s">
        <v>2793</v>
      </c>
      <c r="K19" s="14" t="s">
        <v>99</v>
      </c>
      <c r="L19" s="14" t="s">
        <v>99</v>
      </c>
      <c r="M19" s="14" t="s">
        <v>103</v>
      </c>
      <c r="N19" s="14" t="s">
        <v>104</v>
      </c>
      <c r="O19" s="14" t="s">
        <v>99</v>
      </c>
      <c r="P19" s="14" t="s">
        <v>99</v>
      </c>
      <c r="Q19" s="14" t="s">
        <v>99</v>
      </c>
      <c r="R19" s="14" t="s">
        <v>99</v>
      </c>
      <c r="S19" s="14" t="s">
        <v>99</v>
      </c>
      <c r="T19" s="14" t="s">
        <v>99</v>
      </c>
      <c r="U19" s="14" t="s">
        <v>4758</v>
      </c>
      <c r="V19" s="14" t="s">
        <v>4759</v>
      </c>
      <c r="W19" s="14" t="s">
        <v>4760</v>
      </c>
      <c r="X19" s="14" t="s">
        <v>4761</v>
      </c>
      <c r="Y19" s="14" t="s">
        <v>4762</v>
      </c>
      <c r="Z19" s="14" t="s">
        <v>4763</v>
      </c>
      <c r="AA19" s="14" t="s">
        <v>4764</v>
      </c>
      <c r="AB19" s="14" t="s">
        <v>4765</v>
      </c>
      <c r="AC19" s="14" t="s">
        <v>4766</v>
      </c>
      <c r="AD19" s="14" t="s">
        <v>4767</v>
      </c>
      <c r="AE19" s="14" t="s">
        <v>4768</v>
      </c>
      <c r="AF19" s="14" t="s">
        <v>99</v>
      </c>
      <c r="AG19" s="14">
        <v>30.0</v>
      </c>
      <c r="AH19" s="14">
        <v>628.0</v>
      </c>
      <c r="AI19" s="14">
        <v>692.0</v>
      </c>
      <c r="AJ19" s="14">
        <v>9.0</v>
      </c>
      <c r="AK19" s="14">
        <v>491.0</v>
      </c>
      <c r="AL19" s="14" t="s">
        <v>1326</v>
      </c>
      <c r="AM19" s="14" t="s">
        <v>274</v>
      </c>
      <c r="AN19" s="14" t="s">
        <v>1327</v>
      </c>
      <c r="AO19" s="14" t="s">
        <v>2805</v>
      </c>
      <c r="AP19" s="14" t="s">
        <v>2806</v>
      </c>
      <c r="AQ19" s="14" t="s">
        <v>99</v>
      </c>
      <c r="AR19" s="14" t="s">
        <v>2807</v>
      </c>
      <c r="AS19" s="14" t="s">
        <v>2808</v>
      </c>
      <c r="AT19" s="14" t="s">
        <v>474</v>
      </c>
      <c r="AU19" s="14">
        <v>2012.0</v>
      </c>
      <c r="AV19" s="14">
        <v>2.0</v>
      </c>
      <c r="AW19" s="14">
        <v>8.0</v>
      </c>
      <c r="AX19" s="14" t="s">
        <v>99</v>
      </c>
      <c r="AY19" s="14" t="s">
        <v>99</v>
      </c>
      <c r="AZ19" s="14" t="s">
        <v>99</v>
      </c>
      <c r="BA19" s="14" t="s">
        <v>99</v>
      </c>
      <c r="BB19" s="14">
        <v>619.0</v>
      </c>
      <c r="BC19" s="14">
        <v>622.0</v>
      </c>
      <c r="BD19" s="14" t="s">
        <v>99</v>
      </c>
      <c r="BE19" s="14" t="s">
        <v>4769</v>
      </c>
      <c r="BF19" s="15" t="str">
        <f>HYPERLINK("http://dx.doi.org/10.1038/NCLIMATE1514","http://dx.doi.org/10.1038/NCLIMATE1514")</f>
        <v>http://dx.doi.org/10.1038/NCLIMATE1514</v>
      </c>
      <c r="BG19" s="14" t="s">
        <v>99</v>
      </c>
      <c r="BH19" s="14" t="s">
        <v>99</v>
      </c>
      <c r="BI19" s="14">
        <v>4.0</v>
      </c>
      <c r="BJ19" s="14" t="s">
        <v>2810</v>
      </c>
      <c r="BK19" s="14" t="s">
        <v>800</v>
      </c>
      <c r="BL19" s="14" t="s">
        <v>574</v>
      </c>
      <c r="BM19" s="14" t="s">
        <v>4770</v>
      </c>
      <c r="BN19" s="14" t="s">
        <v>99</v>
      </c>
      <c r="BO19" s="14" t="s">
        <v>99</v>
      </c>
      <c r="BP19" s="14" t="s">
        <v>99</v>
      </c>
      <c r="BQ19" s="14" t="s">
        <v>99</v>
      </c>
      <c r="BR19" s="14" t="s">
        <v>124</v>
      </c>
      <c r="BS19" s="14" t="s">
        <v>4771</v>
      </c>
      <c r="BT19" s="14" t="str">
        <f>HYPERLINK("https%3A%2F%2Fwww.webofscience.com%2Fwos%2Fwoscc%2Ffull-record%2FWOS:000307369300020","View Full Record in Web of Science")</f>
        <v>View Full Record in Web of Science</v>
      </c>
    </row>
    <row r="20" ht="12.75" customHeight="1">
      <c r="A20" s="14" t="s">
        <v>97</v>
      </c>
      <c r="B20" s="14" t="s">
        <v>4891</v>
      </c>
      <c r="C20" s="14" t="s">
        <v>99</v>
      </c>
      <c r="D20" s="14" t="s">
        <v>99</v>
      </c>
      <c r="E20" s="14" t="s">
        <v>99</v>
      </c>
      <c r="F20" s="14" t="s">
        <v>4892</v>
      </c>
      <c r="G20" s="14" t="s">
        <v>99</v>
      </c>
      <c r="H20" s="14" t="s">
        <v>99</v>
      </c>
      <c r="I20" s="14" t="s">
        <v>4893</v>
      </c>
      <c r="J20" s="14" t="s">
        <v>328</v>
      </c>
      <c r="K20" s="14" t="s">
        <v>99</v>
      </c>
      <c r="L20" s="14" t="s">
        <v>99</v>
      </c>
      <c r="M20" s="14" t="s">
        <v>103</v>
      </c>
      <c r="N20" s="14" t="s">
        <v>104</v>
      </c>
      <c r="O20" s="14" t="s">
        <v>99</v>
      </c>
      <c r="P20" s="14" t="s">
        <v>99</v>
      </c>
      <c r="Q20" s="14" t="s">
        <v>99</v>
      </c>
      <c r="R20" s="14" t="s">
        <v>99</v>
      </c>
      <c r="S20" s="14" t="s">
        <v>99</v>
      </c>
      <c r="T20" s="14" t="s">
        <v>4894</v>
      </c>
      <c r="U20" s="14" t="s">
        <v>4895</v>
      </c>
      <c r="V20" s="14" t="s">
        <v>4896</v>
      </c>
      <c r="W20" s="14" t="s">
        <v>4897</v>
      </c>
      <c r="X20" s="14" t="s">
        <v>4898</v>
      </c>
      <c r="Y20" s="14" t="s">
        <v>4899</v>
      </c>
      <c r="Z20" s="14" t="s">
        <v>4900</v>
      </c>
      <c r="AA20" s="14" t="s">
        <v>4901</v>
      </c>
      <c r="AB20" s="14" t="s">
        <v>4902</v>
      </c>
      <c r="AC20" s="14" t="s">
        <v>4903</v>
      </c>
      <c r="AD20" s="14" t="s">
        <v>4904</v>
      </c>
      <c r="AE20" s="14" t="s">
        <v>4905</v>
      </c>
      <c r="AF20" s="14" t="s">
        <v>99</v>
      </c>
      <c r="AG20" s="14">
        <v>66.0</v>
      </c>
      <c r="AH20" s="14">
        <v>63.0</v>
      </c>
      <c r="AI20" s="14">
        <v>75.0</v>
      </c>
      <c r="AJ20" s="14">
        <v>0.0</v>
      </c>
      <c r="AK20" s="14">
        <v>110.0</v>
      </c>
      <c r="AL20" s="14" t="s">
        <v>341</v>
      </c>
      <c r="AM20" s="14" t="s">
        <v>342</v>
      </c>
      <c r="AN20" s="14" t="s">
        <v>343</v>
      </c>
      <c r="AO20" s="14" t="s">
        <v>344</v>
      </c>
      <c r="AP20" s="14" t="s">
        <v>345</v>
      </c>
      <c r="AQ20" s="14" t="s">
        <v>99</v>
      </c>
      <c r="AR20" s="14" t="s">
        <v>346</v>
      </c>
      <c r="AS20" s="14" t="s">
        <v>347</v>
      </c>
      <c r="AT20" s="14" t="s">
        <v>616</v>
      </c>
      <c r="AU20" s="14">
        <v>2012.0</v>
      </c>
      <c r="AV20" s="14">
        <v>18.0</v>
      </c>
      <c r="AW20" s="14">
        <v>6.0</v>
      </c>
      <c r="AX20" s="14" t="s">
        <v>99</v>
      </c>
      <c r="AY20" s="14" t="s">
        <v>99</v>
      </c>
      <c r="AZ20" s="14" t="s">
        <v>99</v>
      </c>
      <c r="BA20" s="14" t="s">
        <v>99</v>
      </c>
      <c r="BB20" s="14">
        <v>1854.0</v>
      </c>
      <c r="BC20" s="14">
        <v>1865.0</v>
      </c>
      <c r="BD20" s="14" t="s">
        <v>99</v>
      </c>
      <c r="BE20" s="14" t="s">
        <v>4906</v>
      </c>
      <c r="BF20" s="15" t="str">
        <f>HYPERLINK("http://dx.doi.org/10.1111/j.1365-2486.2012.02641.x","http://dx.doi.org/10.1111/j.1365-2486.2012.02641.x")</f>
        <v>http://dx.doi.org/10.1111/j.1365-2486.2012.02641.x</v>
      </c>
      <c r="BG20" s="14" t="s">
        <v>99</v>
      </c>
      <c r="BH20" s="14" t="s">
        <v>99</v>
      </c>
      <c r="BI20" s="14">
        <v>12.0</v>
      </c>
      <c r="BJ20" s="14" t="s">
        <v>351</v>
      </c>
      <c r="BK20" s="14" t="s">
        <v>122</v>
      </c>
      <c r="BL20" s="14" t="s">
        <v>352</v>
      </c>
      <c r="BM20" s="14" t="s">
        <v>4907</v>
      </c>
      <c r="BN20" s="14" t="s">
        <v>99</v>
      </c>
      <c r="BO20" s="14" t="s">
        <v>99</v>
      </c>
      <c r="BP20" s="14" t="s">
        <v>99</v>
      </c>
      <c r="BQ20" s="14" t="s">
        <v>99</v>
      </c>
      <c r="BR20" s="14" t="s">
        <v>124</v>
      </c>
      <c r="BS20" s="14" t="s">
        <v>4908</v>
      </c>
      <c r="BT20" s="14" t="str">
        <f>HYPERLINK("https%3A%2F%2Fwww.webofscience.com%2Fwos%2Fwoscc%2Ffull-record%2FWOS:000303763600008","View Full Record in Web of Science")</f>
        <v>View Full Record in Web of Science</v>
      </c>
    </row>
    <row r="21" ht="12.75" customHeight="1">
      <c r="A21" s="14" t="s">
        <v>97</v>
      </c>
      <c r="B21" s="14" t="s">
        <v>4968</v>
      </c>
      <c r="C21" s="14" t="s">
        <v>99</v>
      </c>
      <c r="D21" s="14" t="s">
        <v>99</v>
      </c>
      <c r="E21" s="14" t="s">
        <v>99</v>
      </c>
      <c r="F21" s="14" t="s">
        <v>4969</v>
      </c>
      <c r="G21" s="14" t="s">
        <v>99</v>
      </c>
      <c r="H21" s="14" t="s">
        <v>99</v>
      </c>
      <c r="I21" s="14" t="s">
        <v>4970</v>
      </c>
      <c r="J21" s="14" t="s">
        <v>776</v>
      </c>
      <c r="K21" s="14" t="s">
        <v>99</v>
      </c>
      <c r="L21" s="14" t="s">
        <v>99</v>
      </c>
      <c r="M21" s="14" t="s">
        <v>103</v>
      </c>
      <c r="N21" s="14" t="s">
        <v>104</v>
      </c>
      <c r="O21" s="14" t="s">
        <v>99</v>
      </c>
      <c r="P21" s="14" t="s">
        <v>99</v>
      </c>
      <c r="Q21" s="14" t="s">
        <v>99</v>
      </c>
      <c r="R21" s="14" t="s">
        <v>99</v>
      </c>
      <c r="S21" s="14" t="s">
        <v>99</v>
      </c>
      <c r="T21" s="14" t="s">
        <v>99</v>
      </c>
      <c r="U21" s="14" t="s">
        <v>4971</v>
      </c>
      <c r="V21" s="14" t="s">
        <v>4972</v>
      </c>
      <c r="W21" s="14" t="s">
        <v>4973</v>
      </c>
      <c r="X21" s="14" t="s">
        <v>4974</v>
      </c>
      <c r="Y21" s="14" t="s">
        <v>4975</v>
      </c>
      <c r="Z21" s="14" t="s">
        <v>4976</v>
      </c>
      <c r="AA21" s="14" t="s">
        <v>99</v>
      </c>
      <c r="AB21" s="14" t="s">
        <v>4977</v>
      </c>
      <c r="AC21" s="14" t="s">
        <v>99</v>
      </c>
      <c r="AD21" s="14" t="s">
        <v>99</v>
      </c>
      <c r="AE21" s="14" t="s">
        <v>99</v>
      </c>
      <c r="AF21" s="14" t="s">
        <v>99</v>
      </c>
      <c r="AG21" s="14">
        <v>35.0</v>
      </c>
      <c r="AH21" s="14">
        <v>464.0</v>
      </c>
      <c r="AI21" s="14">
        <v>531.0</v>
      </c>
      <c r="AJ21" s="14">
        <v>3.0</v>
      </c>
      <c r="AK21" s="14">
        <v>225.0</v>
      </c>
      <c r="AL21" s="14" t="s">
        <v>788</v>
      </c>
      <c r="AM21" s="14" t="s">
        <v>789</v>
      </c>
      <c r="AN21" s="14" t="s">
        <v>790</v>
      </c>
      <c r="AO21" s="14" t="s">
        <v>791</v>
      </c>
      <c r="AP21" s="14" t="s">
        <v>792</v>
      </c>
      <c r="AQ21" s="14" t="s">
        <v>99</v>
      </c>
      <c r="AR21" s="14" t="s">
        <v>793</v>
      </c>
      <c r="AS21" s="14" t="s">
        <v>794</v>
      </c>
      <c r="AT21" s="14" t="s">
        <v>4978</v>
      </c>
      <c r="AU21" s="14">
        <v>2012.0</v>
      </c>
      <c r="AV21" s="14">
        <v>109.0</v>
      </c>
      <c r="AW21" s="14">
        <v>22.0</v>
      </c>
      <c r="AX21" s="14" t="s">
        <v>99</v>
      </c>
      <c r="AY21" s="14" t="s">
        <v>99</v>
      </c>
      <c r="AZ21" s="14" t="s">
        <v>99</v>
      </c>
      <c r="BA21" s="14" t="s">
        <v>99</v>
      </c>
      <c r="BB21" s="14">
        <v>8606.0</v>
      </c>
      <c r="BC21" s="14">
        <v>8611.0</v>
      </c>
      <c r="BD21" s="14" t="s">
        <v>99</v>
      </c>
      <c r="BE21" s="14" t="s">
        <v>4979</v>
      </c>
      <c r="BF21" s="15" t="str">
        <f>HYPERLINK("http://dx.doi.org/10.1073/pnas.1116791109","http://dx.doi.org/10.1073/pnas.1116791109")</f>
        <v>http://dx.doi.org/10.1073/pnas.1116791109</v>
      </c>
      <c r="BG21" s="14" t="s">
        <v>99</v>
      </c>
      <c r="BH21" s="14" t="s">
        <v>99</v>
      </c>
      <c r="BI21" s="14">
        <v>6.0</v>
      </c>
      <c r="BJ21" s="14" t="s">
        <v>799</v>
      </c>
      <c r="BK21" s="14" t="s">
        <v>122</v>
      </c>
      <c r="BL21" s="14" t="s">
        <v>801</v>
      </c>
      <c r="BM21" s="14" t="s">
        <v>4980</v>
      </c>
      <c r="BN21" s="14">
        <v>2.2586104E7</v>
      </c>
      <c r="BO21" s="14" t="s">
        <v>4981</v>
      </c>
      <c r="BP21" s="14" t="s">
        <v>99</v>
      </c>
      <c r="BQ21" s="14" t="s">
        <v>99</v>
      </c>
      <c r="BR21" s="14" t="s">
        <v>124</v>
      </c>
      <c r="BS21" s="14" t="s">
        <v>4982</v>
      </c>
      <c r="BT21" s="14" t="str">
        <f>HYPERLINK("https%3A%2F%2Fwww.webofscience.com%2Fwos%2Fwoscc%2Ffull-record%2FWOS:000304881700053","View Full Record in Web of Science")</f>
        <v>View Full Record in Web of Science</v>
      </c>
    </row>
    <row r="22" ht="12.75" customHeight="1">
      <c r="A22" s="14" t="s">
        <v>97</v>
      </c>
      <c r="B22" s="14" t="s">
        <v>4983</v>
      </c>
      <c r="C22" s="14" t="s">
        <v>99</v>
      </c>
      <c r="D22" s="14" t="s">
        <v>99</v>
      </c>
      <c r="E22" s="14" t="s">
        <v>99</v>
      </c>
      <c r="F22" s="14" t="s">
        <v>4984</v>
      </c>
      <c r="G22" s="14" t="s">
        <v>99</v>
      </c>
      <c r="H22" s="14" t="s">
        <v>99</v>
      </c>
      <c r="I22" s="14" t="s">
        <v>4985</v>
      </c>
      <c r="J22" s="14" t="s">
        <v>328</v>
      </c>
      <c r="K22" s="14" t="s">
        <v>99</v>
      </c>
      <c r="L22" s="14" t="s">
        <v>99</v>
      </c>
      <c r="M22" s="14" t="s">
        <v>103</v>
      </c>
      <c r="N22" s="14" t="s">
        <v>104</v>
      </c>
      <c r="O22" s="14" t="s">
        <v>99</v>
      </c>
      <c r="P22" s="14" t="s">
        <v>99</v>
      </c>
      <c r="Q22" s="14" t="s">
        <v>99</v>
      </c>
      <c r="R22" s="14" t="s">
        <v>99</v>
      </c>
      <c r="S22" s="14" t="s">
        <v>99</v>
      </c>
      <c r="T22" s="14" t="s">
        <v>4986</v>
      </c>
      <c r="U22" s="14" t="s">
        <v>4987</v>
      </c>
      <c r="V22" s="14" t="s">
        <v>4988</v>
      </c>
      <c r="W22" s="14" t="s">
        <v>4989</v>
      </c>
      <c r="X22" s="14" t="s">
        <v>4990</v>
      </c>
      <c r="Y22" s="14" t="s">
        <v>4991</v>
      </c>
      <c r="Z22" s="14" t="s">
        <v>4992</v>
      </c>
      <c r="AA22" s="14" t="s">
        <v>4993</v>
      </c>
      <c r="AB22" s="14" t="s">
        <v>4994</v>
      </c>
      <c r="AC22" s="14" t="s">
        <v>99</v>
      </c>
      <c r="AD22" s="14" t="s">
        <v>99</v>
      </c>
      <c r="AE22" s="14" t="s">
        <v>99</v>
      </c>
      <c r="AF22" s="14" t="s">
        <v>99</v>
      </c>
      <c r="AG22" s="14">
        <v>75.0</v>
      </c>
      <c r="AH22" s="14">
        <v>114.0</v>
      </c>
      <c r="AI22" s="14">
        <v>127.0</v>
      </c>
      <c r="AJ22" s="14">
        <v>4.0</v>
      </c>
      <c r="AK22" s="14">
        <v>183.0</v>
      </c>
      <c r="AL22" s="14" t="s">
        <v>341</v>
      </c>
      <c r="AM22" s="14" t="s">
        <v>342</v>
      </c>
      <c r="AN22" s="14" t="s">
        <v>343</v>
      </c>
      <c r="AO22" s="14" t="s">
        <v>344</v>
      </c>
      <c r="AP22" s="14" t="s">
        <v>345</v>
      </c>
      <c r="AQ22" s="14" t="s">
        <v>99</v>
      </c>
      <c r="AR22" s="14" t="s">
        <v>346</v>
      </c>
      <c r="AS22" s="14" t="s">
        <v>347</v>
      </c>
      <c r="AT22" s="14" t="s">
        <v>640</v>
      </c>
      <c r="AU22" s="14">
        <v>2012.0</v>
      </c>
      <c r="AV22" s="14">
        <v>18.0</v>
      </c>
      <c r="AW22" s="14">
        <v>5.0</v>
      </c>
      <c r="AX22" s="14" t="s">
        <v>99</v>
      </c>
      <c r="AY22" s="14" t="s">
        <v>99</v>
      </c>
      <c r="AZ22" s="14" t="s">
        <v>99</v>
      </c>
      <c r="BA22" s="14" t="s">
        <v>99</v>
      </c>
      <c r="BB22" s="14">
        <v>1520.0</v>
      </c>
      <c r="BC22" s="14">
        <v>1530.0</v>
      </c>
      <c r="BD22" s="14" t="s">
        <v>99</v>
      </c>
      <c r="BE22" s="14" t="s">
        <v>4995</v>
      </c>
      <c r="BF22" s="15" t="str">
        <f>HYPERLINK("http://dx.doi.org/10.1111/j.1365-2486.2011.02623.x","http://dx.doi.org/10.1111/j.1365-2486.2011.02623.x")</f>
        <v>http://dx.doi.org/10.1111/j.1365-2486.2011.02623.x</v>
      </c>
      <c r="BG22" s="14" t="s">
        <v>99</v>
      </c>
      <c r="BH22" s="14" t="s">
        <v>99</v>
      </c>
      <c r="BI22" s="14">
        <v>11.0</v>
      </c>
      <c r="BJ22" s="14" t="s">
        <v>351</v>
      </c>
      <c r="BK22" s="14" t="s">
        <v>122</v>
      </c>
      <c r="BL22" s="14" t="s">
        <v>352</v>
      </c>
      <c r="BM22" s="14" t="s">
        <v>4996</v>
      </c>
      <c r="BN22" s="14" t="s">
        <v>99</v>
      </c>
      <c r="BO22" s="14" t="s">
        <v>99</v>
      </c>
      <c r="BP22" s="14" t="s">
        <v>99</v>
      </c>
      <c r="BQ22" s="14" t="s">
        <v>99</v>
      </c>
      <c r="BR22" s="14" t="s">
        <v>124</v>
      </c>
      <c r="BS22" s="14" t="s">
        <v>4997</v>
      </c>
      <c r="BT22" s="14" t="str">
        <f>HYPERLINK("https%3A%2F%2Fwww.webofscience.com%2Fwos%2Fwoscc%2Ffull-record%2FWOS:000302543500005","View Full Record in Web of Science")</f>
        <v>View Full Record in Web of Science</v>
      </c>
    </row>
    <row r="23" ht="12.75" customHeight="1">
      <c r="A23" s="14" t="s">
        <v>97</v>
      </c>
      <c r="B23" s="14" t="s">
        <v>5017</v>
      </c>
      <c r="C23" s="14" t="s">
        <v>99</v>
      </c>
      <c r="D23" s="14" t="s">
        <v>99</v>
      </c>
      <c r="E23" s="14" t="s">
        <v>99</v>
      </c>
      <c r="F23" s="14" t="s">
        <v>5018</v>
      </c>
      <c r="G23" s="14" t="s">
        <v>99</v>
      </c>
      <c r="H23" s="14" t="s">
        <v>99</v>
      </c>
      <c r="I23" s="14" t="s">
        <v>5019</v>
      </c>
      <c r="J23" s="14" t="s">
        <v>328</v>
      </c>
      <c r="K23" s="14" t="s">
        <v>99</v>
      </c>
      <c r="L23" s="14" t="s">
        <v>99</v>
      </c>
      <c r="M23" s="14" t="s">
        <v>103</v>
      </c>
      <c r="N23" s="14" t="s">
        <v>104</v>
      </c>
      <c r="O23" s="14" t="s">
        <v>99</v>
      </c>
      <c r="P23" s="14" t="s">
        <v>99</v>
      </c>
      <c r="Q23" s="14" t="s">
        <v>99</v>
      </c>
      <c r="R23" s="14" t="s">
        <v>99</v>
      </c>
      <c r="S23" s="14" t="s">
        <v>99</v>
      </c>
      <c r="T23" s="14" t="s">
        <v>5020</v>
      </c>
      <c r="U23" s="14" t="s">
        <v>5021</v>
      </c>
      <c r="V23" s="14" t="s">
        <v>5022</v>
      </c>
      <c r="W23" s="14" t="s">
        <v>5023</v>
      </c>
      <c r="X23" s="14" t="s">
        <v>5024</v>
      </c>
      <c r="Y23" s="14" t="s">
        <v>5025</v>
      </c>
      <c r="Z23" s="14" t="s">
        <v>3717</v>
      </c>
      <c r="AA23" s="14" t="s">
        <v>5026</v>
      </c>
      <c r="AB23" s="14" t="s">
        <v>5027</v>
      </c>
      <c r="AC23" s="14" t="s">
        <v>5028</v>
      </c>
      <c r="AD23" s="14" t="s">
        <v>5029</v>
      </c>
      <c r="AE23" s="14" t="s">
        <v>5030</v>
      </c>
      <c r="AF23" s="14" t="s">
        <v>99</v>
      </c>
      <c r="AG23" s="14">
        <v>63.0</v>
      </c>
      <c r="AH23" s="14">
        <v>194.0</v>
      </c>
      <c r="AI23" s="14">
        <v>232.0</v>
      </c>
      <c r="AJ23" s="14">
        <v>2.0</v>
      </c>
      <c r="AK23" s="14">
        <v>255.0</v>
      </c>
      <c r="AL23" s="14" t="s">
        <v>341</v>
      </c>
      <c r="AM23" s="14" t="s">
        <v>342</v>
      </c>
      <c r="AN23" s="14" t="s">
        <v>343</v>
      </c>
      <c r="AO23" s="14" t="s">
        <v>344</v>
      </c>
      <c r="AP23" s="14" t="s">
        <v>345</v>
      </c>
      <c r="AQ23" s="14" t="s">
        <v>99</v>
      </c>
      <c r="AR23" s="14" t="s">
        <v>346</v>
      </c>
      <c r="AS23" s="14" t="s">
        <v>347</v>
      </c>
      <c r="AT23" s="14" t="s">
        <v>718</v>
      </c>
      <c r="AU23" s="14">
        <v>2012.0</v>
      </c>
      <c r="AV23" s="14">
        <v>18.0</v>
      </c>
      <c r="AW23" s="14">
        <v>4.0</v>
      </c>
      <c r="AX23" s="14" t="s">
        <v>99</v>
      </c>
      <c r="AY23" s="14" t="s">
        <v>99</v>
      </c>
      <c r="AZ23" s="14" t="s">
        <v>99</v>
      </c>
      <c r="BA23" s="14" t="s">
        <v>99</v>
      </c>
      <c r="BB23" s="14">
        <v>1357.0</v>
      </c>
      <c r="BC23" s="14">
        <v>1371.0</v>
      </c>
      <c r="BD23" s="14" t="s">
        <v>99</v>
      </c>
      <c r="BE23" s="14" t="s">
        <v>5031</v>
      </c>
      <c r="BF23" s="15" t="str">
        <f>HYPERLINK("http://dx.doi.org/10.1111/j.1365-2486.2011.02614.x","http://dx.doi.org/10.1111/j.1365-2486.2011.02614.x")</f>
        <v>http://dx.doi.org/10.1111/j.1365-2486.2011.02614.x</v>
      </c>
      <c r="BG23" s="14" t="s">
        <v>99</v>
      </c>
      <c r="BH23" s="14" t="s">
        <v>99</v>
      </c>
      <c r="BI23" s="14">
        <v>15.0</v>
      </c>
      <c r="BJ23" s="14" t="s">
        <v>351</v>
      </c>
      <c r="BK23" s="14" t="s">
        <v>122</v>
      </c>
      <c r="BL23" s="14" t="s">
        <v>352</v>
      </c>
      <c r="BM23" s="14" t="s">
        <v>5032</v>
      </c>
      <c r="BN23" s="14" t="s">
        <v>99</v>
      </c>
      <c r="BO23" s="14" t="s">
        <v>99</v>
      </c>
      <c r="BP23" s="14" t="s">
        <v>99</v>
      </c>
      <c r="BQ23" s="14" t="s">
        <v>99</v>
      </c>
      <c r="BR23" s="14" t="s">
        <v>124</v>
      </c>
      <c r="BS23" s="14" t="s">
        <v>5033</v>
      </c>
      <c r="BT23" s="14" t="str">
        <f>HYPERLINK("https%3A%2F%2Fwww.webofscience.com%2Fwos%2Fwoscc%2Ffull-record%2FWOS:000301533100013","View Full Record in Web of Science")</f>
        <v>View Full Record in Web of Science</v>
      </c>
    </row>
    <row r="24" ht="12.75" customHeight="1">
      <c r="A24" s="14" t="s">
        <v>97</v>
      </c>
      <c r="B24" s="14" t="s">
        <v>5052</v>
      </c>
      <c r="C24" s="14" t="s">
        <v>99</v>
      </c>
      <c r="D24" s="14" t="s">
        <v>99</v>
      </c>
      <c r="E24" s="14" t="s">
        <v>99</v>
      </c>
      <c r="F24" s="14" t="s">
        <v>5053</v>
      </c>
      <c r="G24" s="14" t="s">
        <v>99</v>
      </c>
      <c r="H24" s="14" t="s">
        <v>99</v>
      </c>
      <c r="I24" s="14" t="s">
        <v>5054</v>
      </c>
      <c r="J24" s="14" t="s">
        <v>2500</v>
      </c>
      <c r="K24" s="14" t="s">
        <v>99</v>
      </c>
      <c r="L24" s="14" t="s">
        <v>99</v>
      </c>
      <c r="M24" s="14" t="s">
        <v>103</v>
      </c>
      <c r="N24" s="14" t="s">
        <v>104</v>
      </c>
      <c r="O24" s="14" t="s">
        <v>99</v>
      </c>
      <c r="P24" s="14" t="s">
        <v>99</v>
      </c>
      <c r="Q24" s="14" t="s">
        <v>99</v>
      </c>
      <c r="R24" s="14" t="s">
        <v>99</v>
      </c>
      <c r="S24" s="14" t="s">
        <v>99</v>
      </c>
      <c r="T24" s="14" t="s">
        <v>99</v>
      </c>
      <c r="U24" s="14" t="s">
        <v>5055</v>
      </c>
      <c r="V24" s="14" t="s">
        <v>5056</v>
      </c>
      <c r="W24" s="14" t="s">
        <v>5057</v>
      </c>
      <c r="X24" s="14" t="s">
        <v>99</v>
      </c>
      <c r="Y24" s="14" t="s">
        <v>5058</v>
      </c>
      <c r="Z24" s="14" t="s">
        <v>5059</v>
      </c>
      <c r="AA24" s="14" t="s">
        <v>99</v>
      </c>
      <c r="AB24" s="14" t="s">
        <v>99</v>
      </c>
      <c r="AC24" s="14" t="s">
        <v>99</v>
      </c>
      <c r="AD24" s="14" t="s">
        <v>99</v>
      </c>
      <c r="AE24" s="14" t="s">
        <v>99</v>
      </c>
      <c r="AF24" s="14" t="s">
        <v>99</v>
      </c>
      <c r="AG24" s="14">
        <v>55.0</v>
      </c>
      <c r="AH24" s="14">
        <v>99.0</v>
      </c>
      <c r="AI24" s="14">
        <v>118.0</v>
      </c>
      <c r="AJ24" s="14">
        <v>1.0</v>
      </c>
      <c r="AK24" s="14">
        <v>102.0</v>
      </c>
      <c r="AL24" s="14" t="s">
        <v>2512</v>
      </c>
      <c r="AM24" s="14" t="s">
        <v>2513</v>
      </c>
      <c r="AN24" s="14" t="s">
        <v>2514</v>
      </c>
      <c r="AO24" s="14" t="s">
        <v>2515</v>
      </c>
      <c r="AP24" s="14" t="s">
        <v>99</v>
      </c>
      <c r="AQ24" s="14" t="s">
        <v>99</v>
      </c>
      <c r="AR24" s="14" t="s">
        <v>2500</v>
      </c>
      <c r="AS24" s="14" t="s">
        <v>2516</v>
      </c>
      <c r="AT24" s="14" t="s">
        <v>5060</v>
      </c>
      <c r="AU24" s="14">
        <v>2012.0</v>
      </c>
      <c r="AV24" s="14">
        <v>7.0</v>
      </c>
      <c r="AW24" s="14">
        <v>3.0</v>
      </c>
      <c r="AX24" s="14" t="s">
        <v>99</v>
      </c>
      <c r="AY24" s="14" t="s">
        <v>99</v>
      </c>
      <c r="AZ24" s="14" t="s">
        <v>99</v>
      </c>
      <c r="BA24" s="14" t="s">
        <v>99</v>
      </c>
      <c r="BB24" s="14" t="s">
        <v>99</v>
      </c>
      <c r="BC24" s="14" t="s">
        <v>99</v>
      </c>
      <c r="BD24" s="14" t="s">
        <v>5061</v>
      </c>
      <c r="BE24" s="14" t="s">
        <v>5062</v>
      </c>
      <c r="BF24" s="15" t="str">
        <f>HYPERLINK("http://dx.doi.org/10.1371/journal.pone.0029507","http://dx.doi.org/10.1371/journal.pone.0029507")</f>
        <v>http://dx.doi.org/10.1371/journal.pone.0029507</v>
      </c>
      <c r="BG24" s="14" t="s">
        <v>99</v>
      </c>
      <c r="BH24" s="14" t="s">
        <v>99</v>
      </c>
      <c r="BI24" s="14">
        <v>13.0</v>
      </c>
      <c r="BJ24" s="14" t="s">
        <v>799</v>
      </c>
      <c r="BK24" s="14" t="s">
        <v>122</v>
      </c>
      <c r="BL24" s="14" t="s">
        <v>801</v>
      </c>
      <c r="BM24" s="14" t="s">
        <v>5063</v>
      </c>
      <c r="BN24" s="14">
        <v>2.2396726E7</v>
      </c>
      <c r="BO24" s="14" t="s">
        <v>1251</v>
      </c>
      <c r="BP24" s="14" t="s">
        <v>99</v>
      </c>
      <c r="BQ24" s="14" t="s">
        <v>99</v>
      </c>
      <c r="BR24" s="14" t="s">
        <v>124</v>
      </c>
      <c r="BS24" s="14" t="s">
        <v>5064</v>
      </c>
      <c r="BT24" s="14" t="str">
        <f>HYPERLINK("https%3A%2F%2Fwww.webofscience.com%2Fwos%2Fwoscc%2Ffull-record%2FWOS:000303006500001","View Full Record in Web of Science")</f>
        <v>View Full Record in Web of Science</v>
      </c>
    </row>
    <row r="25" ht="12.75" customHeight="1">
      <c r="A25" s="14" t="s">
        <v>97</v>
      </c>
      <c r="B25" s="14" t="s">
        <v>5183</v>
      </c>
      <c r="C25" s="14" t="s">
        <v>99</v>
      </c>
      <c r="D25" s="14" t="s">
        <v>99</v>
      </c>
      <c r="E25" s="14" t="s">
        <v>99</v>
      </c>
      <c r="F25" s="14" t="s">
        <v>5184</v>
      </c>
      <c r="G25" s="14" t="s">
        <v>99</v>
      </c>
      <c r="H25" s="14" t="s">
        <v>99</v>
      </c>
      <c r="I25" s="14" t="s">
        <v>5185</v>
      </c>
      <c r="J25" s="14" t="s">
        <v>726</v>
      </c>
      <c r="K25" s="14" t="s">
        <v>99</v>
      </c>
      <c r="L25" s="14" t="s">
        <v>99</v>
      </c>
      <c r="M25" s="14" t="s">
        <v>103</v>
      </c>
      <c r="N25" s="14" t="s">
        <v>104</v>
      </c>
      <c r="O25" s="14" t="s">
        <v>99</v>
      </c>
      <c r="P25" s="14" t="s">
        <v>99</v>
      </c>
      <c r="Q25" s="14" t="s">
        <v>99</v>
      </c>
      <c r="R25" s="14" t="s">
        <v>99</v>
      </c>
      <c r="S25" s="14" t="s">
        <v>99</v>
      </c>
      <c r="T25" s="14" t="s">
        <v>5186</v>
      </c>
      <c r="U25" s="14" t="s">
        <v>5187</v>
      </c>
      <c r="V25" s="14" t="s">
        <v>5188</v>
      </c>
      <c r="W25" s="14" t="s">
        <v>5189</v>
      </c>
      <c r="X25" s="14" t="s">
        <v>5190</v>
      </c>
      <c r="Y25" s="14" t="s">
        <v>5191</v>
      </c>
      <c r="Z25" s="14" t="s">
        <v>5192</v>
      </c>
      <c r="AA25" s="14" t="s">
        <v>5193</v>
      </c>
      <c r="AB25" s="14" t="s">
        <v>5194</v>
      </c>
      <c r="AC25" s="14" t="s">
        <v>99</v>
      </c>
      <c r="AD25" s="14" t="s">
        <v>99</v>
      </c>
      <c r="AE25" s="14" t="s">
        <v>99</v>
      </c>
      <c r="AF25" s="14" t="s">
        <v>99</v>
      </c>
      <c r="AG25" s="14">
        <v>83.0</v>
      </c>
      <c r="AH25" s="14">
        <v>80.0</v>
      </c>
      <c r="AI25" s="14">
        <v>84.0</v>
      </c>
      <c r="AJ25" s="14">
        <v>0.0</v>
      </c>
      <c r="AK25" s="14">
        <v>152.0</v>
      </c>
      <c r="AL25" s="14" t="s">
        <v>341</v>
      </c>
      <c r="AM25" s="14" t="s">
        <v>342</v>
      </c>
      <c r="AN25" s="14" t="s">
        <v>343</v>
      </c>
      <c r="AO25" s="14" t="s">
        <v>739</v>
      </c>
      <c r="AP25" s="14" t="s">
        <v>740</v>
      </c>
      <c r="AQ25" s="14" t="s">
        <v>99</v>
      </c>
      <c r="AR25" s="14" t="s">
        <v>741</v>
      </c>
      <c r="AS25" s="14" t="s">
        <v>742</v>
      </c>
      <c r="AT25" s="14" t="s">
        <v>280</v>
      </c>
      <c r="AU25" s="14">
        <v>2012.0</v>
      </c>
      <c r="AV25" s="14">
        <v>18.0</v>
      </c>
      <c r="AW25" s="14">
        <v>2.0</v>
      </c>
      <c r="AX25" s="14" t="s">
        <v>99</v>
      </c>
      <c r="AY25" s="14" t="s">
        <v>99</v>
      </c>
      <c r="AZ25" s="14" t="s">
        <v>99</v>
      </c>
      <c r="BA25" s="14" t="s">
        <v>99</v>
      </c>
      <c r="BB25" s="14">
        <v>121.0</v>
      </c>
      <c r="BC25" s="14">
        <v>132.0</v>
      </c>
      <c r="BD25" s="14" t="s">
        <v>99</v>
      </c>
      <c r="BE25" s="14" t="s">
        <v>5195</v>
      </c>
      <c r="BF25" s="15" t="str">
        <f>HYPERLINK("http://dx.doi.org/10.1111/j.1472-4642.2011.00827.x","http://dx.doi.org/10.1111/j.1472-4642.2011.00827.x")</f>
        <v>http://dx.doi.org/10.1111/j.1472-4642.2011.00827.x</v>
      </c>
      <c r="BG25" s="14" t="s">
        <v>99</v>
      </c>
      <c r="BH25" s="14" t="s">
        <v>99</v>
      </c>
      <c r="BI25" s="14">
        <v>12.0</v>
      </c>
      <c r="BJ25" s="14" t="s">
        <v>550</v>
      </c>
      <c r="BK25" s="14" t="s">
        <v>122</v>
      </c>
      <c r="BL25" s="14" t="s">
        <v>352</v>
      </c>
      <c r="BM25" s="14" t="s">
        <v>5196</v>
      </c>
      <c r="BN25" s="14" t="s">
        <v>99</v>
      </c>
      <c r="BO25" s="14" t="s">
        <v>99</v>
      </c>
      <c r="BP25" s="14" t="s">
        <v>99</v>
      </c>
      <c r="BQ25" s="14" t="s">
        <v>99</v>
      </c>
      <c r="BR25" s="14" t="s">
        <v>124</v>
      </c>
      <c r="BS25" s="14" t="s">
        <v>5197</v>
      </c>
      <c r="BT25" s="14" t="str">
        <f>HYPERLINK("https%3A%2F%2Fwww.webofscience.com%2Fwos%2Fwoscc%2Ffull-record%2FWOS:000298874900003","View Full Record in Web of Science")</f>
        <v>View Full Record in Web of Science</v>
      </c>
    </row>
    <row r="26" ht="12.75" customHeight="1">
      <c r="A26" s="14" t="s">
        <v>97</v>
      </c>
      <c r="B26" s="14" t="s">
        <v>5287</v>
      </c>
      <c r="C26" s="14" t="s">
        <v>99</v>
      </c>
      <c r="D26" s="14" t="s">
        <v>99</v>
      </c>
      <c r="E26" s="14" t="s">
        <v>99</v>
      </c>
      <c r="F26" s="14" t="s">
        <v>5288</v>
      </c>
      <c r="G26" s="14" t="s">
        <v>99</v>
      </c>
      <c r="H26" s="14" t="s">
        <v>99</v>
      </c>
      <c r="I26" s="14" t="s">
        <v>5289</v>
      </c>
      <c r="J26" s="14" t="s">
        <v>1721</v>
      </c>
      <c r="K26" s="14" t="s">
        <v>99</v>
      </c>
      <c r="L26" s="14" t="s">
        <v>99</v>
      </c>
      <c r="M26" s="14" t="s">
        <v>103</v>
      </c>
      <c r="N26" s="14" t="s">
        <v>104</v>
      </c>
      <c r="O26" s="14" t="s">
        <v>99</v>
      </c>
      <c r="P26" s="14" t="s">
        <v>99</v>
      </c>
      <c r="Q26" s="14" t="s">
        <v>99</v>
      </c>
      <c r="R26" s="14" t="s">
        <v>99</v>
      </c>
      <c r="S26" s="14" t="s">
        <v>99</v>
      </c>
      <c r="T26" s="14" t="s">
        <v>5290</v>
      </c>
      <c r="U26" s="14" t="s">
        <v>5291</v>
      </c>
      <c r="V26" s="14" t="s">
        <v>5292</v>
      </c>
      <c r="W26" s="14" t="s">
        <v>5293</v>
      </c>
      <c r="X26" s="14" t="s">
        <v>5294</v>
      </c>
      <c r="Y26" s="14" t="s">
        <v>5295</v>
      </c>
      <c r="Z26" s="14" t="s">
        <v>5296</v>
      </c>
      <c r="AA26" s="14" t="s">
        <v>5297</v>
      </c>
      <c r="AB26" s="14" t="s">
        <v>5298</v>
      </c>
      <c r="AC26" s="14" t="s">
        <v>5299</v>
      </c>
      <c r="AD26" s="14" t="s">
        <v>5299</v>
      </c>
      <c r="AE26" s="14" t="s">
        <v>5300</v>
      </c>
      <c r="AF26" s="14" t="s">
        <v>99</v>
      </c>
      <c r="AG26" s="14">
        <v>60.0</v>
      </c>
      <c r="AH26" s="14">
        <v>76.0</v>
      </c>
      <c r="AI26" s="14">
        <v>82.0</v>
      </c>
      <c r="AJ26" s="14">
        <v>0.0</v>
      </c>
      <c r="AK26" s="14">
        <v>90.0</v>
      </c>
      <c r="AL26" s="14" t="s">
        <v>1731</v>
      </c>
      <c r="AM26" s="14" t="s">
        <v>1732</v>
      </c>
      <c r="AN26" s="14" t="s">
        <v>1733</v>
      </c>
      <c r="AO26" s="14" t="s">
        <v>1734</v>
      </c>
      <c r="AP26" s="14" t="s">
        <v>1735</v>
      </c>
      <c r="AQ26" s="14" t="s">
        <v>99</v>
      </c>
      <c r="AR26" s="14" t="s">
        <v>1736</v>
      </c>
      <c r="AS26" s="14" t="s">
        <v>1737</v>
      </c>
      <c r="AT26" s="14" t="s">
        <v>1058</v>
      </c>
      <c r="AU26" s="14">
        <v>2011.0</v>
      </c>
      <c r="AV26" s="14">
        <v>20.0</v>
      </c>
      <c r="AW26" s="14">
        <v>13.0</v>
      </c>
      <c r="AX26" s="14" t="s">
        <v>99</v>
      </c>
      <c r="AY26" s="14" t="s">
        <v>99</v>
      </c>
      <c r="AZ26" s="14" t="s">
        <v>1738</v>
      </c>
      <c r="BA26" s="14" t="s">
        <v>99</v>
      </c>
      <c r="BB26" s="14">
        <v>3133.0</v>
      </c>
      <c r="BC26" s="14">
        <v>3146.0</v>
      </c>
      <c r="BD26" s="14" t="s">
        <v>99</v>
      </c>
      <c r="BE26" s="14" t="s">
        <v>5301</v>
      </c>
      <c r="BF26" s="15" t="str">
        <f>HYPERLINK("http://dx.doi.org/10.1007/s10531-011-0140-y","http://dx.doi.org/10.1007/s10531-011-0140-y")</f>
        <v>http://dx.doi.org/10.1007/s10531-011-0140-y</v>
      </c>
      <c r="BG26" s="14" t="s">
        <v>99</v>
      </c>
      <c r="BH26" s="14" t="s">
        <v>99</v>
      </c>
      <c r="BI26" s="14">
        <v>14.0</v>
      </c>
      <c r="BJ26" s="14" t="s">
        <v>351</v>
      </c>
      <c r="BK26" s="14" t="s">
        <v>122</v>
      </c>
      <c r="BL26" s="14" t="s">
        <v>352</v>
      </c>
      <c r="BM26" s="14" t="s">
        <v>5302</v>
      </c>
      <c r="BN26" s="14" t="s">
        <v>99</v>
      </c>
      <c r="BO26" s="14" t="s">
        <v>99</v>
      </c>
      <c r="BP26" s="14" t="s">
        <v>99</v>
      </c>
      <c r="BQ26" s="14" t="s">
        <v>99</v>
      </c>
      <c r="BR26" s="14" t="s">
        <v>124</v>
      </c>
      <c r="BS26" s="14" t="s">
        <v>5303</v>
      </c>
      <c r="BT26" s="14" t="str">
        <f>HYPERLINK("https%3A%2F%2Fwww.webofscience.com%2Fwos%2Fwoscc%2Ffull-record%2FWOS:000297170900017","View Full Record in Web of Science")</f>
        <v>View Full Record in Web of Science</v>
      </c>
    </row>
    <row r="27" ht="12.75" customHeight="1">
      <c r="A27" s="14" t="s">
        <v>97</v>
      </c>
      <c r="B27" s="14" t="s">
        <v>5304</v>
      </c>
      <c r="C27" s="14" t="s">
        <v>99</v>
      </c>
      <c r="D27" s="14" t="s">
        <v>99</v>
      </c>
      <c r="E27" s="14" t="s">
        <v>99</v>
      </c>
      <c r="F27" s="14" t="s">
        <v>5305</v>
      </c>
      <c r="G27" s="14" t="s">
        <v>99</v>
      </c>
      <c r="H27" s="14" t="s">
        <v>99</v>
      </c>
      <c r="I27" s="14" t="s">
        <v>5306</v>
      </c>
      <c r="J27" s="14" t="s">
        <v>5307</v>
      </c>
      <c r="K27" s="14" t="s">
        <v>99</v>
      </c>
      <c r="L27" s="14" t="s">
        <v>99</v>
      </c>
      <c r="M27" s="14" t="s">
        <v>103</v>
      </c>
      <c r="N27" s="14" t="s">
        <v>104</v>
      </c>
      <c r="O27" s="14" t="s">
        <v>99</v>
      </c>
      <c r="P27" s="14" t="s">
        <v>99</v>
      </c>
      <c r="Q27" s="14" t="s">
        <v>99</v>
      </c>
      <c r="R27" s="14" t="s">
        <v>99</v>
      </c>
      <c r="S27" s="14" t="s">
        <v>99</v>
      </c>
      <c r="T27" s="14" t="s">
        <v>5308</v>
      </c>
      <c r="U27" s="14" t="s">
        <v>5309</v>
      </c>
      <c r="V27" s="14" t="s">
        <v>5310</v>
      </c>
      <c r="W27" s="14" t="s">
        <v>5311</v>
      </c>
      <c r="X27" s="14" t="s">
        <v>4974</v>
      </c>
      <c r="Y27" s="14" t="s">
        <v>5312</v>
      </c>
      <c r="Z27" s="14" t="s">
        <v>5313</v>
      </c>
      <c r="AA27" s="14" t="s">
        <v>5314</v>
      </c>
      <c r="AB27" s="14" t="s">
        <v>5315</v>
      </c>
      <c r="AC27" s="14" t="s">
        <v>5316</v>
      </c>
      <c r="AD27" s="14" t="s">
        <v>5317</v>
      </c>
      <c r="AE27" s="14" t="s">
        <v>5318</v>
      </c>
      <c r="AF27" s="14" t="s">
        <v>99</v>
      </c>
      <c r="AG27" s="14">
        <v>50.0</v>
      </c>
      <c r="AH27" s="14">
        <v>157.0</v>
      </c>
      <c r="AI27" s="14">
        <v>190.0</v>
      </c>
      <c r="AJ27" s="14">
        <v>0.0</v>
      </c>
      <c r="AK27" s="14">
        <v>174.0</v>
      </c>
      <c r="AL27" s="14" t="s">
        <v>341</v>
      </c>
      <c r="AM27" s="14" t="s">
        <v>342</v>
      </c>
      <c r="AN27" s="14" t="s">
        <v>343</v>
      </c>
      <c r="AO27" s="14" t="s">
        <v>5319</v>
      </c>
      <c r="AP27" s="14" t="s">
        <v>5320</v>
      </c>
      <c r="AQ27" s="14" t="s">
        <v>99</v>
      </c>
      <c r="AR27" s="14" t="s">
        <v>5321</v>
      </c>
      <c r="AS27" s="14" t="s">
        <v>5322</v>
      </c>
      <c r="AT27" s="14" t="s">
        <v>1058</v>
      </c>
      <c r="AU27" s="14">
        <v>2011.0</v>
      </c>
      <c r="AV27" s="14">
        <v>14.0</v>
      </c>
      <c r="AW27" s="14">
        <v>12.0</v>
      </c>
      <c r="AX27" s="14" t="s">
        <v>99</v>
      </c>
      <c r="AY27" s="14" t="s">
        <v>99</v>
      </c>
      <c r="AZ27" s="14" t="s">
        <v>99</v>
      </c>
      <c r="BA27" s="14" t="s">
        <v>99</v>
      </c>
      <c r="BB27" s="14">
        <v>1191.0</v>
      </c>
      <c r="BC27" s="14">
        <v>1200.0</v>
      </c>
      <c r="BD27" s="14" t="s">
        <v>99</v>
      </c>
      <c r="BE27" s="14" t="s">
        <v>5323</v>
      </c>
      <c r="BF27" s="15" t="str">
        <f>HYPERLINK("http://dx.doi.org/10.1111/j.1461-0248.2011.01689.x","http://dx.doi.org/10.1111/j.1461-0248.2011.01689.x")</f>
        <v>http://dx.doi.org/10.1111/j.1461-0248.2011.01689.x</v>
      </c>
      <c r="BG27" s="14" t="s">
        <v>99</v>
      </c>
      <c r="BH27" s="14" t="s">
        <v>99</v>
      </c>
      <c r="BI27" s="14">
        <v>10.0</v>
      </c>
      <c r="BJ27" s="14" t="s">
        <v>259</v>
      </c>
      <c r="BK27" s="14" t="s">
        <v>122</v>
      </c>
      <c r="BL27" s="14" t="s">
        <v>260</v>
      </c>
      <c r="BM27" s="14" t="s">
        <v>5324</v>
      </c>
      <c r="BN27" s="14">
        <v>2.1978234E7</v>
      </c>
      <c r="BO27" s="14" t="s">
        <v>99</v>
      </c>
      <c r="BP27" s="14" t="s">
        <v>99</v>
      </c>
      <c r="BQ27" s="14" t="s">
        <v>99</v>
      </c>
      <c r="BR27" s="14" t="s">
        <v>124</v>
      </c>
      <c r="BS27" s="14" t="s">
        <v>5325</v>
      </c>
      <c r="BT27" s="14" t="str">
        <f>HYPERLINK("https%3A%2F%2Fwww.webofscience.com%2Fwos%2Fwoscc%2Ffull-record%2FWOS:000297147500002","View Full Record in Web of Science")</f>
        <v>View Full Record in Web of Science</v>
      </c>
    </row>
    <row r="28" ht="12.75" customHeight="1">
      <c r="A28" s="14" t="s">
        <v>97</v>
      </c>
      <c r="B28" s="14" t="s">
        <v>5382</v>
      </c>
      <c r="C28" s="14" t="s">
        <v>99</v>
      </c>
      <c r="D28" s="14" t="s">
        <v>99</v>
      </c>
      <c r="E28" s="14" t="s">
        <v>99</v>
      </c>
      <c r="F28" s="14" t="s">
        <v>5383</v>
      </c>
      <c r="G28" s="14" t="s">
        <v>99</v>
      </c>
      <c r="H28" s="14" t="s">
        <v>99</v>
      </c>
      <c r="I28" s="14" t="s">
        <v>5384</v>
      </c>
      <c r="J28" s="14" t="s">
        <v>5307</v>
      </c>
      <c r="K28" s="14" t="s">
        <v>99</v>
      </c>
      <c r="L28" s="14" t="s">
        <v>99</v>
      </c>
      <c r="M28" s="14" t="s">
        <v>103</v>
      </c>
      <c r="N28" s="14" t="s">
        <v>104</v>
      </c>
      <c r="O28" s="14" t="s">
        <v>99</v>
      </c>
      <c r="P28" s="14" t="s">
        <v>99</v>
      </c>
      <c r="Q28" s="14" t="s">
        <v>99</v>
      </c>
      <c r="R28" s="14" t="s">
        <v>99</v>
      </c>
      <c r="S28" s="14" t="s">
        <v>99</v>
      </c>
      <c r="T28" s="14" t="s">
        <v>5385</v>
      </c>
      <c r="U28" s="14" t="s">
        <v>5386</v>
      </c>
      <c r="V28" s="14" t="s">
        <v>5387</v>
      </c>
      <c r="W28" s="14" t="s">
        <v>5388</v>
      </c>
      <c r="X28" s="14" t="s">
        <v>5389</v>
      </c>
      <c r="Y28" s="14" t="s">
        <v>5390</v>
      </c>
      <c r="Z28" s="14" t="s">
        <v>5391</v>
      </c>
      <c r="AA28" s="14" t="s">
        <v>5392</v>
      </c>
      <c r="AB28" s="14" t="s">
        <v>5393</v>
      </c>
      <c r="AC28" s="14" t="s">
        <v>5394</v>
      </c>
      <c r="AD28" s="14" t="s">
        <v>5395</v>
      </c>
      <c r="AE28" s="14" t="s">
        <v>5396</v>
      </c>
      <c r="AF28" s="14" t="s">
        <v>99</v>
      </c>
      <c r="AG28" s="14">
        <v>47.0</v>
      </c>
      <c r="AH28" s="14">
        <v>120.0</v>
      </c>
      <c r="AI28" s="14">
        <v>136.0</v>
      </c>
      <c r="AJ28" s="14">
        <v>2.0</v>
      </c>
      <c r="AK28" s="14">
        <v>151.0</v>
      </c>
      <c r="AL28" s="14" t="s">
        <v>341</v>
      </c>
      <c r="AM28" s="14" t="s">
        <v>342</v>
      </c>
      <c r="AN28" s="14" t="s">
        <v>343</v>
      </c>
      <c r="AO28" s="14" t="s">
        <v>5319</v>
      </c>
      <c r="AP28" s="14" t="s">
        <v>5320</v>
      </c>
      <c r="AQ28" s="14" t="s">
        <v>99</v>
      </c>
      <c r="AR28" s="14" t="s">
        <v>5321</v>
      </c>
      <c r="AS28" s="14" t="s">
        <v>5322</v>
      </c>
      <c r="AT28" s="14" t="s">
        <v>348</v>
      </c>
      <c r="AU28" s="14">
        <v>2011.0</v>
      </c>
      <c r="AV28" s="14">
        <v>14.0</v>
      </c>
      <c r="AW28" s="14">
        <v>11.0</v>
      </c>
      <c r="AX28" s="14" t="s">
        <v>99</v>
      </c>
      <c r="AY28" s="14" t="s">
        <v>99</v>
      </c>
      <c r="AZ28" s="14" t="s">
        <v>99</v>
      </c>
      <c r="BA28" s="14" t="s">
        <v>99</v>
      </c>
      <c r="BB28" s="14">
        <v>1125.0</v>
      </c>
      <c r="BC28" s="14">
        <v>1133.0</v>
      </c>
      <c r="BD28" s="14" t="s">
        <v>99</v>
      </c>
      <c r="BE28" s="14" t="s">
        <v>5397</v>
      </c>
      <c r="BF28" s="15" t="str">
        <f>HYPERLINK("http://dx.doi.org/10.1111/j.1461-0248.2011.01681.x","http://dx.doi.org/10.1111/j.1461-0248.2011.01681.x")</f>
        <v>http://dx.doi.org/10.1111/j.1461-0248.2011.01681.x</v>
      </c>
      <c r="BG28" s="14" t="s">
        <v>99</v>
      </c>
      <c r="BH28" s="14" t="s">
        <v>99</v>
      </c>
      <c r="BI28" s="14">
        <v>9.0</v>
      </c>
      <c r="BJ28" s="14" t="s">
        <v>259</v>
      </c>
      <c r="BK28" s="14" t="s">
        <v>122</v>
      </c>
      <c r="BL28" s="14" t="s">
        <v>260</v>
      </c>
      <c r="BM28" s="14" t="s">
        <v>5398</v>
      </c>
      <c r="BN28" s="14">
        <v>2.1955643E7</v>
      </c>
      <c r="BO28" s="14" t="s">
        <v>99</v>
      </c>
      <c r="BP28" s="14" t="s">
        <v>99</v>
      </c>
      <c r="BQ28" s="14" t="s">
        <v>99</v>
      </c>
      <c r="BR28" s="14" t="s">
        <v>124</v>
      </c>
      <c r="BS28" s="14" t="s">
        <v>5399</v>
      </c>
      <c r="BT28" s="14" t="str">
        <f>HYPERLINK("https%3A%2F%2Fwww.webofscience.com%2Fwos%2Fwoscc%2Ffull-record%2FWOS:000296263200007","View Full Record in Web of Science")</f>
        <v>View Full Record in Web of Science</v>
      </c>
    </row>
    <row r="29" ht="12.75" customHeight="1">
      <c r="A29" s="14" t="s">
        <v>97</v>
      </c>
      <c r="B29" s="14" t="s">
        <v>5400</v>
      </c>
      <c r="C29" s="14" t="s">
        <v>99</v>
      </c>
      <c r="D29" s="14" t="s">
        <v>99</v>
      </c>
      <c r="E29" s="14" t="s">
        <v>99</v>
      </c>
      <c r="F29" s="14" t="s">
        <v>5401</v>
      </c>
      <c r="G29" s="14" t="s">
        <v>99</v>
      </c>
      <c r="H29" s="14" t="s">
        <v>99</v>
      </c>
      <c r="I29" s="14" t="s">
        <v>5402</v>
      </c>
      <c r="J29" s="14" t="s">
        <v>1256</v>
      </c>
      <c r="K29" s="14" t="s">
        <v>99</v>
      </c>
      <c r="L29" s="14" t="s">
        <v>99</v>
      </c>
      <c r="M29" s="14" t="s">
        <v>103</v>
      </c>
      <c r="N29" s="14" t="s">
        <v>104</v>
      </c>
      <c r="O29" s="14" t="s">
        <v>99</v>
      </c>
      <c r="P29" s="14" t="s">
        <v>99</v>
      </c>
      <c r="Q29" s="14" t="s">
        <v>99</v>
      </c>
      <c r="R29" s="14" t="s">
        <v>99</v>
      </c>
      <c r="S29" s="14" t="s">
        <v>99</v>
      </c>
      <c r="T29" s="14" t="s">
        <v>5403</v>
      </c>
      <c r="U29" s="14" t="s">
        <v>5404</v>
      </c>
      <c r="V29" s="14" t="s">
        <v>5405</v>
      </c>
      <c r="W29" s="14" t="s">
        <v>5406</v>
      </c>
      <c r="X29" s="14" t="s">
        <v>5294</v>
      </c>
      <c r="Y29" s="14" t="s">
        <v>4343</v>
      </c>
      <c r="Z29" s="14" t="s">
        <v>4344</v>
      </c>
      <c r="AA29" s="14" t="s">
        <v>5407</v>
      </c>
      <c r="AB29" s="14" t="s">
        <v>5408</v>
      </c>
      <c r="AC29" s="14" t="s">
        <v>5409</v>
      </c>
      <c r="AD29" s="14" t="s">
        <v>5409</v>
      </c>
      <c r="AE29" s="14" t="s">
        <v>5410</v>
      </c>
      <c r="AF29" s="14" t="s">
        <v>99</v>
      </c>
      <c r="AG29" s="14">
        <v>43.0</v>
      </c>
      <c r="AH29" s="14">
        <v>165.0</v>
      </c>
      <c r="AI29" s="14">
        <v>187.0</v>
      </c>
      <c r="AJ29" s="14">
        <v>1.0</v>
      </c>
      <c r="AK29" s="14">
        <v>150.0</v>
      </c>
      <c r="AL29" s="14" t="s">
        <v>341</v>
      </c>
      <c r="AM29" s="14" t="s">
        <v>342</v>
      </c>
      <c r="AN29" s="14" t="s">
        <v>343</v>
      </c>
      <c r="AO29" s="14" t="s">
        <v>1269</v>
      </c>
      <c r="AP29" s="14" t="s">
        <v>1270</v>
      </c>
      <c r="AQ29" s="14" t="s">
        <v>99</v>
      </c>
      <c r="AR29" s="14" t="s">
        <v>1271</v>
      </c>
      <c r="AS29" s="14" t="s">
        <v>1272</v>
      </c>
      <c r="AT29" s="14" t="s">
        <v>2372</v>
      </c>
      <c r="AU29" s="14">
        <v>2011.0</v>
      </c>
      <c r="AV29" s="14">
        <v>56.0</v>
      </c>
      <c r="AW29" s="14">
        <v>10.0</v>
      </c>
      <c r="AX29" s="14" t="s">
        <v>99</v>
      </c>
      <c r="AY29" s="14" t="s">
        <v>99</v>
      </c>
      <c r="AZ29" s="14" t="s">
        <v>99</v>
      </c>
      <c r="BA29" s="14" t="s">
        <v>99</v>
      </c>
      <c r="BB29" s="14">
        <v>2009.0</v>
      </c>
      <c r="BC29" s="14">
        <v>2020.0</v>
      </c>
      <c r="BD29" s="14" t="s">
        <v>99</v>
      </c>
      <c r="BE29" s="14" t="s">
        <v>5411</v>
      </c>
      <c r="BF29" s="15" t="str">
        <f>HYPERLINK("http://dx.doi.org/10.1111/j.1365-2427.2011.02631.x","http://dx.doi.org/10.1111/j.1365-2427.2011.02631.x")</f>
        <v>http://dx.doi.org/10.1111/j.1365-2427.2011.02631.x</v>
      </c>
      <c r="BG29" s="14" t="s">
        <v>99</v>
      </c>
      <c r="BH29" s="14" t="s">
        <v>99</v>
      </c>
      <c r="BI29" s="14">
        <v>12.0</v>
      </c>
      <c r="BJ29" s="14" t="s">
        <v>1274</v>
      </c>
      <c r="BK29" s="14" t="s">
        <v>122</v>
      </c>
      <c r="BL29" s="14" t="s">
        <v>397</v>
      </c>
      <c r="BM29" s="14" t="s">
        <v>5412</v>
      </c>
      <c r="BN29" s="14" t="s">
        <v>99</v>
      </c>
      <c r="BO29" s="14" t="s">
        <v>99</v>
      </c>
      <c r="BP29" s="14" t="s">
        <v>99</v>
      </c>
      <c r="BQ29" s="14" t="s">
        <v>99</v>
      </c>
      <c r="BR29" s="14" t="s">
        <v>124</v>
      </c>
      <c r="BS29" s="14" t="s">
        <v>5413</v>
      </c>
      <c r="BT29" s="14" t="str">
        <f>HYPERLINK("https%3A%2F%2Fwww.webofscience.com%2Fwos%2Fwoscc%2Ffull-record%2FWOS:000295013800006","View Full Record in Web of Science")</f>
        <v>View Full Record in Web of Science</v>
      </c>
    </row>
    <row r="30" ht="12.75" customHeight="1">
      <c r="A30" s="14" t="s">
        <v>97</v>
      </c>
      <c r="B30" s="14" t="s">
        <v>5474</v>
      </c>
      <c r="C30" s="14" t="s">
        <v>99</v>
      </c>
      <c r="D30" s="14" t="s">
        <v>99</v>
      </c>
      <c r="E30" s="14" t="s">
        <v>99</v>
      </c>
      <c r="F30" s="14" t="s">
        <v>5475</v>
      </c>
      <c r="G30" s="14" t="s">
        <v>99</v>
      </c>
      <c r="H30" s="14" t="s">
        <v>99</v>
      </c>
      <c r="I30" s="14" t="s">
        <v>5476</v>
      </c>
      <c r="J30" s="14" t="s">
        <v>2793</v>
      </c>
      <c r="K30" s="14" t="s">
        <v>99</v>
      </c>
      <c r="L30" s="14" t="s">
        <v>99</v>
      </c>
      <c r="M30" s="14" t="s">
        <v>103</v>
      </c>
      <c r="N30" s="14" t="s">
        <v>104</v>
      </c>
      <c r="O30" s="14" t="s">
        <v>99</v>
      </c>
      <c r="P30" s="14" t="s">
        <v>99</v>
      </c>
      <c r="Q30" s="14" t="s">
        <v>99</v>
      </c>
      <c r="R30" s="14" t="s">
        <v>99</v>
      </c>
      <c r="S30" s="14" t="s">
        <v>99</v>
      </c>
      <c r="T30" s="14" t="s">
        <v>99</v>
      </c>
      <c r="U30" s="14" t="s">
        <v>5477</v>
      </c>
      <c r="V30" s="14" t="s">
        <v>5478</v>
      </c>
      <c r="W30" s="14" t="s">
        <v>5479</v>
      </c>
      <c r="X30" s="14" t="s">
        <v>5480</v>
      </c>
      <c r="Y30" s="14" t="s">
        <v>5481</v>
      </c>
      <c r="Z30" s="14" t="s">
        <v>5482</v>
      </c>
      <c r="AA30" s="14" t="s">
        <v>5483</v>
      </c>
      <c r="AB30" s="14" t="s">
        <v>5484</v>
      </c>
      <c r="AC30" s="14" t="s">
        <v>5485</v>
      </c>
      <c r="AD30" s="14" t="s">
        <v>5485</v>
      </c>
      <c r="AE30" s="14" t="s">
        <v>5486</v>
      </c>
      <c r="AF30" s="14" t="s">
        <v>99</v>
      </c>
      <c r="AG30" s="14">
        <v>30.0</v>
      </c>
      <c r="AH30" s="14">
        <v>312.0</v>
      </c>
      <c r="AI30" s="14">
        <v>334.0</v>
      </c>
      <c r="AJ30" s="14">
        <v>4.0</v>
      </c>
      <c r="AK30" s="14">
        <v>253.0</v>
      </c>
      <c r="AL30" s="14" t="s">
        <v>1326</v>
      </c>
      <c r="AM30" s="14" t="s">
        <v>274</v>
      </c>
      <c r="AN30" s="14" t="s">
        <v>1327</v>
      </c>
      <c r="AO30" s="14" t="s">
        <v>2805</v>
      </c>
      <c r="AP30" s="14" t="s">
        <v>2806</v>
      </c>
      <c r="AQ30" s="14" t="s">
        <v>99</v>
      </c>
      <c r="AR30" s="14" t="s">
        <v>2807</v>
      </c>
      <c r="AS30" s="14" t="s">
        <v>2808</v>
      </c>
      <c r="AT30" s="14" t="s">
        <v>421</v>
      </c>
      <c r="AU30" s="14">
        <v>2011.0</v>
      </c>
      <c r="AV30" s="14">
        <v>1.0</v>
      </c>
      <c r="AW30" s="14">
        <v>6.0</v>
      </c>
      <c r="AX30" s="14" t="s">
        <v>99</v>
      </c>
      <c r="AY30" s="14" t="s">
        <v>99</v>
      </c>
      <c r="AZ30" s="14" t="s">
        <v>99</v>
      </c>
      <c r="BA30" s="14" t="s">
        <v>99</v>
      </c>
      <c r="BB30" s="14">
        <v>313.0</v>
      </c>
      <c r="BC30" s="14">
        <v>318.0</v>
      </c>
      <c r="BD30" s="14" t="s">
        <v>99</v>
      </c>
      <c r="BE30" s="14" t="s">
        <v>5487</v>
      </c>
      <c r="BF30" s="15" t="str">
        <f>HYPERLINK("http://dx.doi.org/10.1038/NCLIMATE1191","http://dx.doi.org/10.1038/NCLIMATE1191")</f>
        <v>http://dx.doi.org/10.1038/NCLIMATE1191</v>
      </c>
      <c r="BG30" s="14" t="s">
        <v>99</v>
      </c>
      <c r="BH30" s="14" t="s">
        <v>99</v>
      </c>
      <c r="BI30" s="14">
        <v>6.0</v>
      </c>
      <c r="BJ30" s="14" t="s">
        <v>2810</v>
      </c>
      <c r="BK30" s="14" t="s">
        <v>800</v>
      </c>
      <c r="BL30" s="14" t="s">
        <v>574</v>
      </c>
      <c r="BM30" s="14" t="s">
        <v>5488</v>
      </c>
      <c r="BN30" s="14" t="s">
        <v>99</v>
      </c>
      <c r="BO30" s="14" t="s">
        <v>99</v>
      </c>
      <c r="BP30" s="14" t="s">
        <v>99</v>
      </c>
      <c r="BQ30" s="14" t="s">
        <v>99</v>
      </c>
      <c r="BR30" s="14" t="s">
        <v>124</v>
      </c>
      <c r="BS30" s="14" t="s">
        <v>5489</v>
      </c>
      <c r="BT30" s="14" t="str">
        <f>HYPERLINK("https%3A%2F%2Fwww.webofscience.com%2Fwos%2Fwoscc%2Ffull-record%2FWOS:000295799900018","View Full Record in Web of Science")</f>
        <v>View Full Record in Web of Science</v>
      </c>
    </row>
    <row r="31" ht="12.75" customHeight="1">
      <c r="A31" s="14" t="s">
        <v>97</v>
      </c>
      <c r="B31" s="14" t="s">
        <v>5490</v>
      </c>
      <c r="C31" s="14" t="s">
        <v>99</v>
      </c>
      <c r="D31" s="14" t="s">
        <v>99</v>
      </c>
      <c r="E31" s="14" t="s">
        <v>99</v>
      </c>
      <c r="F31" s="14" t="s">
        <v>5491</v>
      </c>
      <c r="G31" s="14" t="s">
        <v>99</v>
      </c>
      <c r="H31" s="14" t="s">
        <v>99</v>
      </c>
      <c r="I31" s="14" t="s">
        <v>5492</v>
      </c>
      <c r="J31" s="14" t="s">
        <v>851</v>
      </c>
      <c r="K31" s="14" t="s">
        <v>99</v>
      </c>
      <c r="L31" s="14" t="s">
        <v>99</v>
      </c>
      <c r="M31" s="14" t="s">
        <v>103</v>
      </c>
      <c r="N31" s="14" t="s">
        <v>104</v>
      </c>
      <c r="O31" s="14" t="s">
        <v>99</v>
      </c>
      <c r="P31" s="14" t="s">
        <v>99</v>
      </c>
      <c r="Q31" s="14" t="s">
        <v>99</v>
      </c>
      <c r="R31" s="14" t="s">
        <v>99</v>
      </c>
      <c r="S31" s="14" t="s">
        <v>99</v>
      </c>
      <c r="T31" s="14" t="s">
        <v>5493</v>
      </c>
      <c r="U31" s="14" t="s">
        <v>5494</v>
      </c>
      <c r="V31" s="14" t="s">
        <v>5495</v>
      </c>
      <c r="W31" s="14" t="s">
        <v>5496</v>
      </c>
      <c r="X31" s="14" t="s">
        <v>5497</v>
      </c>
      <c r="Y31" s="14" t="s">
        <v>5498</v>
      </c>
      <c r="Z31" s="14" t="s">
        <v>5499</v>
      </c>
      <c r="AA31" s="14" t="s">
        <v>5500</v>
      </c>
      <c r="AB31" s="14" t="s">
        <v>5501</v>
      </c>
      <c r="AC31" s="14" t="s">
        <v>5502</v>
      </c>
      <c r="AD31" s="14" t="s">
        <v>5503</v>
      </c>
      <c r="AE31" s="14" t="s">
        <v>5504</v>
      </c>
      <c r="AF31" s="14" t="s">
        <v>99</v>
      </c>
      <c r="AG31" s="14">
        <v>64.0</v>
      </c>
      <c r="AH31" s="14">
        <v>270.0</v>
      </c>
      <c r="AI31" s="14">
        <v>296.0</v>
      </c>
      <c r="AJ31" s="14">
        <v>1.0</v>
      </c>
      <c r="AK31" s="14">
        <v>124.0</v>
      </c>
      <c r="AL31" s="14" t="s">
        <v>341</v>
      </c>
      <c r="AM31" s="14" t="s">
        <v>342</v>
      </c>
      <c r="AN31" s="14" t="s">
        <v>343</v>
      </c>
      <c r="AO31" s="14" t="s">
        <v>864</v>
      </c>
      <c r="AP31" s="14" t="s">
        <v>865</v>
      </c>
      <c r="AQ31" s="14" t="s">
        <v>99</v>
      </c>
      <c r="AR31" s="14" t="s">
        <v>866</v>
      </c>
      <c r="AS31" s="14" t="s">
        <v>867</v>
      </c>
      <c r="AT31" s="14" t="s">
        <v>421</v>
      </c>
      <c r="AU31" s="14">
        <v>2011.0</v>
      </c>
      <c r="AV31" s="14">
        <v>20.0</v>
      </c>
      <c r="AW31" s="14">
        <v>5.0</v>
      </c>
      <c r="AX31" s="14" t="s">
        <v>99</v>
      </c>
      <c r="AY31" s="14" t="s">
        <v>99</v>
      </c>
      <c r="AZ31" s="14" t="s">
        <v>99</v>
      </c>
      <c r="BA31" s="14" t="s">
        <v>99</v>
      </c>
      <c r="BB31" s="14">
        <v>766.0</v>
      </c>
      <c r="BC31" s="14">
        <v>778.0</v>
      </c>
      <c r="BD31" s="14" t="s">
        <v>99</v>
      </c>
      <c r="BE31" s="14" t="s">
        <v>5505</v>
      </c>
      <c r="BF31" s="15" t="str">
        <f>HYPERLINK("http://dx.doi.org/10.1111/j.1466-8238.2010.00646.x","http://dx.doi.org/10.1111/j.1466-8238.2010.00646.x")</f>
        <v>http://dx.doi.org/10.1111/j.1466-8238.2010.00646.x</v>
      </c>
      <c r="BG31" s="14" t="s">
        <v>99</v>
      </c>
      <c r="BH31" s="14" t="s">
        <v>99</v>
      </c>
      <c r="BI31" s="14">
        <v>13.0</v>
      </c>
      <c r="BJ31" s="14" t="s">
        <v>869</v>
      </c>
      <c r="BK31" s="14" t="s">
        <v>122</v>
      </c>
      <c r="BL31" s="14" t="s">
        <v>870</v>
      </c>
      <c r="BM31" s="14" t="s">
        <v>5506</v>
      </c>
      <c r="BN31" s="14" t="s">
        <v>99</v>
      </c>
      <c r="BO31" s="14" t="s">
        <v>238</v>
      </c>
      <c r="BP31" s="14" t="s">
        <v>99</v>
      </c>
      <c r="BQ31" s="14" t="s">
        <v>99</v>
      </c>
      <c r="BR31" s="14" t="s">
        <v>124</v>
      </c>
      <c r="BS31" s="14" t="s">
        <v>5507</v>
      </c>
      <c r="BT31" s="14" t="str">
        <f>HYPERLINK("https%3A%2F%2Fwww.webofscience.com%2Fwos%2Fwoscc%2Ffull-record%2FWOS:000293701300011","View Full Record in Web of Science")</f>
        <v>View Full Record in Web of Science</v>
      </c>
    </row>
    <row r="32" ht="12.75" customHeight="1">
      <c r="A32" s="14" t="s">
        <v>97</v>
      </c>
      <c r="B32" s="14" t="s">
        <v>5548</v>
      </c>
      <c r="C32" s="14" t="s">
        <v>99</v>
      </c>
      <c r="D32" s="14" t="s">
        <v>99</v>
      </c>
      <c r="E32" s="14" t="s">
        <v>99</v>
      </c>
      <c r="F32" s="14" t="s">
        <v>5549</v>
      </c>
      <c r="G32" s="14" t="s">
        <v>99</v>
      </c>
      <c r="H32" s="14" t="s">
        <v>99</v>
      </c>
      <c r="I32" s="14" t="s">
        <v>5550</v>
      </c>
      <c r="J32" s="14" t="s">
        <v>776</v>
      </c>
      <c r="K32" s="14" t="s">
        <v>99</v>
      </c>
      <c r="L32" s="14" t="s">
        <v>99</v>
      </c>
      <c r="M32" s="14" t="s">
        <v>103</v>
      </c>
      <c r="N32" s="14" t="s">
        <v>104</v>
      </c>
      <c r="O32" s="14" t="s">
        <v>99</v>
      </c>
      <c r="P32" s="14" t="s">
        <v>99</v>
      </c>
      <c r="Q32" s="14" t="s">
        <v>99</v>
      </c>
      <c r="R32" s="14" t="s">
        <v>99</v>
      </c>
      <c r="S32" s="14" t="s">
        <v>99</v>
      </c>
      <c r="T32" s="14" t="s">
        <v>5551</v>
      </c>
      <c r="U32" s="14" t="s">
        <v>5552</v>
      </c>
      <c r="V32" s="14" t="s">
        <v>5553</v>
      </c>
      <c r="W32" s="14" t="s">
        <v>5554</v>
      </c>
      <c r="X32" s="14" t="s">
        <v>5555</v>
      </c>
      <c r="Y32" s="14" t="s">
        <v>5556</v>
      </c>
      <c r="Z32" s="14" t="s">
        <v>5557</v>
      </c>
      <c r="AA32" s="14" t="s">
        <v>5558</v>
      </c>
      <c r="AB32" s="14" t="s">
        <v>5559</v>
      </c>
      <c r="AC32" s="14" t="s">
        <v>5560</v>
      </c>
      <c r="AD32" s="14" t="s">
        <v>5561</v>
      </c>
      <c r="AE32" s="14" t="s">
        <v>5562</v>
      </c>
      <c r="AF32" s="14" t="s">
        <v>99</v>
      </c>
      <c r="AG32" s="14">
        <v>48.0</v>
      </c>
      <c r="AH32" s="14">
        <v>474.0</v>
      </c>
      <c r="AI32" s="14">
        <v>570.0</v>
      </c>
      <c r="AJ32" s="14">
        <v>3.0</v>
      </c>
      <c r="AK32" s="14">
        <v>327.0</v>
      </c>
      <c r="AL32" s="14" t="s">
        <v>788</v>
      </c>
      <c r="AM32" s="14" t="s">
        <v>789</v>
      </c>
      <c r="AN32" s="14" t="s">
        <v>790</v>
      </c>
      <c r="AO32" s="14" t="s">
        <v>791</v>
      </c>
      <c r="AP32" s="14" t="s">
        <v>792</v>
      </c>
      <c r="AQ32" s="14" t="s">
        <v>99</v>
      </c>
      <c r="AR32" s="14" t="s">
        <v>793</v>
      </c>
      <c r="AS32" s="14" t="s">
        <v>794</v>
      </c>
      <c r="AT32" s="14" t="s">
        <v>1900</v>
      </c>
      <c r="AU32" s="14">
        <v>2011.0</v>
      </c>
      <c r="AV32" s="14">
        <v>108.0</v>
      </c>
      <c r="AW32" s="14">
        <v>34.0</v>
      </c>
      <c r="AX32" s="14" t="s">
        <v>99</v>
      </c>
      <c r="AY32" s="14" t="s">
        <v>99</v>
      </c>
      <c r="AZ32" s="14" t="s">
        <v>99</v>
      </c>
      <c r="BA32" s="14" t="s">
        <v>99</v>
      </c>
      <c r="BB32" s="14">
        <v>14175.0</v>
      </c>
      <c r="BC32" s="14">
        <v>14180.0</v>
      </c>
      <c r="BD32" s="14" t="s">
        <v>99</v>
      </c>
      <c r="BE32" s="14" t="s">
        <v>5563</v>
      </c>
      <c r="BF32" s="15" t="str">
        <f>HYPERLINK("http://dx.doi.org/10.1073/pnas.1103097108","http://dx.doi.org/10.1073/pnas.1103097108")</f>
        <v>http://dx.doi.org/10.1073/pnas.1103097108</v>
      </c>
      <c r="BG32" s="14" t="s">
        <v>99</v>
      </c>
      <c r="BH32" s="14" t="s">
        <v>99</v>
      </c>
      <c r="BI32" s="14">
        <v>6.0</v>
      </c>
      <c r="BJ32" s="14" t="s">
        <v>799</v>
      </c>
      <c r="BK32" s="14" t="s">
        <v>122</v>
      </c>
      <c r="BL32" s="14" t="s">
        <v>801</v>
      </c>
      <c r="BM32" s="14" t="s">
        <v>5564</v>
      </c>
      <c r="BN32" s="14">
        <v>2.1844354E7</v>
      </c>
      <c r="BO32" s="14" t="s">
        <v>425</v>
      </c>
      <c r="BP32" s="14" t="s">
        <v>99</v>
      </c>
      <c r="BQ32" s="14" t="s">
        <v>99</v>
      </c>
      <c r="BR32" s="14" t="s">
        <v>124</v>
      </c>
      <c r="BS32" s="14" t="s">
        <v>5565</v>
      </c>
      <c r="BT32" s="14" t="str">
        <f>HYPERLINK("https%3A%2F%2Fwww.webofscience.com%2Fwos%2Fwoscc%2Ffull-record%2FWOS:000294163500063","View Full Record in Web of Science")</f>
        <v>View Full Record in Web of Science</v>
      </c>
    </row>
    <row r="33" ht="12.75" customHeight="1">
      <c r="A33" s="14" t="s">
        <v>97</v>
      </c>
      <c r="B33" s="14" t="s">
        <v>5583</v>
      </c>
      <c r="C33" s="14" t="s">
        <v>99</v>
      </c>
      <c r="D33" s="14" t="s">
        <v>99</v>
      </c>
      <c r="E33" s="14" t="s">
        <v>99</v>
      </c>
      <c r="F33" s="14" t="s">
        <v>5584</v>
      </c>
      <c r="G33" s="14" t="s">
        <v>99</v>
      </c>
      <c r="H33" s="14" t="s">
        <v>99</v>
      </c>
      <c r="I33" s="14" t="s">
        <v>5585</v>
      </c>
      <c r="J33" s="14" t="s">
        <v>430</v>
      </c>
      <c r="K33" s="14" t="s">
        <v>99</v>
      </c>
      <c r="L33" s="14" t="s">
        <v>99</v>
      </c>
      <c r="M33" s="14" t="s">
        <v>103</v>
      </c>
      <c r="N33" s="14" t="s">
        <v>104</v>
      </c>
      <c r="O33" s="14" t="s">
        <v>99</v>
      </c>
      <c r="P33" s="14" t="s">
        <v>99</v>
      </c>
      <c r="Q33" s="14" t="s">
        <v>99</v>
      </c>
      <c r="R33" s="14" t="s">
        <v>99</v>
      </c>
      <c r="S33" s="14" t="s">
        <v>99</v>
      </c>
      <c r="T33" s="14" t="s">
        <v>5586</v>
      </c>
      <c r="U33" s="14" t="s">
        <v>5587</v>
      </c>
      <c r="V33" s="14" t="s">
        <v>5588</v>
      </c>
      <c r="W33" s="14" t="s">
        <v>5589</v>
      </c>
      <c r="X33" s="14" t="s">
        <v>5590</v>
      </c>
      <c r="Y33" s="14" t="s">
        <v>5591</v>
      </c>
      <c r="Z33" s="14" t="s">
        <v>5592</v>
      </c>
      <c r="AA33" s="14" t="s">
        <v>5593</v>
      </c>
      <c r="AB33" s="14" t="s">
        <v>99</v>
      </c>
      <c r="AC33" s="14" t="s">
        <v>5594</v>
      </c>
      <c r="AD33" s="14" t="s">
        <v>5595</v>
      </c>
      <c r="AE33" s="14" t="s">
        <v>5596</v>
      </c>
      <c r="AF33" s="14" t="s">
        <v>99</v>
      </c>
      <c r="AG33" s="14">
        <v>67.0</v>
      </c>
      <c r="AH33" s="14">
        <v>91.0</v>
      </c>
      <c r="AI33" s="14">
        <v>112.0</v>
      </c>
      <c r="AJ33" s="14">
        <v>3.0</v>
      </c>
      <c r="AK33" s="14">
        <v>96.0</v>
      </c>
      <c r="AL33" s="14" t="s">
        <v>441</v>
      </c>
      <c r="AM33" s="14" t="s">
        <v>442</v>
      </c>
      <c r="AN33" s="14" t="s">
        <v>443</v>
      </c>
      <c r="AO33" s="14" t="s">
        <v>444</v>
      </c>
      <c r="AP33" s="14" t="s">
        <v>445</v>
      </c>
      <c r="AQ33" s="14" t="s">
        <v>99</v>
      </c>
      <c r="AR33" s="14" t="s">
        <v>446</v>
      </c>
      <c r="AS33" s="14" t="s">
        <v>447</v>
      </c>
      <c r="AT33" s="14" t="s">
        <v>4787</v>
      </c>
      <c r="AU33" s="14">
        <v>2011.0</v>
      </c>
      <c r="AV33" s="14">
        <v>262.0</v>
      </c>
      <c r="AW33" s="14">
        <v>3.0</v>
      </c>
      <c r="AX33" s="14" t="s">
        <v>99</v>
      </c>
      <c r="AY33" s="14" t="s">
        <v>99</v>
      </c>
      <c r="AZ33" s="14" t="s">
        <v>99</v>
      </c>
      <c r="BA33" s="14" t="s">
        <v>99</v>
      </c>
      <c r="BB33" s="14">
        <v>307.0</v>
      </c>
      <c r="BC33" s="14">
        <v>316.0</v>
      </c>
      <c r="BD33" s="14" t="s">
        <v>99</v>
      </c>
      <c r="BE33" s="14" t="s">
        <v>5597</v>
      </c>
      <c r="BF33" s="15" t="str">
        <f>HYPERLINK("http://dx.doi.org/10.1016/j.foreco.2011.03.036","http://dx.doi.org/10.1016/j.foreco.2011.03.036")</f>
        <v>http://dx.doi.org/10.1016/j.foreco.2011.03.036</v>
      </c>
      <c r="BG33" s="14" t="s">
        <v>99</v>
      </c>
      <c r="BH33" s="14" t="s">
        <v>99</v>
      </c>
      <c r="BI33" s="14">
        <v>10.0</v>
      </c>
      <c r="BJ33" s="14" t="s">
        <v>281</v>
      </c>
      <c r="BK33" s="14" t="s">
        <v>122</v>
      </c>
      <c r="BL33" s="14" t="s">
        <v>281</v>
      </c>
      <c r="BM33" s="14" t="s">
        <v>5598</v>
      </c>
      <c r="BN33" s="14" t="s">
        <v>99</v>
      </c>
      <c r="BO33" s="14" t="s">
        <v>99</v>
      </c>
      <c r="BP33" s="14" t="s">
        <v>99</v>
      </c>
      <c r="BQ33" s="14" t="s">
        <v>99</v>
      </c>
      <c r="BR33" s="14" t="s">
        <v>124</v>
      </c>
      <c r="BS33" s="14" t="s">
        <v>5599</v>
      </c>
      <c r="BT33" s="14" t="str">
        <f>HYPERLINK("https%3A%2F%2Fwww.webofscience.com%2Fwos%2Fwoscc%2Ffull-record%2FWOS:000292428500001","View Full Record in Web of Science")</f>
        <v>View Full Record in Web of Science</v>
      </c>
    </row>
    <row r="34" ht="12.75" customHeight="1">
      <c r="A34" s="14" t="s">
        <v>97</v>
      </c>
      <c r="B34" s="14" t="s">
        <v>5646</v>
      </c>
      <c r="C34" s="14" t="s">
        <v>99</v>
      </c>
      <c r="D34" s="14" t="s">
        <v>99</v>
      </c>
      <c r="E34" s="14" t="s">
        <v>99</v>
      </c>
      <c r="F34" s="14" t="s">
        <v>5647</v>
      </c>
      <c r="G34" s="14" t="s">
        <v>99</v>
      </c>
      <c r="H34" s="14" t="s">
        <v>99</v>
      </c>
      <c r="I34" s="14" t="s">
        <v>5648</v>
      </c>
      <c r="J34" s="14" t="s">
        <v>328</v>
      </c>
      <c r="K34" s="14" t="s">
        <v>99</v>
      </c>
      <c r="L34" s="14" t="s">
        <v>99</v>
      </c>
      <c r="M34" s="14" t="s">
        <v>103</v>
      </c>
      <c r="N34" s="14" t="s">
        <v>104</v>
      </c>
      <c r="O34" s="14" t="s">
        <v>99</v>
      </c>
      <c r="P34" s="14" t="s">
        <v>99</v>
      </c>
      <c r="Q34" s="14" t="s">
        <v>99</v>
      </c>
      <c r="R34" s="14" t="s">
        <v>99</v>
      </c>
      <c r="S34" s="14" t="s">
        <v>99</v>
      </c>
      <c r="T34" s="14" t="s">
        <v>5649</v>
      </c>
      <c r="U34" s="14" t="s">
        <v>5650</v>
      </c>
      <c r="V34" s="14" t="s">
        <v>5651</v>
      </c>
      <c r="W34" s="14" t="s">
        <v>5652</v>
      </c>
      <c r="X34" s="14" t="s">
        <v>5653</v>
      </c>
      <c r="Y34" s="14" t="s">
        <v>5654</v>
      </c>
      <c r="Z34" s="14" t="s">
        <v>5655</v>
      </c>
      <c r="AA34" s="14" t="s">
        <v>5656</v>
      </c>
      <c r="AB34" s="14" t="s">
        <v>5657</v>
      </c>
      <c r="AC34" s="14" t="s">
        <v>5658</v>
      </c>
      <c r="AD34" s="14" t="s">
        <v>5659</v>
      </c>
      <c r="AE34" s="14" t="s">
        <v>5660</v>
      </c>
      <c r="AF34" s="14" t="s">
        <v>99</v>
      </c>
      <c r="AG34" s="14">
        <v>67.0</v>
      </c>
      <c r="AH34" s="14">
        <v>525.0</v>
      </c>
      <c r="AI34" s="14">
        <v>583.0</v>
      </c>
      <c r="AJ34" s="14">
        <v>4.0</v>
      </c>
      <c r="AK34" s="14">
        <v>451.0</v>
      </c>
      <c r="AL34" s="14" t="s">
        <v>341</v>
      </c>
      <c r="AM34" s="14" t="s">
        <v>342</v>
      </c>
      <c r="AN34" s="14" t="s">
        <v>343</v>
      </c>
      <c r="AO34" s="14" t="s">
        <v>344</v>
      </c>
      <c r="AP34" s="14" t="s">
        <v>345</v>
      </c>
      <c r="AQ34" s="14" t="s">
        <v>99</v>
      </c>
      <c r="AR34" s="14" t="s">
        <v>346</v>
      </c>
      <c r="AS34" s="14" t="s">
        <v>347</v>
      </c>
      <c r="AT34" s="14" t="s">
        <v>525</v>
      </c>
      <c r="AU34" s="14">
        <v>2011.0</v>
      </c>
      <c r="AV34" s="14">
        <v>17.0</v>
      </c>
      <c r="AW34" s="14">
        <v>7.0</v>
      </c>
      <c r="AX34" s="14" t="s">
        <v>99</v>
      </c>
      <c r="AY34" s="14" t="s">
        <v>99</v>
      </c>
      <c r="AZ34" s="14" t="s">
        <v>99</v>
      </c>
      <c r="BA34" s="14" t="s">
        <v>99</v>
      </c>
      <c r="BB34" s="14">
        <v>2330.0</v>
      </c>
      <c r="BC34" s="14">
        <v>2341.0</v>
      </c>
      <c r="BD34" s="14" t="s">
        <v>99</v>
      </c>
      <c r="BE34" s="14" t="s">
        <v>5661</v>
      </c>
      <c r="BF34" s="15" t="str">
        <f>HYPERLINK("http://dx.doi.org/10.1111/j.1365-2486.2010.02393.x","http://dx.doi.org/10.1111/j.1365-2486.2010.02393.x")</f>
        <v>http://dx.doi.org/10.1111/j.1365-2486.2010.02393.x</v>
      </c>
      <c r="BG34" s="14" t="s">
        <v>99</v>
      </c>
      <c r="BH34" s="14" t="s">
        <v>99</v>
      </c>
      <c r="BI34" s="14">
        <v>12.0</v>
      </c>
      <c r="BJ34" s="14" t="s">
        <v>351</v>
      </c>
      <c r="BK34" s="14" t="s">
        <v>122</v>
      </c>
      <c r="BL34" s="14" t="s">
        <v>352</v>
      </c>
      <c r="BM34" s="14" t="s">
        <v>5662</v>
      </c>
      <c r="BN34" s="14" t="s">
        <v>99</v>
      </c>
      <c r="BO34" s="14" t="s">
        <v>99</v>
      </c>
      <c r="BP34" s="14" t="s">
        <v>99</v>
      </c>
      <c r="BQ34" s="14" t="s">
        <v>99</v>
      </c>
      <c r="BR34" s="14" t="s">
        <v>124</v>
      </c>
      <c r="BS34" s="14" t="s">
        <v>5663</v>
      </c>
      <c r="BT34" s="14" t="str">
        <f>HYPERLINK("https%3A%2F%2Fwww.webofscience.com%2Fwos%2Fwoscc%2Ffull-record%2FWOS:000291221000006","View Full Record in Web of Science")</f>
        <v>View Full Record in Web of Science</v>
      </c>
    </row>
    <row r="35" ht="12.75" customHeight="1">
      <c r="A35" s="14" t="s">
        <v>97</v>
      </c>
      <c r="B35" s="14" t="s">
        <v>5875</v>
      </c>
      <c r="C35" s="14" t="s">
        <v>99</v>
      </c>
      <c r="D35" s="14" t="s">
        <v>99</v>
      </c>
      <c r="E35" s="14" t="s">
        <v>99</v>
      </c>
      <c r="F35" s="14" t="s">
        <v>5876</v>
      </c>
      <c r="G35" s="14" t="s">
        <v>99</v>
      </c>
      <c r="H35" s="14" t="s">
        <v>99</v>
      </c>
      <c r="I35" s="14" t="s">
        <v>5877</v>
      </c>
      <c r="J35" s="14" t="s">
        <v>5878</v>
      </c>
      <c r="K35" s="14" t="s">
        <v>99</v>
      </c>
      <c r="L35" s="14" t="s">
        <v>99</v>
      </c>
      <c r="M35" s="14" t="s">
        <v>103</v>
      </c>
      <c r="N35" s="14" t="s">
        <v>104</v>
      </c>
      <c r="O35" s="14" t="s">
        <v>99</v>
      </c>
      <c r="P35" s="14" t="s">
        <v>99</v>
      </c>
      <c r="Q35" s="14" t="s">
        <v>99</v>
      </c>
      <c r="R35" s="14" t="s">
        <v>99</v>
      </c>
      <c r="S35" s="14" t="s">
        <v>99</v>
      </c>
      <c r="T35" s="14" t="s">
        <v>5879</v>
      </c>
      <c r="U35" s="14" t="s">
        <v>5880</v>
      </c>
      <c r="V35" s="14" t="s">
        <v>5881</v>
      </c>
      <c r="W35" s="14" t="s">
        <v>5882</v>
      </c>
      <c r="X35" s="14" t="s">
        <v>5883</v>
      </c>
      <c r="Y35" s="14" t="s">
        <v>5884</v>
      </c>
      <c r="Z35" s="14" t="s">
        <v>5885</v>
      </c>
      <c r="AA35" s="14" t="s">
        <v>5886</v>
      </c>
      <c r="AB35" s="14" t="s">
        <v>5887</v>
      </c>
      <c r="AC35" s="14" t="s">
        <v>5888</v>
      </c>
      <c r="AD35" s="14" t="s">
        <v>5888</v>
      </c>
      <c r="AE35" s="14" t="s">
        <v>5889</v>
      </c>
      <c r="AF35" s="14" t="s">
        <v>99</v>
      </c>
      <c r="AG35" s="14">
        <v>56.0</v>
      </c>
      <c r="AH35" s="14">
        <v>135.0</v>
      </c>
      <c r="AI35" s="14">
        <v>150.0</v>
      </c>
      <c r="AJ35" s="14">
        <v>1.0</v>
      </c>
      <c r="AK35" s="14">
        <v>89.0</v>
      </c>
      <c r="AL35" s="14" t="s">
        <v>5890</v>
      </c>
      <c r="AM35" s="14" t="s">
        <v>5891</v>
      </c>
      <c r="AN35" s="14" t="s">
        <v>5892</v>
      </c>
      <c r="AO35" s="14" t="s">
        <v>5893</v>
      </c>
      <c r="AP35" s="14" t="s">
        <v>5894</v>
      </c>
      <c r="AQ35" s="14" t="s">
        <v>99</v>
      </c>
      <c r="AR35" s="14" t="s">
        <v>5895</v>
      </c>
      <c r="AS35" s="14" t="s">
        <v>5896</v>
      </c>
      <c r="AT35" s="14" t="s">
        <v>99</v>
      </c>
      <c r="AU35" s="14">
        <v>2011.0</v>
      </c>
      <c r="AV35" s="14">
        <v>62.0</v>
      </c>
      <c r="AW35" s="14">
        <v>9.0</v>
      </c>
      <c r="AX35" s="14" t="s">
        <v>99</v>
      </c>
      <c r="AY35" s="14" t="s">
        <v>99</v>
      </c>
      <c r="AZ35" s="14" t="s">
        <v>1738</v>
      </c>
      <c r="BA35" s="14" t="s">
        <v>99</v>
      </c>
      <c r="BB35" s="14">
        <v>1043.0</v>
      </c>
      <c r="BC35" s="14">
        <v>1061.0</v>
      </c>
      <c r="BD35" s="14" t="s">
        <v>99</v>
      </c>
      <c r="BE35" s="14" t="s">
        <v>5897</v>
      </c>
      <c r="BF35" s="15" t="str">
        <f>HYPERLINK("http://dx.doi.org/10.1071/MF10286","http://dx.doi.org/10.1071/MF10286")</f>
        <v>http://dx.doi.org/10.1071/MF10286</v>
      </c>
      <c r="BG35" s="14" t="s">
        <v>99</v>
      </c>
      <c r="BH35" s="14" t="s">
        <v>99</v>
      </c>
      <c r="BI35" s="14">
        <v>19.0</v>
      </c>
      <c r="BJ35" s="14" t="s">
        <v>5898</v>
      </c>
      <c r="BK35" s="14" t="s">
        <v>122</v>
      </c>
      <c r="BL35" s="14" t="s">
        <v>3086</v>
      </c>
      <c r="BM35" s="14" t="s">
        <v>5899</v>
      </c>
      <c r="BN35" s="14" t="s">
        <v>99</v>
      </c>
      <c r="BO35" s="14" t="s">
        <v>354</v>
      </c>
      <c r="BP35" s="14" t="s">
        <v>99</v>
      </c>
      <c r="BQ35" s="14" t="s">
        <v>99</v>
      </c>
      <c r="BR35" s="14" t="s">
        <v>124</v>
      </c>
      <c r="BS35" s="14" t="s">
        <v>5900</v>
      </c>
      <c r="BT35" s="14" t="str">
        <f>HYPERLINK("https%3A%2F%2Fwww.webofscience.com%2Fwos%2Fwoscc%2Ffull-record%2FWOS:000295083900006","View Full Record in Web of Science")</f>
        <v>View Full Record in Web of Science</v>
      </c>
    </row>
    <row r="36" ht="12.75" customHeight="1">
      <c r="A36" s="14" t="s">
        <v>97</v>
      </c>
      <c r="B36" s="14" t="s">
        <v>6262</v>
      </c>
      <c r="C36" s="14" t="s">
        <v>99</v>
      </c>
      <c r="D36" s="14" t="s">
        <v>99</v>
      </c>
      <c r="E36" s="14" t="s">
        <v>99</v>
      </c>
      <c r="F36" s="14" t="s">
        <v>6263</v>
      </c>
      <c r="G36" s="14" t="s">
        <v>99</v>
      </c>
      <c r="H36" s="14" t="s">
        <v>99</v>
      </c>
      <c r="I36" s="14" t="s">
        <v>6264</v>
      </c>
      <c r="J36" s="14" t="s">
        <v>6265</v>
      </c>
      <c r="K36" s="14" t="s">
        <v>99</v>
      </c>
      <c r="L36" s="14" t="s">
        <v>99</v>
      </c>
      <c r="M36" s="14" t="s">
        <v>103</v>
      </c>
      <c r="N36" s="14" t="s">
        <v>104</v>
      </c>
      <c r="O36" s="14" t="s">
        <v>99</v>
      </c>
      <c r="P36" s="14" t="s">
        <v>99</v>
      </c>
      <c r="Q36" s="14" t="s">
        <v>99</v>
      </c>
      <c r="R36" s="14" t="s">
        <v>99</v>
      </c>
      <c r="S36" s="14" t="s">
        <v>99</v>
      </c>
      <c r="T36" s="14" t="s">
        <v>6266</v>
      </c>
      <c r="U36" s="14" t="s">
        <v>6267</v>
      </c>
      <c r="V36" s="14" t="s">
        <v>6268</v>
      </c>
      <c r="W36" s="14" t="s">
        <v>6269</v>
      </c>
      <c r="X36" s="14" t="s">
        <v>6270</v>
      </c>
      <c r="Y36" s="14" t="s">
        <v>6271</v>
      </c>
      <c r="Z36" s="14" t="s">
        <v>3886</v>
      </c>
      <c r="AA36" s="14" t="s">
        <v>3887</v>
      </c>
      <c r="AB36" s="14" t="s">
        <v>3888</v>
      </c>
      <c r="AC36" s="14" t="s">
        <v>6272</v>
      </c>
      <c r="AD36" s="14" t="s">
        <v>6273</v>
      </c>
      <c r="AE36" s="14" t="s">
        <v>6274</v>
      </c>
      <c r="AF36" s="14" t="s">
        <v>99</v>
      </c>
      <c r="AG36" s="14">
        <v>41.0</v>
      </c>
      <c r="AH36" s="14">
        <v>26.0</v>
      </c>
      <c r="AI36" s="14">
        <v>36.0</v>
      </c>
      <c r="AJ36" s="14">
        <v>1.0</v>
      </c>
      <c r="AK36" s="14">
        <v>57.0</v>
      </c>
      <c r="AL36" s="14" t="s">
        <v>341</v>
      </c>
      <c r="AM36" s="14" t="s">
        <v>342</v>
      </c>
      <c r="AN36" s="14" t="s">
        <v>343</v>
      </c>
      <c r="AO36" s="14" t="s">
        <v>6275</v>
      </c>
      <c r="AP36" s="14" t="s">
        <v>6276</v>
      </c>
      <c r="AQ36" s="14" t="s">
        <v>99</v>
      </c>
      <c r="AR36" s="14" t="s">
        <v>6277</v>
      </c>
      <c r="AS36" s="14" t="s">
        <v>6278</v>
      </c>
      <c r="AT36" s="14" t="s">
        <v>616</v>
      </c>
      <c r="AU36" s="14">
        <v>2010.0</v>
      </c>
      <c r="AV36" s="14">
        <v>5.0</v>
      </c>
      <c r="AW36" s="14">
        <v>2.0</v>
      </c>
      <c r="AX36" s="14" t="s">
        <v>99</v>
      </c>
      <c r="AY36" s="14" t="s">
        <v>99</v>
      </c>
      <c r="AZ36" s="14" t="s">
        <v>99</v>
      </c>
      <c r="BA36" s="14" t="s">
        <v>99</v>
      </c>
      <c r="BB36" s="14">
        <v>154.0</v>
      </c>
      <c r="BC36" s="14">
        <v>163.0</v>
      </c>
      <c r="BD36" s="14" t="s">
        <v>99</v>
      </c>
      <c r="BE36" s="14" t="s">
        <v>6279</v>
      </c>
      <c r="BF36" s="15" t="str">
        <f>HYPERLINK("http://dx.doi.org/10.1111/j.1749-4877.2010.00198.x","http://dx.doi.org/10.1111/j.1749-4877.2010.00198.x")</f>
        <v>http://dx.doi.org/10.1111/j.1749-4877.2010.00198.x</v>
      </c>
      <c r="BG36" s="14" t="s">
        <v>99</v>
      </c>
      <c r="BH36" s="14" t="s">
        <v>99</v>
      </c>
      <c r="BI36" s="14">
        <v>10.0</v>
      </c>
      <c r="BJ36" s="14" t="s">
        <v>121</v>
      </c>
      <c r="BK36" s="14" t="s">
        <v>122</v>
      </c>
      <c r="BL36" s="14" t="s">
        <v>121</v>
      </c>
      <c r="BM36" s="14" t="s">
        <v>6280</v>
      </c>
      <c r="BN36" s="14">
        <v>2.1392333E7</v>
      </c>
      <c r="BO36" s="14" t="s">
        <v>99</v>
      </c>
      <c r="BP36" s="14" t="s">
        <v>99</v>
      </c>
      <c r="BQ36" s="14" t="s">
        <v>99</v>
      </c>
      <c r="BR36" s="14" t="s">
        <v>124</v>
      </c>
      <c r="BS36" s="14" t="s">
        <v>6281</v>
      </c>
      <c r="BT36" s="14" t="str">
        <f>HYPERLINK("https%3A%2F%2Fwww.webofscience.com%2Fwos%2Fwoscc%2Ffull-record%2FWOS:000278345400009","View Full Record in Web of Science")</f>
        <v>View Full Record in Web of Science</v>
      </c>
    </row>
    <row r="37" ht="12.75" customHeight="1">
      <c r="A37" s="14" t="s">
        <v>97</v>
      </c>
      <c r="B37" s="14" t="s">
        <v>6328</v>
      </c>
      <c r="C37" s="14" t="s">
        <v>99</v>
      </c>
      <c r="D37" s="14" t="s">
        <v>99</v>
      </c>
      <c r="E37" s="14" t="s">
        <v>99</v>
      </c>
      <c r="F37" s="14" t="s">
        <v>6329</v>
      </c>
      <c r="G37" s="14" t="s">
        <v>99</v>
      </c>
      <c r="H37" s="14" t="s">
        <v>99</v>
      </c>
      <c r="I37" s="14" t="s">
        <v>6330</v>
      </c>
      <c r="J37" s="14" t="s">
        <v>2566</v>
      </c>
      <c r="K37" s="14" t="s">
        <v>99</v>
      </c>
      <c r="L37" s="14" t="s">
        <v>99</v>
      </c>
      <c r="M37" s="14" t="s">
        <v>103</v>
      </c>
      <c r="N37" s="14" t="s">
        <v>104</v>
      </c>
      <c r="O37" s="14" t="s">
        <v>99</v>
      </c>
      <c r="P37" s="14" t="s">
        <v>99</v>
      </c>
      <c r="Q37" s="14" t="s">
        <v>99</v>
      </c>
      <c r="R37" s="14" t="s">
        <v>99</v>
      </c>
      <c r="S37" s="14" t="s">
        <v>99</v>
      </c>
      <c r="T37" s="14" t="s">
        <v>99</v>
      </c>
      <c r="U37" s="14" t="s">
        <v>6331</v>
      </c>
      <c r="V37" s="14" t="s">
        <v>6332</v>
      </c>
      <c r="W37" s="14" t="s">
        <v>6333</v>
      </c>
      <c r="X37" s="14" t="s">
        <v>6334</v>
      </c>
      <c r="Y37" s="14" t="s">
        <v>6335</v>
      </c>
      <c r="Z37" s="14" t="s">
        <v>6336</v>
      </c>
      <c r="AA37" s="14" t="s">
        <v>6337</v>
      </c>
      <c r="AB37" s="14" t="s">
        <v>6338</v>
      </c>
      <c r="AC37" s="14" t="s">
        <v>6339</v>
      </c>
      <c r="AD37" s="14" t="s">
        <v>6340</v>
      </c>
      <c r="AE37" s="14" t="s">
        <v>6341</v>
      </c>
      <c r="AF37" s="14" t="s">
        <v>99</v>
      </c>
      <c r="AG37" s="14">
        <v>28.0</v>
      </c>
      <c r="AH37" s="14">
        <v>1536.0</v>
      </c>
      <c r="AI37" s="14">
        <v>1775.0</v>
      </c>
      <c r="AJ37" s="14">
        <v>8.0</v>
      </c>
      <c r="AK37" s="14">
        <v>775.0</v>
      </c>
      <c r="AL37" s="14" t="s">
        <v>1243</v>
      </c>
      <c r="AM37" s="14" t="s">
        <v>789</v>
      </c>
      <c r="AN37" s="14" t="s">
        <v>1244</v>
      </c>
      <c r="AO37" s="14" t="s">
        <v>2578</v>
      </c>
      <c r="AP37" s="14" t="s">
        <v>2579</v>
      </c>
      <c r="AQ37" s="14" t="s">
        <v>99</v>
      </c>
      <c r="AR37" s="14" t="s">
        <v>2566</v>
      </c>
      <c r="AS37" s="14" t="s">
        <v>2580</v>
      </c>
      <c r="AT37" s="14" t="s">
        <v>6342</v>
      </c>
      <c r="AU37" s="14">
        <v>2010.0</v>
      </c>
      <c r="AV37" s="14">
        <v>328.0</v>
      </c>
      <c r="AW37" s="14">
        <v>5980.0</v>
      </c>
      <c r="AX37" s="14" t="s">
        <v>99</v>
      </c>
      <c r="AY37" s="14" t="s">
        <v>99</v>
      </c>
      <c r="AZ37" s="14" t="s">
        <v>99</v>
      </c>
      <c r="BA37" s="14" t="s">
        <v>99</v>
      </c>
      <c r="BB37" s="14">
        <v>894.0</v>
      </c>
      <c r="BC37" s="14">
        <v>899.0</v>
      </c>
      <c r="BD37" s="14" t="s">
        <v>99</v>
      </c>
      <c r="BE37" s="14" t="s">
        <v>6343</v>
      </c>
      <c r="BF37" s="15" t="str">
        <f>HYPERLINK("http://dx.doi.org/10.1126/science.1184695","http://dx.doi.org/10.1126/science.1184695")</f>
        <v>http://dx.doi.org/10.1126/science.1184695</v>
      </c>
      <c r="BG37" s="14" t="s">
        <v>99</v>
      </c>
      <c r="BH37" s="14" t="s">
        <v>99</v>
      </c>
      <c r="BI37" s="14">
        <v>6.0</v>
      </c>
      <c r="BJ37" s="14" t="s">
        <v>799</v>
      </c>
      <c r="BK37" s="14" t="s">
        <v>122</v>
      </c>
      <c r="BL37" s="14" t="s">
        <v>801</v>
      </c>
      <c r="BM37" s="14" t="s">
        <v>6344</v>
      </c>
      <c r="BN37" s="14">
        <v>2.0466932E7</v>
      </c>
      <c r="BO37" s="14" t="s">
        <v>425</v>
      </c>
      <c r="BP37" s="14" t="s">
        <v>99</v>
      </c>
      <c r="BQ37" s="14" t="s">
        <v>99</v>
      </c>
      <c r="BR37" s="14" t="s">
        <v>124</v>
      </c>
      <c r="BS37" s="14" t="s">
        <v>6345</v>
      </c>
      <c r="BT37" s="14" t="str">
        <f>HYPERLINK("https%3A%2F%2Fwww.webofscience.com%2Fwos%2Fwoscc%2Ffull-record%2FWOS:000277618800050","View Full Record in Web of Science")</f>
        <v>View Full Record in Web of Science</v>
      </c>
    </row>
    <row r="38" ht="12.75" customHeight="1">
      <c r="A38" s="14" t="s">
        <v>97</v>
      </c>
      <c r="B38" s="14" t="s">
        <v>6474</v>
      </c>
      <c r="C38" s="14" t="s">
        <v>99</v>
      </c>
      <c r="D38" s="14" t="s">
        <v>99</v>
      </c>
      <c r="E38" s="14" t="s">
        <v>99</v>
      </c>
      <c r="F38" s="14" t="s">
        <v>6475</v>
      </c>
      <c r="G38" s="14" t="s">
        <v>99</v>
      </c>
      <c r="H38" s="14" t="s">
        <v>99</v>
      </c>
      <c r="I38" s="14" t="s">
        <v>6476</v>
      </c>
      <c r="J38" s="14" t="s">
        <v>1721</v>
      </c>
      <c r="K38" s="14" t="s">
        <v>99</v>
      </c>
      <c r="L38" s="14" t="s">
        <v>99</v>
      </c>
      <c r="M38" s="14" t="s">
        <v>103</v>
      </c>
      <c r="N38" s="14" t="s">
        <v>104</v>
      </c>
      <c r="O38" s="14" t="s">
        <v>99</v>
      </c>
      <c r="P38" s="14" t="s">
        <v>99</v>
      </c>
      <c r="Q38" s="14" t="s">
        <v>99</v>
      </c>
      <c r="R38" s="14" t="s">
        <v>99</v>
      </c>
      <c r="S38" s="14" t="s">
        <v>99</v>
      </c>
      <c r="T38" s="14" t="s">
        <v>6477</v>
      </c>
      <c r="U38" s="14" t="s">
        <v>6478</v>
      </c>
      <c r="V38" s="14" t="s">
        <v>6479</v>
      </c>
      <c r="W38" s="14" t="s">
        <v>6480</v>
      </c>
      <c r="X38" s="14" t="s">
        <v>6481</v>
      </c>
      <c r="Y38" s="14" t="s">
        <v>6482</v>
      </c>
      <c r="Z38" s="14" t="s">
        <v>6483</v>
      </c>
      <c r="AA38" s="14" t="s">
        <v>6484</v>
      </c>
      <c r="AB38" s="14" t="s">
        <v>6485</v>
      </c>
      <c r="AC38" s="14" t="s">
        <v>6486</v>
      </c>
      <c r="AD38" s="14" t="s">
        <v>6487</v>
      </c>
      <c r="AE38" s="14" t="s">
        <v>6488</v>
      </c>
      <c r="AF38" s="14" t="s">
        <v>99</v>
      </c>
      <c r="AG38" s="14">
        <v>89.0</v>
      </c>
      <c r="AH38" s="14">
        <v>66.0</v>
      </c>
      <c r="AI38" s="14">
        <v>81.0</v>
      </c>
      <c r="AJ38" s="14">
        <v>0.0</v>
      </c>
      <c r="AK38" s="14">
        <v>85.0</v>
      </c>
      <c r="AL38" s="14" t="s">
        <v>1731</v>
      </c>
      <c r="AM38" s="14" t="s">
        <v>1732</v>
      </c>
      <c r="AN38" s="14" t="s">
        <v>1733</v>
      </c>
      <c r="AO38" s="14" t="s">
        <v>1734</v>
      </c>
      <c r="AP38" s="14" t="s">
        <v>1735</v>
      </c>
      <c r="AQ38" s="14" t="s">
        <v>99</v>
      </c>
      <c r="AR38" s="14" t="s">
        <v>1736</v>
      </c>
      <c r="AS38" s="14" t="s">
        <v>1737</v>
      </c>
      <c r="AT38" s="14" t="s">
        <v>1485</v>
      </c>
      <c r="AU38" s="14">
        <v>2010.0</v>
      </c>
      <c r="AV38" s="14">
        <v>19.0</v>
      </c>
      <c r="AW38" s="14">
        <v>3.0</v>
      </c>
      <c r="AX38" s="14" t="s">
        <v>99</v>
      </c>
      <c r="AY38" s="14" t="s">
        <v>99</v>
      </c>
      <c r="AZ38" s="14" t="s">
        <v>99</v>
      </c>
      <c r="BA38" s="14" t="s">
        <v>99</v>
      </c>
      <c r="BB38" s="14">
        <v>695.0</v>
      </c>
      <c r="BC38" s="14">
        <v>723.0</v>
      </c>
      <c r="BD38" s="14" t="s">
        <v>99</v>
      </c>
      <c r="BE38" s="14" t="s">
        <v>6489</v>
      </c>
      <c r="BF38" s="15" t="str">
        <f>HYPERLINK("http://dx.doi.org/10.1007/s10531-009-9728-x","http://dx.doi.org/10.1007/s10531-009-9728-x")</f>
        <v>http://dx.doi.org/10.1007/s10531-009-9728-x</v>
      </c>
      <c r="BG38" s="14" t="s">
        <v>99</v>
      </c>
      <c r="BH38" s="14" t="s">
        <v>99</v>
      </c>
      <c r="BI38" s="14">
        <v>29.0</v>
      </c>
      <c r="BJ38" s="14" t="s">
        <v>351</v>
      </c>
      <c r="BK38" s="14" t="s">
        <v>122</v>
      </c>
      <c r="BL38" s="14" t="s">
        <v>352</v>
      </c>
      <c r="BM38" s="14" t="s">
        <v>6490</v>
      </c>
      <c r="BN38" s="14" t="s">
        <v>99</v>
      </c>
      <c r="BO38" s="14" t="s">
        <v>99</v>
      </c>
      <c r="BP38" s="14" t="s">
        <v>99</v>
      </c>
      <c r="BQ38" s="14" t="s">
        <v>99</v>
      </c>
      <c r="BR38" s="14" t="s">
        <v>124</v>
      </c>
      <c r="BS38" s="14" t="s">
        <v>6491</v>
      </c>
      <c r="BT38" s="14" t="str">
        <f>HYPERLINK("https%3A%2F%2Fwww.webofscience.com%2Fwos%2Fwoscc%2Ffull-record%2FWOS:000274330800007","View Full Record in Web of Science")</f>
        <v>View Full Record in Web of Science</v>
      </c>
    </row>
    <row r="39" ht="12.75" customHeight="1">
      <c r="A39" s="14" t="s">
        <v>97</v>
      </c>
      <c r="B39" s="14" t="s">
        <v>6527</v>
      </c>
      <c r="C39" s="14" t="s">
        <v>99</v>
      </c>
      <c r="D39" s="14" t="s">
        <v>99</v>
      </c>
      <c r="E39" s="14" t="s">
        <v>99</v>
      </c>
      <c r="F39" s="14" t="s">
        <v>6528</v>
      </c>
      <c r="G39" s="14" t="s">
        <v>99</v>
      </c>
      <c r="H39" s="14" t="s">
        <v>99</v>
      </c>
      <c r="I39" s="14" t="s">
        <v>6529</v>
      </c>
      <c r="J39" s="14" t="s">
        <v>328</v>
      </c>
      <c r="K39" s="14" t="s">
        <v>99</v>
      </c>
      <c r="L39" s="14" t="s">
        <v>99</v>
      </c>
      <c r="M39" s="14" t="s">
        <v>103</v>
      </c>
      <c r="N39" s="14" t="s">
        <v>104</v>
      </c>
      <c r="O39" s="14" t="s">
        <v>99</v>
      </c>
      <c r="P39" s="14" t="s">
        <v>99</v>
      </c>
      <c r="Q39" s="14" t="s">
        <v>99</v>
      </c>
      <c r="R39" s="14" t="s">
        <v>99</v>
      </c>
      <c r="S39" s="14" t="s">
        <v>99</v>
      </c>
      <c r="T39" s="14" t="s">
        <v>6530</v>
      </c>
      <c r="U39" s="14" t="s">
        <v>6531</v>
      </c>
      <c r="V39" s="14" t="s">
        <v>6532</v>
      </c>
      <c r="W39" s="14" t="s">
        <v>6533</v>
      </c>
      <c r="X39" s="14" t="s">
        <v>6534</v>
      </c>
      <c r="Y39" s="14" t="s">
        <v>6535</v>
      </c>
      <c r="Z39" s="14" t="s">
        <v>6536</v>
      </c>
      <c r="AA39" s="14" t="s">
        <v>6537</v>
      </c>
      <c r="AB39" s="14" t="s">
        <v>6538</v>
      </c>
      <c r="AC39" s="14" t="s">
        <v>6539</v>
      </c>
      <c r="AD39" s="14" t="s">
        <v>6540</v>
      </c>
      <c r="AE39" s="14" t="s">
        <v>6541</v>
      </c>
      <c r="AF39" s="14" t="s">
        <v>99</v>
      </c>
      <c r="AG39" s="14">
        <v>54.0</v>
      </c>
      <c r="AH39" s="14">
        <v>206.0</v>
      </c>
      <c r="AI39" s="14">
        <v>246.0</v>
      </c>
      <c r="AJ39" s="14">
        <v>1.0</v>
      </c>
      <c r="AK39" s="14">
        <v>159.0</v>
      </c>
      <c r="AL39" s="14" t="s">
        <v>341</v>
      </c>
      <c r="AM39" s="14" t="s">
        <v>342</v>
      </c>
      <c r="AN39" s="14" t="s">
        <v>343</v>
      </c>
      <c r="AO39" s="14" t="s">
        <v>344</v>
      </c>
      <c r="AP39" s="14" t="s">
        <v>345</v>
      </c>
      <c r="AQ39" s="14" t="s">
        <v>99</v>
      </c>
      <c r="AR39" s="14" t="s">
        <v>346</v>
      </c>
      <c r="AS39" s="14" t="s">
        <v>347</v>
      </c>
      <c r="AT39" s="14" t="s">
        <v>280</v>
      </c>
      <c r="AU39" s="14">
        <v>2010.0</v>
      </c>
      <c r="AV39" s="14">
        <v>16.0</v>
      </c>
      <c r="AW39" s="14">
        <v>2.0</v>
      </c>
      <c r="AX39" s="14" t="s">
        <v>99</v>
      </c>
      <c r="AY39" s="14" t="s">
        <v>99</v>
      </c>
      <c r="AZ39" s="14" t="s">
        <v>99</v>
      </c>
      <c r="BA39" s="14" t="s">
        <v>99</v>
      </c>
      <c r="BB39" s="14">
        <v>561.0</v>
      </c>
      <c r="BC39" s="14">
        <v>576.0</v>
      </c>
      <c r="BD39" s="14" t="s">
        <v>99</v>
      </c>
      <c r="BE39" s="14" t="s">
        <v>6542</v>
      </c>
      <c r="BF39" s="15" t="str">
        <f>HYPERLINK("http://dx.doi.org/10.1111/j.1365-2486.2009.02021.x","http://dx.doi.org/10.1111/j.1365-2486.2009.02021.x")</f>
        <v>http://dx.doi.org/10.1111/j.1365-2486.2009.02021.x</v>
      </c>
      <c r="BG39" s="14" t="s">
        <v>99</v>
      </c>
      <c r="BH39" s="14" t="s">
        <v>99</v>
      </c>
      <c r="BI39" s="14">
        <v>16.0</v>
      </c>
      <c r="BJ39" s="14" t="s">
        <v>351</v>
      </c>
      <c r="BK39" s="14" t="s">
        <v>122</v>
      </c>
      <c r="BL39" s="14" t="s">
        <v>352</v>
      </c>
      <c r="BM39" s="14" t="s">
        <v>6543</v>
      </c>
      <c r="BN39" s="14" t="s">
        <v>99</v>
      </c>
      <c r="BO39" s="14" t="s">
        <v>99</v>
      </c>
      <c r="BP39" s="14" t="s">
        <v>99</v>
      </c>
      <c r="BQ39" s="14" t="s">
        <v>99</v>
      </c>
      <c r="BR39" s="14" t="s">
        <v>124</v>
      </c>
      <c r="BS39" s="14" t="s">
        <v>6544</v>
      </c>
      <c r="BT39" s="14" t="str">
        <f>HYPERLINK("https%3A%2F%2Fwww.webofscience.com%2Fwos%2Fwoscc%2Ffull-record%2FWOS:000274419400007","View Full Record in Web of Science")</f>
        <v>View Full Record in Web of Science</v>
      </c>
    </row>
    <row r="40" ht="12.75" customHeight="1">
      <c r="A40" s="14" t="s">
        <v>97</v>
      </c>
      <c r="B40" s="14" t="s">
        <v>6596</v>
      </c>
      <c r="C40" s="14" t="s">
        <v>99</v>
      </c>
      <c r="D40" s="14" t="s">
        <v>99</v>
      </c>
      <c r="E40" s="14" t="s">
        <v>99</v>
      </c>
      <c r="F40" s="14" t="s">
        <v>6597</v>
      </c>
      <c r="G40" s="14" t="s">
        <v>99</v>
      </c>
      <c r="H40" s="14" t="s">
        <v>99</v>
      </c>
      <c r="I40" s="14" t="s">
        <v>6598</v>
      </c>
      <c r="J40" s="14" t="s">
        <v>726</v>
      </c>
      <c r="K40" s="14" t="s">
        <v>99</v>
      </c>
      <c r="L40" s="14" t="s">
        <v>99</v>
      </c>
      <c r="M40" s="14" t="s">
        <v>103</v>
      </c>
      <c r="N40" s="14" t="s">
        <v>104</v>
      </c>
      <c r="O40" s="14" t="s">
        <v>99</v>
      </c>
      <c r="P40" s="14" t="s">
        <v>99</v>
      </c>
      <c r="Q40" s="14" t="s">
        <v>99</v>
      </c>
      <c r="R40" s="14" t="s">
        <v>99</v>
      </c>
      <c r="S40" s="14" t="s">
        <v>99</v>
      </c>
      <c r="T40" s="14" t="s">
        <v>6599</v>
      </c>
      <c r="U40" s="14" t="s">
        <v>6600</v>
      </c>
      <c r="V40" s="14" t="s">
        <v>6601</v>
      </c>
      <c r="W40" s="14" t="s">
        <v>6602</v>
      </c>
      <c r="X40" s="14" t="s">
        <v>6603</v>
      </c>
      <c r="Y40" s="14" t="s">
        <v>6604</v>
      </c>
      <c r="Z40" s="14" t="s">
        <v>6605</v>
      </c>
      <c r="AA40" s="14" t="s">
        <v>6606</v>
      </c>
      <c r="AB40" s="14" t="s">
        <v>6607</v>
      </c>
      <c r="AC40" s="14" t="s">
        <v>6608</v>
      </c>
      <c r="AD40" s="14" t="s">
        <v>6609</v>
      </c>
      <c r="AE40" s="14" t="s">
        <v>6610</v>
      </c>
      <c r="AF40" s="14" t="s">
        <v>99</v>
      </c>
      <c r="AG40" s="14">
        <v>67.0</v>
      </c>
      <c r="AH40" s="14">
        <v>103.0</v>
      </c>
      <c r="AI40" s="14">
        <v>117.0</v>
      </c>
      <c r="AJ40" s="14">
        <v>0.0</v>
      </c>
      <c r="AK40" s="14">
        <v>81.0</v>
      </c>
      <c r="AL40" s="14" t="s">
        <v>341</v>
      </c>
      <c r="AM40" s="14" t="s">
        <v>342</v>
      </c>
      <c r="AN40" s="14" t="s">
        <v>343</v>
      </c>
      <c r="AO40" s="14" t="s">
        <v>739</v>
      </c>
      <c r="AP40" s="14" t="s">
        <v>740</v>
      </c>
      <c r="AQ40" s="14" t="s">
        <v>99</v>
      </c>
      <c r="AR40" s="14" t="s">
        <v>741</v>
      </c>
      <c r="AS40" s="14" t="s">
        <v>742</v>
      </c>
      <c r="AT40" s="14" t="s">
        <v>935</v>
      </c>
      <c r="AU40" s="14">
        <v>2010.0</v>
      </c>
      <c r="AV40" s="14">
        <v>16.0</v>
      </c>
      <c r="AW40" s="14">
        <v>1.0</v>
      </c>
      <c r="AX40" s="14" t="s">
        <v>99</v>
      </c>
      <c r="AY40" s="14" t="s">
        <v>99</v>
      </c>
      <c r="AZ40" s="14" t="s">
        <v>99</v>
      </c>
      <c r="BA40" s="14" t="s">
        <v>99</v>
      </c>
      <c r="BB40" s="14">
        <v>187.0</v>
      </c>
      <c r="BC40" s="14">
        <v>201.0</v>
      </c>
      <c r="BD40" s="14" t="s">
        <v>99</v>
      </c>
      <c r="BE40" s="14" t="s">
        <v>6611</v>
      </c>
      <c r="BF40" s="15" t="str">
        <f>HYPERLINK("http://dx.doi.org/10.1111/j.1472-4642.2009.00623.x","http://dx.doi.org/10.1111/j.1472-4642.2009.00623.x")</f>
        <v>http://dx.doi.org/10.1111/j.1472-4642.2009.00623.x</v>
      </c>
      <c r="BG40" s="14" t="s">
        <v>99</v>
      </c>
      <c r="BH40" s="14" t="s">
        <v>99</v>
      </c>
      <c r="BI40" s="14">
        <v>15.0</v>
      </c>
      <c r="BJ40" s="14" t="s">
        <v>550</v>
      </c>
      <c r="BK40" s="14" t="s">
        <v>122</v>
      </c>
      <c r="BL40" s="14" t="s">
        <v>352</v>
      </c>
      <c r="BM40" s="14" t="s">
        <v>6594</v>
      </c>
      <c r="BN40" s="14" t="s">
        <v>99</v>
      </c>
      <c r="BO40" s="14" t="s">
        <v>99</v>
      </c>
      <c r="BP40" s="14" t="s">
        <v>99</v>
      </c>
      <c r="BQ40" s="14" t="s">
        <v>99</v>
      </c>
      <c r="BR40" s="14" t="s">
        <v>124</v>
      </c>
      <c r="BS40" s="14" t="s">
        <v>6612</v>
      </c>
      <c r="BT40" s="14" t="str">
        <f>HYPERLINK("https%3A%2F%2Fwww.webofscience.com%2Fwos%2Fwoscc%2Ffull-record%2FWOS:000273723100018","View Full Record in Web of Science")</f>
        <v>View Full Record in Web of Science</v>
      </c>
    </row>
    <row r="41" ht="12.75" customHeight="1">
      <c r="A41" s="14" t="s">
        <v>97</v>
      </c>
      <c r="B41" s="14" t="s">
        <v>6835</v>
      </c>
      <c r="C41" s="14" t="s">
        <v>99</v>
      </c>
      <c r="D41" s="14" t="s">
        <v>99</v>
      </c>
      <c r="E41" s="14" t="s">
        <v>99</v>
      </c>
      <c r="F41" s="14" t="s">
        <v>6836</v>
      </c>
      <c r="G41" s="14" t="s">
        <v>99</v>
      </c>
      <c r="H41" s="14" t="s">
        <v>99</v>
      </c>
      <c r="I41" s="14" t="s">
        <v>6837</v>
      </c>
      <c r="J41" s="14" t="s">
        <v>328</v>
      </c>
      <c r="K41" s="14" t="s">
        <v>99</v>
      </c>
      <c r="L41" s="14" t="s">
        <v>99</v>
      </c>
      <c r="M41" s="14" t="s">
        <v>103</v>
      </c>
      <c r="N41" s="14" t="s">
        <v>104</v>
      </c>
      <c r="O41" s="14" t="s">
        <v>99</v>
      </c>
      <c r="P41" s="14" t="s">
        <v>99</v>
      </c>
      <c r="Q41" s="14" t="s">
        <v>99</v>
      </c>
      <c r="R41" s="14" t="s">
        <v>99</v>
      </c>
      <c r="S41" s="14" t="s">
        <v>99</v>
      </c>
      <c r="T41" s="14" t="s">
        <v>6838</v>
      </c>
      <c r="U41" s="14" t="s">
        <v>6839</v>
      </c>
      <c r="V41" s="14" t="s">
        <v>6840</v>
      </c>
      <c r="W41" s="14" t="s">
        <v>6841</v>
      </c>
      <c r="X41" s="14" t="s">
        <v>6842</v>
      </c>
      <c r="Y41" s="14" t="s">
        <v>6843</v>
      </c>
      <c r="Z41" s="14" t="s">
        <v>6844</v>
      </c>
      <c r="AA41" s="14" t="s">
        <v>6845</v>
      </c>
      <c r="AB41" s="14" t="s">
        <v>6846</v>
      </c>
      <c r="AC41" s="14" t="s">
        <v>6847</v>
      </c>
      <c r="AD41" s="14" t="s">
        <v>6848</v>
      </c>
      <c r="AE41" s="14" t="s">
        <v>6849</v>
      </c>
      <c r="AF41" s="14" t="s">
        <v>99</v>
      </c>
      <c r="AG41" s="14">
        <v>73.0</v>
      </c>
      <c r="AH41" s="14">
        <v>449.0</v>
      </c>
      <c r="AI41" s="14">
        <v>501.0</v>
      </c>
      <c r="AJ41" s="14">
        <v>2.0</v>
      </c>
      <c r="AK41" s="14">
        <v>300.0</v>
      </c>
      <c r="AL41" s="14" t="s">
        <v>341</v>
      </c>
      <c r="AM41" s="14" t="s">
        <v>342</v>
      </c>
      <c r="AN41" s="14" t="s">
        <v>343</v>
      </c>
      <c r="AO41" s="14" t="s">
        <v>344</v>
      </c>
      <c r="AP41" s="14" t="s">
        <v>345</v>
      </c>
      <c r="AQ41" s="14" t="s">
        <v>99</v>
      </c>
      <c r="AR41" s="14" t="s">
        <v>346</v>
      </c>
      <c r="AS41" s="14" t="s">
        <v>347</v>
      </c>
      <c r="AT41" s="14" t="s">
        <v>616</v>
      </c>
      <c r="AU41" s="14">
        <v>2009.0</v>
      </c>
      <c r="AV41" s="14">
        <v>15.0</v>
      </c>
      <c r="AW41" s="14">
        <v>6.0</v>
      </c>
      <c r="AX41" s="14" t="s">
        <v>99</v>
      </c>
      <c r="AY41" s="14" t="s">
        <v>99</v>
      </c>
      <c r="AZ41" s="14" t="s">
        <v>99</v>
      </c>
      <c r="BA41" s="14" t="s">
        <v>99</v>
      </c>
      <c r="BB41" s="14">
        <v>1557.0</v>
      </c>
      <c r="BC41" s="14">
        <v>1569.0</v>
      </c>
      <c r="BD41" s="14" t="s">
        <v>99</v>
      </c>
      <c r="BE41" s="14" t="s">
        <v>6850</v>
      </c>
      <c r="BF41" s="15" t="str">
        <f>HYPERLINK("http://dx.doi.org/10.1111/j.1365-2486.2008.01766.x","http://dx.doi.org/10.1111/j.1365-2486.2008.01766.x")</f>
        <v>http://dx.doi.org/10.1111/j.1365-2486.2008.01766.x</v>
      </c>
      <c r="BG41" s="14" t="s">
        <v>99</v>
      </c>
      <c r="BH41" s="14" t="s">
        <v>99</v>
      </c>
      <c r="BI41" s="14">
        <v>13.0</v>
      </c>
      <c r="BJ41" s="14" t="s">
        <v>351</v>
      </c>
      <c r="BK41" s="14" t="s">
        <v>122</v>
      </c>
      <c r="BL41" s="14" t="s">
        <v>352</v>
      </c>
      <c r="BM41" s="14" t="s">
        <v>6851</v>
      </c>
      <c r="BN41" s="14" t="s">
        <v>99</v>
      </c>
      <c r="BO41" s="14" t="s">
        <v>99</v>
      </c>
      <c r="BP41" s="14" t="s">
        <v>99</v>
      </c>
      <c r="BQ41" s="14" t="s">
        <v>99</v>
      </c>
      <c r="BR41" s="14" t="s">
        <v>124</v>
      </c>
      <c r="BS41" s="14" t="s">
        <v>6852</v>
      </c>
      <c r="BT41" s="14" t="str">
        <f>HYPERLINK("https%3A%2F%2Fwww.webofscience.com%2Fwos%2Fwoscc%2Ffull-record%2FWOS:000265771400016","View Full Record in Web of Science")</f>
        <v>View Full Record in Web of Science</v>
      </c>
    </row>
    <row r="42" ht="12.75" customHeight="1">
      <c r="A42" s="14" t="s">
        <v>97</v>
      </c>
      <c r="B42" s="14" t="s">
        <v>6869</v>
      </c>
      <c r="C42" s="14" t="s">
        <v>99</v>
      </c>
      <c r="D42" s="14" t="s">
        <v>99</v>
      </c>
      <c r="E42" s="14" t="s">
        <v>99</v>
      </c>
      <c r="F42" s="14" t="s">
        <v>6870</v>
      </c>
      <c r="G42" s="14" t="s">
        <v>99</v>
      </c>
      <c r="H42" s="14" t="s">
        <v>99</v>
      </c>
      <c r="I42" s="14" t="s">
        <v>6871</v>
      </c>
      <c r="J42" s="14" t="s">
        <v>6872</v>
      </c>
      <c r="K42" s="14" t="s">
        <v>99</v>
      </c>
      <c r="L42" s="14" t="s">
        <v>99</v>
      </c>
      <c r="M42" s="14" t="s">
        <v>103</v>
      </c>
      <c r="N42" s="14" t="s">
        <v>104</v>
      </c>
      <c r="O42" s="14" t="s">
        <v>99</v>
      </c>
      <c r="P42" s="14" t="s">
        <v>99</v>
      </c>
      <c r="Q42" s="14" t="s">
        <v>99</v>
      </c>
      <c r="R42" s="14" t="s">
        <v>99</v>
      </c>
      <c r="S42" s="14" t="s">
        <v>99</v>
      </c>
      <c r="T42" s="14" t="s">
        <v>6873</v>
      </c>
      <c r="U42" s="14" t="s">
        <v>6874</v>
      </c>
      <c r="V42" s="14" t="s">
        <v>6875</v>
      </c>
      <c r="W42" s="14" t="s">
        <v>6876</v>
      </c>
      <c r="X42" s="14" t="s">
        <v>6877</v>
      </c>
      <c r="Y42" s="14" t="s">
        <v>6878</v>
      </c>
      <c r="Z42" s="14" t="s">
        <v>6879</v>
      </c>
      <c r="AA42" s="14" t="s">
        <v>6880</v>
      </c>
      <c r="AB42" s="14" t="s">
        <v>99</v>
      </c>
      <c r="AC42" s="14" t="s">
        <v>6881</v>
      </c>
      <c r="AD42" s="14" t="s">
        <v>6882</v>
      </c>
      <c r="AE42" s="14" t="s">
        <v>6883</v>
      </c>
      <c r="AF42" s="14" t="s">
        <v>99</v>
      </c>
      <c r="AG42" s="14">
        <v>97.0</v>
      </c>
      <c r="AH42" s="14">
        <v>380.0</v>
      </c>
      <c r="AI42" s="14">
        <v>442.0</v>
      </c>
      <c r="AJ42" s="14">
        <v>1.0</v>
      </c>
      <c r="AK42" s="14">
        <v>288.0</v>
      </c>
      <c r="AL42" s="14" t="s">
        <v>341</v>
      </c>
      <c r="AM42" s="14" t="s">
        <v>342</v>
      </c>
      <c r="AN42" s="14" t="s">
        <v>343</v>
      </c>
      <c r="AO42" s="14" t="s">
        <v>6884</v>
      </c>
      <c r="AP42" s="14" t="s">
        <v>6885</v>
      </c>
      <c r="AQ42" s="14" t="s">
        <v>99</v>
      </c>
      <c r="AR42" s="14" t="s">
        <v>6872</v>
      </c>
      <c r="AS42" s="14" t="s">
        <v>259</v>
      </c>
      <c r="AT42" s="14" t="s">
        <v>640</v>
      </c>
      <c r="AU42" s="14">
        <v>2009.0</v>
      </c>
      <c r="AV42" s="14">
        <v>90.0</v>
      </c>
      <c r="AW42" s="14">
        <v>5.0</v>
      </c>
      <c r="AX42" s="14" t="s">
        <v>99</v>
      </c>
      <c r="AY42" s="14" t="s">
        <v>99</v>
      </c>
      <c r="AZ42" s="14" t="s">
        <v>99</v>
      </c>
      <c r="BA42" s="14" t="s">
        <v>99</v>
      </c>
      <c r="BB42" s="14">
        <v>1301.0</v>
      </c>
      <c r="BC42" s="14">
        <v>1313.0</v>
      </c>
      <c r="BD42" s="14" t="s">
        <v>99</v>
      </c>
      <c r="BE42" s="14" t="s">
        <v>6886</v>
      </c>
      <c r="BF42" s="15" t="str">
        <f>HYPERLINK("http://dx.doi.org/10.1890/08-0134.1","http://dx.doi.org/10.1890/08-0134.1")</f>
        <v>http://dx.doi.org/10.1890/08-0134.1</v>
      </c>
      <c r="BG42" s="14" t="s">
        <v>99</v>
      </c>
      <c r="BH42" s="14" t="s">
        <v>99</v>
      </c>
      <c r="BI42" s="14">
        <v>13.0</v>
      </c>
      <c r="BJ42" s="14" t="s">
        <v>259</v>
      </c>
      <c r="BK42" s="14" t="s">
        <v>122</v>
      </c>
      <c r="BL42" s="14" t="s">
        <v>260</v>
      </c>
      <c r="BM42" s="14" t="s">
        <v>6887</v>
      </c>
      <c r="BN42" s="14">
        <v>1.953755E7</v>
      </c>
      <c r="BO42" s="14" t="s">
        <v>99</v>
      </c>
      <c r="BP42" s="14" t="s">
        <v>99</v>
      </c>
      <c r="BQ42" s="14" t="s">
        <v>99</v>
      </c>
      <c r="BR42" s="14" t="s">
        <v>124</v>
      </c>
      <c r="BS42" s="14" t="s">
        <v>6888</v>
      </c>
      <c r="BT42" s="14" t="str">
        <f>HYPERLINK("https%3A%2F%2Fwww.webofscience.com%2Fwos%2Fwoscc%2Ffull-record%2FWOS:000265816200012","View Full Record in Web of Science")</f>
        <v>View Full Record in Web of Science</v>
      </c>
    </row>
    <row r="43" ht="12.75" customHeight="1">
      <c r="A43" s="14" t="s">
        <v>97</v>
      </c>
      <c r="B43" s="14" t="s">
        <v>6889</v>
      </c>
      <c r="C43" s="14" t="s">
        <v>99</v>
      </c>
      <c r="D43" s="14" t="s">
        <v>99</v>
      </c>
      <c r="E43" s="14" t="s">
        <v>99</v>
      </c>
      <c r="F43" s="14" t="s">
        <v>6890</v>
      </c>
      <c r="G43" s="14" t="s">
        <v>99</v>
      </c>
      <c r="H43" s="14" t="s">
        <v>99</v>
      </c>
      <c r="I43" s="14" t="s">
        <v>6891</v>
      </c>
      <c r="J43" s="14" t="s">
        <v>4070</v>
      </c>
      <c r="K43" s="14" t="s">
        <v>99</v>
      </c>
      <c r="L43" s="14" t="s">
        <v>99</v>
      </c>
      <c r="M43" s="14" t="s">
        <v>103</v>
      </c>
      <c r="N43" s="14" t="s">
        <v>104</v>
      </c>
      <c r="O43" s="14" t="s">
        <v>99</v>
      </c>
      <c r="P43" s="14" t="s">
        <v>99</v>
      </c>
      <c r="Q43" s="14" t="s">
        <v>99</v>
      </c>
      <c r="R43" s="14" t="s">
        <v>99</v>
      </c>
      <c r="S43" s="14" t="s">
        <v>99</v>
      </c>
      <c r="T43" s="14" t="s">
        <v>6892</v>
      </c>
      <c r="U43" s="14" t="s">
        <v>6893</v>
      </c>
      <c r="V43" s="14" t="s">
        <v>6894</v>
      </c>
      <c r="W43" s="14" t="s">
        <v>6895</v>
      </c>
      <c r="X43" s="14" t="s">
        <v>6896</v>
      </c>
      <c r="Y43" s="14" t="s">
        <v>6897</v>
      </c>
      <c r="Z43" s="14" t="s">
        <v>6898</v>
      </c>
      <c r="AA43" s="14" t="s">
        <v>6899</v>
      </c>
      <c r="AB43" s="14" t="s">
        <v>6900</v>
      </c>
      <c r="AC43" s="14" t="s">
        <v>6901</v>
      </c>
      <c r="AD43" s="14" t="s">
        <v>6902</v>
      </c>
      <c r="AE43" s="14" t="s">
        <v>6903</v>
      </c>
      <c r="AF43" s="14" t="s">
        <v>99</v>
      </c>
      <c r="AG43" s="14">
        <v>36.0</v>
      </c>
      <c r="AH43" s="14">
        <v>260.0</v>
      </c>
      <c r="AI43" s="14">
        <v>293.0</v>
      </c>
      <c r="AJ43" s="14">
        <v>0.0</v>
      </c>
      <c r="AK43" s="14">
        <v>238.0</v>
      </c>
      <c r="AL43" s="14" t="s">
        <v>1544</v>
      </c>
      <c r="AM43" s="14" t="s">
        <v>274</v>
      </c>
      <c r="AN43" s="14" t="s">
        <v>1545</v>
      </c>
      <c r="AO43" s="14" t="s">
        <v>4079</v>
      </c>
      <c r="AP43" s="14" t="s">
        <v>4080</v>
      </c>
      <c r="AQ43" s="14" t="s">
        <v>99</v>
      </c>
      <c r="AR43" s="14" t="s">
        <v>4081</v>
      </c>
      <c r="AS43" s="14" t="s">
        <v>4082</v>
      </c>
      <c r="AT43" s="14" t="s">
        <v>6904</v>
      </c>
      <c r="AU43" s="14">
        <v>2009.0</v>
      </c>
      <c r="AV43" s="14">
        <v>276.0</v>
      </c>
      <c r="AW43" s="14">
        <v>1661.0</v>
      </c>
      <c r="AX43" s="14" t="s">
        <v>99</v>
      </c>
      <c r="AY43" s="14" t="s">
        <v>99</v>
      </c>
      <c r="AZ43" s="14" t="s">
        <v>99</v>
      </c>
      <c r="BA43" s="14" t="s">
        <v>99</v>
      </c>
      <c r="BB43" s="14">
        <v>1415.0</v>
      </c>
      <c r="BC43" s="14">
        <v>1420.0</v>
      </c>
      <c r="BD43" s="14" t="s">
        <v>99</v>
      </c>
      <c r="BE43" s="14" t="s">
        <v>6905</v>
      </c>
      <c r="BF43" s="15" t="str">
        <f>HYPERLINK("http://dx.doi.org/10.1098/rspb.2008.1681","http://dx.doi.org/10.1098/rspb.2008.1681")</f>
        <v>http://dx.doi.org/10.1098/rspb.2008.1681</v>
      </c>
      <c r="BG43" s="14" t="s">
        <v>99</v>
      </c>
      <c r="BH43" s="14" t="s">
        <v>99</v>
      </c>
      <c r="BI43" s="14">
        <v>6.0</v>
      </c>
      <c r="BJ43" s="14" t="s">
        <v>1552</v>
      </c>
      <c r="BK43" s="14" t="s">
        <v>122</v>
      </c>
      <c r="BL43" s="14" t="s">
        <v>1553</v>
      </c>
      <c r="BM43" s="14" t="s">
        <v>6906</v>
      </c>
      <c r="BN43" s="14">
        <v>1.9324811E7</v>
      </c>
      <c r="BO43" s="14" t="s">
        <v>425</v>
      </c>
      <c r="BP43" s="14" t="s">
        <v>99</v>
      </c>
      <c r="BQ43" s="14" t="s">
        <v>99</v>
      </c>
      <c r="BR43" s="14" t="s">
        <v>124</v>
      </c>
      <c r="BS43" s="14" t="s">
        <v>6907</v>
      </c>
      <c r="BT43" s="14" t="str">
        <f>HYPERLINK("https%3A%2F%2Fwww.webofscience.com%2Fwos%2Fwoscc%2Ffull-record%2FWOS:000264351900004","View Full Record in Web of Science")</f>
        <v>View Full Record in Web of Science</v>
      </c>
    </row>
    <row r="44" ht="12.75" customHeight="1">
      <c r="A44" s="14" t="s">
        <v>97</v>
      </c>
      <c r="B44" s="14" t="s">
        <v>6951</v>
      </c>
      <c r="C44" s="14" t="s">
        <v>99</v>
      </c>
      <c r="D44" s="14" t="s">
        <v>99</v>
      </c>
      <c r="E44" s="14" t="s">
        <v>99</v>
      </c>
      <c r="F44" s="14" t="s">
        <v>6952</v>
      </c>
      <c r="G44" s="14" t="s">
        <v>99</v>
      </c>
      <c r="H44" s="14" t="s">
        <v>99</v>
      </c>
      <c r="I44" s="14" t="s">
        <v>6953</v>
      </c>
      <c r="J44" s="14" t="s">
        <v>6954</v>
      </c>
      <c r="K44" s="14" t="s">
        <v>99</v>
      </c>
      <c r="L44" s="14" t="s">
        <v>99</v>
      </c>
      <c r="M44" s="14" t="s">
        <v>103</v>
      </c>
      <c r="N44" s="14" t="s">
        <v>104</v>
      </c>
      <c r="O44" s="14" t="s">
        <v>99</v>
      </c>
      <c r="P44" s="14" t="s">
        <v>99</v>
      </c>
      <c r="Q44" s="14" t="s">
        <v>99</v>
      </c>
      <c r="R44" s="14" t="s">
        <v>99</v>
      </c>
      <c r="S44" s="14" t="s">
        <v>99</v>
      </c>
      <c r="T44" s="14" t="s">
        <v>6955</v>
      </c>
      <c r="U44" s="14" t="s">
        <v>6956</v>
      </c>
      <c r="V44" s="14" t="s">
        <v>6957</v>
      </c>
      <c r="W44" s="14" t="s">
        <v>6958</v>
      </c>
      <c r="X44" s="14" t="s">
        <v>6959</v>
      </c>
      <c r="Y44" s="14" t="s">
        <v>6960</v>
      </c>
      <c r="Z44" s="14" t="s">
        <v>6961</v>
      </c>
      <c r="AA44" s="14" t="s">
        <v>6962</v>
      </c>
      <c r="AB44" s="14" t="s">
        <v>6963</v>
      </c>
      <c r="AC44" s="14" t="s">
        <v>6964</v>
      </c>
      <c r="AD44" s="14" t="s">
        <v>6965</v>
      </c>
      <c r="AE44" s="14" t="s">
        <v>6966</v>
      </c>
      <c r="AF44" s="14" t="s">
        <v>99</v>
      </c>
      <c r="AG44" s="14">
        <v>56.0</v>
      </c>
      <c r="AH44" s="14">
        <v>145.0</v>
      </c>
      <c r="AI44" s="14">
        <v>163.0</v>
      </c>
      <c r="AJ44" s="14">
        <v>1.0</v>
      </c>
      <c r="AK44" s="14">
        <v>88.0</v>
      </c>
      <c r="AL44" s="14" t="s">
        <v>6967</v>
      </c>
      <c r="AM44" s="14" t="s">
        <v>1348</v>
      </c>
      <c r="AN44" s="14" t="s">
        <v>6968</v>
      </c>
      <c r="AO44" s="14" t="s">
        <v>6969</v>
      </c>
      <c r="AP44" s="14" t="s">
        <v>6970</v>
      </c>
      <c r="AQ44" s="14" t="s">
        <v>99</v>
      </c>
      <c r="AR44" s="14" t="s">
        <v>6971</v>
      </c>
      <c r="AS44" s="14" t="s">
        <v>6972</v>
      </c>
      <c r="AT44" s="14" t="s">
        <v>1485</v>
      </c>
      <c r="AU44" s="14">
        <v>2009.0</v>
      </c>
      <c r="AV44" s="14">
        <v>71.0</v>
      </c>
      <c r="AW44" s="14">
        <v>1.0</v>
      </c>
      <c r="AX44" s="14" t="s">
        <v>99</v>
      </c>
      <c r="AY44" s="14" t="s">
        <v>99</v>
      </c>
      <c r="AZ44" s="14" t="s">
        <v>99</v>
      </c>
      <c r="BA44" s="14" t="s">
        <v>99</v>
      </c>
      <c r="BB44" s="14">
        <v>3.0</v>
      </c>
      <c r="BC44" s="14">
        <v>14.0</v>
      </c>
      <c r="BD44" s="14" t="s">
        <v>99</v>
      </c>
      <c r="BE44" s="14" t="s">
        <v>6973</v>
      </c>
      <c r="BF44" s="15" t="str">
        <f>HYPERLINK("http://dx.doi.org/10.1007/s00027-009-9159-5","http://dx.doi.org/10.1007/s00027-009-9159-5")</f>
        <v>http://dx.doi.org/10.1007/s00027-009-9159-5</v>
      </c>
      <c r="BG44" s="14" t="s">
        <v>99</v>
      </c>
      <c r="BH44" s="14" t="s">
        <v>99</v>
      </c>
      <c r="BI44" s="14">
        <v>12.0</v>
      </c>
      <c r="BJ44" s="14" t="s">
        <v>2121</v>
      </c>
      <c r="BK44" s="14" t="s">
        <v>122</v>
      </c>
      <c r="BL44" s="14" t="s">
        <v>397</v>
      </c>
      <c r="BM44" s="14" t="s">
        <v>6974</v>
      </c>
      <c r="BN44" s="14" t="s">
        <v>99</v>
      </c>
      <c r="BO44" s="14" t="s">
        <v>99</v>
      </c>
      <c r="BP44" s="14" t="s">
        <v>99</v>
      </c>
      <c r="BQ44" s="14" t="s">
        <v>99</v>
      </c>
      <c r="BR44" s="14" t="s">
        <v>124</v>
      </c>
      <c r="BS44" s="14" t="s">
        <v>6975</v>
      </c>
      <c r="BT44" s="14" t="str">
        <f>HYPERLINK("https%3A%2F%2Fwww.webofscience.com%2Fwos%2Fwoscc%2Ffull-record%2FWOS:000265087700002","View Full Record in Web of Science")</f>
        <v>View Full Record in Web of Science</v>
      </c>
    </row>
    <row r="45" ht="12.75" customHeight="1">
      <c r="A45" s="14" t="s">
        <v>97</v>
      </c>
      <c r="B45" s="14" t="s">
        <v>6976</v>
      </c>
      <c r="C45" s="14" t="s">
        <v>99</v>
      </c>
      <c r="D45" s="14" t="s">
        <v>99</v>
      </c>
      <c r="E45" s="14" t="s">
        <v>99</v>
      </c>
      <c r="F45" s="14" t="s">
        <v>6977</v>
      </c>
      <c r="G45" s="14" t="s">
        <v>99</v>
      </c>
      <c r="H45" s="14" t="s">
        <v>99</v>
      </c>
      <c r="I45" s="14" t="s">
        <v>6978</v>
      </c>
      <c r="J45" s="14" t="s">
        <v>3355</v>
      </c>
      <c r="K45" s="14" t="s">
        <v>99</v>
      </c>
      <c r="L45" s="14" t="s">
        <v>99</v>
      </c>
      <c r="M45" s="14" t="s">
        <v>103</v>
      </c>
      <c r="N45" s="14" t="s">
        <v>104</v>
      </c>
      <c r="O45" s="14" t="s">
        <v>99</v>
      </c>
      <c r="P45" s="14" t="s">
        <v>99</v>
      </c>
      <c r="Q45" s="14" t="s">
        <v>99</v>
      </c>
      <c r="R45" s="14" t="s">
        <v>99</v>
      </c>
      <c r="S45" s="14" t="s">
        <v>99</v>
      </c>
      <c r="T45" s="14" t="s">
        <v>99</v>
      </c>
      <c r="U45" s="14" t="s">
        <v>6979</v>
      </c>
      <c r="V45" s="14" t="s">
        <v>6980</v>
      </c>
      <c r="W45" s="14" t="s">
        <v>6981</v>
      </c>
      <c r="X45" s="14" t="s">
        <v>6982</v>
      </c>
      <c r="Y45" s="14" t="s">
        <v>6983</v>
      </c>
      <c r="Z45" s="14" t="s">
        <v>6984</v>
      </c>
      <c r="AA45" s="14" t="s">
        <v>6985</v>
      </c>
      <c r="AB45" s="14" t="s">
        <v>6986</v>
      </c>
      <c r="AC45" s="14" t="s">
        <v>6987</v>
      </c>
      <c r="AD45" s="14" t="s">
        <v>6988</v>
      </c>
      <c r="AE45" s="14" t="s">
        <v>6989</v>
      </c>
      <c r="AF45" s="14" t="s">
        <v>99</v>
      </c>
      <c r="AG45" s="14">
        <v>55.0</v>
      </c>
      <c r="AH45" s="14">
        <v>239.0</v>
      </c>
      <c r="AI45" s="14">
        <v>267.0</v>
      </c>
      <c r="AJ45" s="14">
        <v>2.0</v>
      </c>
      <c r="AK45" s="14">
        <v>122.0</v>
      </c>
      <c r="AL45" s="14" t="s">
        <v>341</v>
      </c>
      <c r="AM45" s="14" t="s">
        <v>342</v>
      </c>
      <c r="AN45" s="14" t="s">
        <v>343</v>
      </c>
      <c r="AO45" s="14" t="s">
        <v>3367</v>
      </c>
      <c r="AP45" s="14" t="s">
        <v>3368</v>
      </c>
      <c r="AQ45" s="14" t="s">
        <v>99</v>
      </c>
      <c r="AR45" s="14" t="s">
        <v>3355</v>
      </c>
      <c r="AS45" s="14" t="s">
        <v>3369</v>
      </c>
      <c r="AT45" s="14" t="s">
        <v>280</v>
      </c>
      <c r="AU45" s="14">
        <v>2009.0</v>
      </c>
      <c r="AV45" s="14">
        <v>32.0</v>
      </c>
      <c r="AW45" s="14">
        <v>1.0</v>
      </c>
      <c r="AX45" s="14" t="s">
        <v>99</v>
      </c>
      <c r="AY45" s="14" t="s">
        <v>99</v>
      </c>
      <c r="AZ45" s="14" t="s">
        <v>99</v>
      </c>
      <c r="BA45" s="14" t="s">
        <v>99</v>
      </c>
      <c r="BB45" s="14">
        <v>34.0</v>
      </c>
      <c r="BC45" s="14">
        <v>45.0</v>
      </c>
      <c r="BD45" s="14" t="s">
        <v>99</v>
      </c>
      <c r="BE45" s="14" t="s">
        <v>6990</v>
      </c>
      <c r="BF45" s="15" t="str">
        <f>HYPERLINK("http://dx.doi.org/10.1111/j.1600-0587.2009.05789.x","http://dx.doi.org/10.1111/j.1600-0587.2009.05789.x")</f>
        <v>http://dx.doi.org/10.1111/j.1600-0587.2009.05789.x</v>
      </c>
      <c r="BG45" s="14" t="s">
        <v>99</v>
      </c>
      <c r="BH45" s="14" t="s">
        <v>99</v>
      </c>
      <c r="BI45" s="14">
        <v>12.0</v>
      </c>
      <c r="BJ45" s="14" t="s">
        <v>550</v>
      </c>
      <c r="BK45" s="14" t="s">
        <v>122</v>
      </c>
      <c r="BL45" s="14" t="s">
        <v>352</v>
      </c>
      <c r="BM45" s="14" t="s">
        <v>6991</v>
      </c>
      <c r="BN45" s="14" t="s">
        <v>99</v>
      </c>
      <c r="BO45" s="14" t="s">
        <v>6992</v>
      </c>
      <c r="BP45" s="14" t="s">
        <v>99</v>
      </c>
      <c r="BQ45" s="14" t="s">
        <v>99</v>
      </c>
      <c r="BR45" s="14" t="s">
        <v>124</v>
      </c>
      <c r="BS45" s="14" t="s">
        <v>6993</v>
      </c>
      <c r="BT45" s="14" t="str">
        <f>HYPERLINK("https%3A%2F%2Fwww.webofscience.com%2Fwos%2Fwoscc%2Ffull-record%2FWOS:000264880300005","View Full Record in Web of Science")</f>
        <v>View Full Record in Web of Science</v>
      </c>
    </row>
    <row r="46" ht="12.75" customHeight="1">
      <c r="A46" s="14" t="s">
        <v>97</v>
      </c>
      <c r="B46" s="14" t="s">
        <v>7076</v>
      </c>
      <c r="C46" s="14" t="s">
        <v>99</v>
      </c>
      <c r="D46" s="14" t="s">
        <v>99</v>
      </c>
      <c r="E46" s="14" t="s">
        <v>99</v>
      </c>
      <c r="F46" s="14" t="s">
        <v>7077</v>
      </c>
      <c r="G46" s="14" t="s">
        <v>99</v>
      </c>
      <c r="H46" s="14" t="s">
        <v>99</v>
      </c>
      <c r="I46" s="14" t="s">
        <v>7078</v>
      </c>
      <c r="J46" s="14" t="s">
        <v>6872</v>
      </c>
      <c r="K46" s="14" t="s">
        <v>99</v>
      </c>
      <c r="L46" s="14" t="s">
        <v>99</v>
      </c>
      <c r="M46" s="14" t="s">
        <v>103</v>
      </c>
      <c r="N46" s="14" t="s">
        <v>104</v>
      </c>
      <c r="O46" s="14" t="s">
        <v>99</v>
      </c>
      <c r="P46" s="14" t="s">
        <v>99</v>
      </c>
      <c r="Q46" s="14" t="s">
        <v>99</v>
      </c>
      <c r="R46" s="14" t="s">
        <v>99</v>
      </c>
      <c r="S46" s="14" t="s">
        <v>99</v>
      </c>
      <c r="T46" s="14" t="s">
        <v>7079</v>
      </c>
      <c r="U46" s="14" t="s">
        <v>7080</v>
      </c>
      <c r="V46" s="14" t="s">
        <v>7081</v>
      </c>
      <c r="W46" s="14" t="s">
        <v>7082</v>
      </c>
      <c r="X46" s="14" t="s">
        <v>7083</v>
      </c>
      <c r="Y46" s="14" t="s">
        <v>7084</v>
      </c>
      <c r="Z46" s="14" t="s">
        <v>7085</v>
      </c>
      <c r="AA46" s="14" t="s">
        <v>7086</v>
      </c>
      <c r="AB46" s="14" t="s">
        <v>7087</v>
      </c>
      <c r="AC46" s="14" t="s">
        <v>7088</v>
      </c>
      <c r="AD46" s="14" t="s">
        <v>7089</v>
      </c>
      <c r="AE46" s="14" t="s">
        <v>7090</v>
      </c>
      <c r="AF46" s="14" t="s">
        <v>99</v>
      </c>
      <c r="AG46" s="14">
        <v>49.0</v>
      </c>
      <c r="AH46" s="14">
        <v>334.0</v>
      </c>
      <c r="AI46" s="14">
        <v>384.0</v>
      </c>
      <c r="AJ46" s="14">
        <v>1.0</v>
      </c>
      <c r="AK46" s="14">
        <v>203.0</v>
      </c>
      <c r="AL46" s="14" t="s">
        <v>7091</v>
      </c>
      <c r="AM46" s="14" t="s">
        <v>789</v>
      </c>
      <c r="AN46" s="14" t="s">
        <v>7092</v>
      </c>
      <c r="AO46" s="14" t="s">
        <v>6884</v>
      </c>
      <c r="AP46" s="14" t="s">
        <v>6885</v>
      </c>
      <c r="AQ46" s="14" t="s">
        <v>99</v>
      </c>
      <c r="AR46" s="14" t="s">
        <v>6872</v>
      </c>
      <c r="AS46" s="14" t="s">
        <v>259</v>
      </c>
      <c r="AT46" s="14" t="s">
        <v>1058</v>
      </c>
      <c r="AU46" s="14">
        <v>2008.0</v>
      </c>
      <c r="AV46" s="14">
        <v>89.0</v>
      </c>
      <c r="AW46" s="14">
        <v>12.0</v>
      </c>
      <c r="AX46" s="14" t="s">
        <v>99</v>
      </c>
      <c r="AY46" s="14" t="s">
        <v>99</v>
      </c>
      <c r="AZ46" s="14" t="s">
        <v>99</v>
      </c>
      <c r="BA46" s="14" t="s">
        <v>99</v>
      </c>
      <c r="BB46" s="14">
        <v>3472.0</v>
      </c>
      <c r="BC46" s="14">
        <v>3479.0</v>
      </c>
      <c r="BD46" s="14" t="s">
        <v>99</v>
      </c>
      <c r="BE46" s="14" t="s">
        <v>7093</v>
      </c>
      <c r="BF46" s="15" t="str">
        <f>HYPERLINK("http://dx.doi.org/10.1890/07-1748.1","http://dx.doi.org/10.1890/07-1748.1")</f>
        <v>http://dx.doi.org/10.1890/07-1748.1</v>
      </c>
      <c r="BG46" s="14" t="s">
        <v>99</v>
      </c>
      <c r="BH46" s="14" t="s">
        <v>99</v>
      </c>
      <c r="BI46" s="14">
        <v>8.0</v>
      </c>
      <c r="BJ46" s="14" t="s">
        <v>259</v>
      </c>
      <c r="BK46" s="14" t="s">
        <v>122</v>
      </c>
      <c r="BL46" s="14" t="s">
        <v>260</v>
      </c>
      <c r="BM46" s="14" t="s">
        <v>7094</v>
      </c>
      <c r="BN46" s="14">
        <v>1.9137952E7</v>
      </c>
      <c r="BO46" s="14" t="s">
        <v>99</v>
      </c>
      <c r="BP46" s="14" t="s">
        <v>99</v>
      </c>
      <c r="BQ46" s="14" t="s">
        <v>99</v>
      </c>
      <c r="BR46" s="14" t="s">
        <v>124</v>
      </c>
      <c r="BS46" s="14" t="s">
        <v>7095</v>
      </c>
      <c r="BT46" s="14" t="str">
        <f>HYPERLINK("https%3A%2F%2Fwww.webofscience.com%2Fwos%2Fwoscc%2Ffull-record%2FWOS:000261524000021","View Full Record in Web of Science")</f>
        <v>View Full Record in Web of Science</v>
      </c>
    </row>
    <row r="47" ht="12.75" customHeight="1">
      <c r="A47" s="14" t="s">
        <v>97</v>
      </c>
      <c r="B47" s="14" t="s">
        <v>7194</v>
      </c>
      <c r="C47" s="14" t="s">
        <v>99</v>
      </c>
      <c r="D47" s="14" t="s">
        <v>99</v>
      </c>
      <c r="E47" s="14" t="s">
        <v>99</v>
      </c>
      <c r="F47" s="14" t="s">
        <v>7195</v>
      </c>
      <c r="G47" s="14" t="s">
        <v>99</v>
      </c>
      <c r="H47" s="14" t="s">
        <v>99</v>
      </c>
      <c r="I47" s="14" t="s">
        <v>7196</v>
      </c>
      <c r="J47" s="14" t="s">
        <v>7197</v>
      </c>
      <c r="K47" s="14" t="s">
        <v>99</v>
      </c>
      <c r="L47" s="14" t="s">
        <v>99</v>
      </c>
      <c r="M47" s="14" t="s">
        <v>103</v>
      </c>
      <c r="N47" s="14" t="s">
        <v>104</v>
      </c>
      <c r="O47" s="14" t="s">
        <v>99</v>
      </c>
      <c r="P47" s="14" t="s">
        <v>99</v>
      </c>
      <c r="Q47" s="14" t="s">
        <v>99</v>
      </c>
      <c r="R47" s="14" t="s">
        <v>99</v>
      </c>
      <c r="S47" s="14" t="s">
        <v>99</v>
      </c>
      <c r="T47" s="14" t="s">
        <v>99</v>
      </c>
      <c r="U47" s="14" t="s">
        <v>7198</v>
      </c>
      <c r="V47" s="14" t="s">
        <v>7199</v>
      </c>
      <c r="W47" s="14" t="s">
        <v>7200</v>
      </c>
      <c r="X47" s="14" t="s">
        <v>7201</v>
      </c>
      <c r="Y47" s="14" t="s">
        <v>7202</v>
      </c>
      <c r="Z47" s="14" t="s">
        <v>7203</v>
      </c>
      <c r="AA47" s="14" t="s">
        <v>7204</v>
      </c>
      <c r="AB47" s="14" t="s">
        <v>7205</v>
      </c>
      <c r="AC47" s="14" t="s">
        <v>7206</v>
      </c>
      <c r="AD47" s="14" t="s">
        <v>7206</v>
      </c>
      <c r="AE47" s="14" t="s">
        <v>7207</v>
      </c>
      <c r="AF47" s="14" t="s">
        <v>99</v>
      </c>
      <c r="AG47" s="14">
        <v>64.0</v>
      </c>
      <c r="AH47" s="14">
        <v>17.0</v>
      </c>
      <c r="AI47" s="14">
        <v>19.0</v>
      </c>
      <c r="AJ47" s="14">
        <v>0.0</v>
      </c>
      <c r="AK47" s="14">
        <v>37.0</v>
      </c>
      <c r="AL47" s="14" t="s">
        <v>7208</v>
      </c>
      <c r="AM47" s="14" t="s">
        <v>7209</v>
      </c>
      <c r="AN47" s="14" t="s">
        <v>7210</v>
      </c>
      <c r="AO47" s="14" t="s">
        <v>7211</v>
      </c>
      <c r="AP47" s="14" t="s">
        <v>99</v>
      </c>
      <c r="AQ47" s="14" t="s">
        <v>99</v>
      </c>
      <c r="AR47" s="14" t="s">
        <v>7212</v>
      </c>
      <c r="AS47" s="14" t="s">
        <v>7213</v>
      </c>
      <c r="AT47" s="14" t="s">
        <v>7214</v>
      </c>
      <c r="AU47" s="14">
        <v>2008.0</v>
      </c>
      <c r="AV47" s="14">
        <v>81.0</v>
      </c>
      <c r="AW47" s="14">
        <v>6.0</v>
      </c>
      <c r="AX47" s="14" t="s">
        <v>99</v>
      </c>
      <c r="AY47" s="14" t="s">
        <v>99</v>
      </c>
      <c r="AZ47" s="14" t="s">
        <v>99</v>
      </c>
      <c r="BA47" s="14" t="s">
        <v>99</v>
      </c>
      <c r="BB47" s="14">
        <v>880.0</v>
      </c>
      <c r="BC47" s="14">
        <v>890.0</v>
      </c>
      <c r="BD47" s="14" t="s">
        <v>99</v>
      </c>
      <c r="BE47" s="14" t="s">
        <v>7215</v>
      </c>
      <c r="BF47" s="15" t="str">
        <f>HYPERLINK("http://dx.doi.org/10.1086/588171","http://dx.doi.org/10.1086/588171")</f>
        <v>http://dx.doi.org/10.1086/588171</v>
      </c>
      <c r="BG47" s="14" t="s">
        <v>99</v>
      </c>
      <c r="BH47" s="14" t="s">
        <v>99</v>
      </c>
      <c r="BI47" s="14">
        <v>11.0</v>
      </c>
      <c r="BJ47" s="14" t="s">
        <v>7216</v>
      </c>
      <c r="BK47" s="14" t="s">
        <v>122</v>
      </c>
      <c r="BL47" s="14" t="s">
        <v>7216</v>
      </c>
      <c r="BM47" s="14" t="s">
        <v>7217</v>
      </c>
      <c r="BN47" s="14">
        <v>1.8937565E7</v>
      </c>
      <c r="BO47" s="14" t="s">
        <v>99</v>
      </c>
      <c r="BP47" s="14" t="s">
        <v>99</v>
      </c>
      <c r="BQ47" s="14" t="s">
        <v>99</v>
      </c>
      <c r="BR47" s="14" t="s">
        <v>124</v>
      </c>
      <c r="BS47" s="14" t="s">
        <v>7218</v>
      </c>
      <c r="BT47" s="14" t="str">
        <f>HYPERLINK("https%3A%2F%2Fwww.webofscience.com%2Fwos%2Fwoscc%2Ffull-record%2FWOS:000260547400015","View Full Record in Web of Science")</f>
        <v>View Full Record in Web of Science</v>
      </c>
    </row>
    <row r="48" ht="12.75" customHeight="1">
      <c r="A48" s="14" t="s">
        <v>97</v>
      </c>
      <c r="B48" s="14" t="s">
        <v>7219</v>
      </c>
      <c r="C48" s="14" t="s">
        <v>99</v>
      </c>
      <c r="D48" s="14" t="s">
        <v>99</v>
      </c>
      <c r="E48" s="14" t="s">
        <v>99</v>
      </c>
      <c r="F48" s="14" t="s">
        <v>7220</v>
      </c>
      <c r="G48" s="14" t="s">
        <v>99</v>
      </c>
      <c r="H48" s="14" t="s">
        <v>99</v>
      </c>
      <c r="I48" s="14" t="s">
        <v>7221</v>
      </c>
      <c r="J48" s="14" t="s">
        <v>1531</v>
      </c>
      <c r="K48" s="14" t="s">
        <v>99</v>
      </c>
      <c r="L48" s="14" t="s">
        <v>99</v>
      </c>
      <c r="M48" s="14" t="s">
        <v>103</v>
      </c>
      <c r="N48" s="14" t="s">
        <v>104</v>
      </c>
      <c r="O48" s="14" t="s">
        <v>99</v>
      </c>
      <c r="P48" s="14" t="s">
        <v>99</v>
      </c>
      <c r="Q48" s="14" t="s">
        <v>99</v>
      </c>
      <c r="R48" s="14" t="s">
        <v>99</v>
      </c>
      <c r="S48" s="14" t="s">
        <v>99</v>
      </c>
      <c r="T48" s="14" t="s">
        <v>7222</v>
      </c>
      <c r="U48" s="14" t="s">
        <v>7223</v>
      </c>
      <c r="V48" s="14" t="s">
        <v>7224</v>
      </c>
      <c r="W48" s="14" t="s">
        <v>7225</v>
      </c>
      <c r="X48" s="14" t="s">
        <v>7226</v>
      </c>
      <c r="Y48" s="14" t="s">
        <v>7227</v>
      </c>
      <c r="Z48" s="14" t="s">
        <v>7228</v>
      </c>
      <c r="AA48" s="14" t="s">
        <v>7229</v>
      </c>
      <c r="AB48" s="14" t="s">
        <v>7230</v>
      </c>
      <c r="AC48" s="14" t="s">
        <v>7231</v>
      </c>
      <c r="AD48" s="14" t="s">
        <v>7232</v>
      </c>
      <c r="AE48" s="14" t="s">
        <v>7233</v>
      </c>
      <c r="AF48" s="14" t="s">
        <v>99</v>
      </c>
      <c r="AG48" s="14">
        <v>20.0</v>
      </c>
      <c r="AH48" s="14">
        <v>129.0</v>
      </c>
      <c r="AI48" s="14">
        <v>162.0</v>
      </c>
      <c r="AJ48" s="14">
        <v>4.0</v>
      </c>
      <c r="AK48" s="14">
        <v>126.0</v>
      </c>
      <c r="AL48" s="14" t="s">
        <v>1544</v>
      </c>
      <c r="AM48" s="14" t="s">
        <v>274</v>
      </c>
      <c r="AN48" s="14" t="s">
        <v>1545</v>
      </c>
      <c r="AO48" s="14" t="s">
        <v>1546</v>
      </c>
      <c r="AP48" s="14" t="s">
        <v>99</v>
      </c>
      <c r="AQ48" s="14" t="s">
        <v>99</v>
      </c>
      <c r="AR48" s="14" t="s">
        <v>1548</v>
      </c>
      <c r="AS48" s="14" t="s">
        <v>1549</v>
      </c>
      <c r="AT48" s="14" t="s">
        <v>7234</v>
      </c>
      <c r="AU48" s="14">
        <v>2008.0</v>
      </c>
      <c r="AV48" s="14">
        <v>4.0</v>
      </c>
      <c r="AW48" s="14">
        <v>5.0</v>
      </c>
      <c r="AX48" s="14" t="s">
        <v>99</v>
      </c>
      <c r="AY48" s="14" t="s">
        <v>99</v>
      </c>
      <c r="AZ48" s="14" t="s">
        <v>99</v>
      </c>
      <c r="BA48" s="14" t="s">
        <v>99</v>
      </c>
      <c r="BB48" s="14">
        <v>564.0</v>
      </c>
      <c r="BC48" s="14">
        <v>567.0</v>
      </c>
      <c r="BD48" s="14" t="s">
        <v>99</v>
      </c>
      <c r="BE48" s="14" t="s">
        <v>7235</v>
      </c>
      <c r="BF48" s="15" t="str">
        <f>HYPERLINK("http://dx.doi.org/10.1098/rsbl.2008.0231","http://dx.doi.org/10.1098/rsbl.2008.0231")</f>
        <v>http://dx.doi.org/10.1098/rsbl.2008.0231</v>
      </c>
      <c r="BG48" s="14" t="s">
        <v>99</v>
      </c>
      <c r="BH48" s="14" t="s">
        <v>99</v>
      </c>
      <c r="BI48" s="14">
        <v>4.0</v>
      </c>
      <c r="BJ48" s="14" t="s">
        <v>1552</v>
      </c>
      <c r="BK48" s="14" t="s">
        <v>122</v>
      </c>
      <c r="BL48" s="14" t="s">
        <v>1553</v>
      </c>
      <c r="BM48" s="14" t="s">
        <v>7236</v>
      </c>
      <c r="BN48" s="14">
        <v>1.8664416E7</v>
      </c>
      <c r="BO48" s="14" t="s">
        <v>425</v>
      </c>
      <c r="BP48" s="14" t="s">
        <v>99</v>
      </c>
      <c r="BQ48" s="14" t="s">
        <v>99</v>
      </c>
      <c r="BR48" s="14" t="s">
        <v>124</v>
      </c>
      <c r="BS48" s="14" t="s">
        <v>7237</v>
      </c>
      <c r="BT48" s="14" t="str">
        <f>HYPERLINK("https%3A%2F%2Fwww.webofscience.com%2Fwos%2Fwoscc%2Ffull-record%2FWOS:000259085900035","View Full Record in Web of Science")</f>
        <v>View Full Record in Web of Science</v>
      </c>
    </row>
    <row r="49" ht="12.75" customHeight="1">
      <c r="A49" s="14" t="s">
        <v>97</v>
      </c>
      <c r="B49" s="14" t="s">
        <v>7238</v>
      </c>
      <c r="C49" s="14" t="s">
        <v>99</v>
      </c>
      <c r="D49" s="14" t="s">
        <v>99</v>
      </c>
      <c r="E49" s="14" t="s">
        <v>99</v>
      </c>
      <c r="F49" s="14" t="s">
        <v>7239</v>
      </c>
      <c r="G49" s="14" t="s">
        <v>99</v>
      </c>
      <c r="H49" s="14" t="s">
        <v>99</v>
      </c>
      <c r="I49" s="14" t="s">
        <v>7240</v>
      </c>
      <c r="J49" s="14" t="s">
        <v>2566</v>
      </c>
      <c r="K49" s="14" t="s">
        <v>99</v>
      </c>
      <c r="L49" s="14" t="s">
        <v>99</v>
      </c>
      <c r="M49" s="14" t="s">
        <v>103</v>
      </c>
      <c r="N49" s="14" t="s">
        <v>104</v>
      </c>
      <c r="O49" s="14" t="s">
        <v>99</v>
      </c>
      <c r="P49" s="14" t="s">
        <v>99</v>
      </c>
      <c r="Q49" s="14" t="s">
        <v>99</v>
      </c>
      <c r="R49" s="14" t="s">
        <v>99</v>
      </c>
      <c r="S49" s="14" t="s">
        <v>99</v>
      </c>
      <c r="T49" s="14" t="s">
        <v>99</v>
      </c>
      <c r="U49" s="14" t="s">
        <v>7241</v>
      </c>
      <c r="V49" s="14" t="s">
        <v>7242</v>
      </c>
      <c r="W49" s="14" t="s">
        <v>7243</v>
      </c>
      <c r="X49" s="14" t="s">
        <v>7244</v>
      </c>
      <c r="Y49" s="14" t="s">
        <v>7245</v>
      </c>
      <c r="Z49" s="14" t="s">
        <v>7246</v>
      </c>
      <c r="AA49" s="14" t="s">
        <v>7247</v>
      </c>
      <c r="AB49" s="14" t="s">
        <v>7248</v>
      </c>
      <c r="AC49" s="14" t="s">
        <v>7249</v>
      </c>
      <c r="AD49" s="14" t="s">
        <v>7250</v>
      </c>
      <c r="AE49" s="14" t="s">
        <v>7251</v>
      </c>
      <c r="AF49" s="14" t="s">
        <v>99</v>
      </c>
      <c r="AG49" s="14">
        <v>32.0</v>
      </c>
      <c r="AH49" s="14">
        <v>985.0</v>
      </c>
      <c r="AI49" s="14">
        <v>1170.0</v>
      </c>
      <c r="AJ49" s="14">
        <v>7.0</v>
      </c>
      <c r="AK49" s="14">
        <v>547.0</v>
      </c>
      <c r="AL49" s="14" t="s">
        <v>1243</v>
      </c>
      <c r="AM49" s="14" t="s">
        <v>789</v>
      </c>
      <c r="AN49" s="14" t="s">
        <v>1244</v>
      </c>
      <c r="AO49" s="14" t="s">
        <v>2578</v>
      </c>
      <c r="AP49" s="14" t="s">
        <v>2579</v>
      </c>
      <c r="AQ49" s="14" t="s">
        <v>99</v>
      </c>
      <c r="AR49" s="14" t="s">
        <v>2566</v>
      </c>
      <c r="AS49" s="14" t="s">
        <v>2580</v>
      </c>
      <c r="AT49" s="14" t="s">
        <v>7252</v>
      </c>
      <c r="AU49" s="14">
        <v>2008.0</v>
      </c>
      <c r="AV49" s="14">
        <v>322.0</v>
      </c>
      <c r="AW49" s="14">
        <v>5899.0</v>
      </c>
      <c r="AX49" s="14" t="s">
        <v>99</v>
      </c>
      <c r="AY49" s="14" t="s">
        <v>99</v>
      </c>
      <c r="AZ49" s="14" t="s">
        <v>99</v>
      </c>
      <c r="BA49" s="14" t="s">
        <v>99</v>
      </c>
      <c r="BB49" s="14">
        <v>258.0</v>
      </c>
      <c r="BC49" s="14">
        <v>261.0</v>
      </c>
      <c r="BD49" s="14" t="s">
        <v>99</v>
      </c>
      <c r="BE49" s="14" t="s">
        <v>7253</v>
      </c>
      <c r="BF49" s="15" t="str">
        <f>HYPERLINK("http://dx.doi.org/10.1126/science.1162547","http://dx.doi.org/10.1126/science.1162547")</f>
        <v>http://dx.doi.org/10.1126/science.1162547</v>
      </c>
      <c r="BG49" s="14" t="s">
        <v>99</v>
      </c>
      <c r="BH49" s="14" t="s">
        <v>99</v>
      </c>
      <c r="BI49" s="14">
        <v>4.0</v>
      </c>
      <c r="BJ49" s="14" t="s">
        <v>799</v>
      </c>
      <c r="BK49" s="14" t="s">
        <v>122</v>
      </c>
      <c r="BL49" s="14" t="s">
        <v>801</v>
      </c>
      <c r="BM49" s="14" t="s">
        <v>7254</v>
      </c>
      <c r="BN49" s="14">
        <v>1.8845754E7</v>
      </c>
      <c r="BO49" s="14" t="s">
        <v>99</v>
      </c>
      <c r="BP49" s="14" t="s">
        <v>99</v>
      </c>
      <c r="BQ49" s="14" t="s">
        <v>99</v>
      </c>
      <c r="BR49" s="14" t="s">
        <v>124</v>
      </c>
      <c r="BS49" s="14" t="s">
        <v>7255</v>
      </c>
      <c r="BT49" s="14" t="str">
        <f>HYPERLINK("https%3A%2F%2Fwww.webofscience.com%2Fwos%2Fwoscc%2Ffull-record%2FWOS:000259902300048","View Full Record in Web of Science")</f>
        <v>View Full Record in Web of Science</v>
      </c>
    </row>
    <row r="50" ht="12.75" customHeight="1">
      <c r="A50" s="14" t="s">
        <v>97</v>
      </c>
      <c r="B50" s="14" t="s">
        <v>7358</v>
      </c>
      <c r="C50" s="14" t="s">
        <v>99</v>
      </c>
      <c r="D50" s="14" t="s">
        <v>99</v>
      </c>
      <c r="E50" s="14" t="s">
        <v>99</v>
      </c>
      <c r="F50" s="14" t="s">
        <v>7359</v>
      </c>
      <c r="G50" s="14" t="s">
        <v>99</v>
      </c>
      <c r="H50" s="14" t="s">
        <v>99</v>
      </c>
      <c r="I50" s="14" t="s">
        <v>7360</v>
      </c>
      <c r="J50" s="14" t="s">
        <v>328</v>
      </c>
      <c r="K50" s="14" t="s">
        <v>99</v>
      </c>
      <c r="L50" s="14" t="s">
        <v>99</v>
      </c>
      <c r="M50" s="14" t="s">
        <v>103</v>
      </c>
      <c r="N50" s="14" t="s">
        <v>104</v>
      </c>
      <c r="O50" s="14" t="s">
        <v>99</v>
      </c>
      <c r="P50" s="14" t="s">
        <v>99</v>
      </c>
      <c r="Q50" s="14" t="s">
        <v>99</v>
      </c>
      <c r="R50" s="14" t="s">
        <v>99</v>
      </c>
      <c r="S50" s="14" t="s">
        <v>99</v>
      </c>
      <c r="T50" s="14" t="s">
        <v>7361</v>
      </c>
      <c r="U50" s="14" t="s">
        <v>7362</v>
      </c>
      <c r="V50" s="14" t="s">
        <v>7363</v>
      </c>
      <c r="W50" s="14" t="s">
        <v>7364</v>
      </c>
      <c r="X50" s="14" t="s">
        <v>7365</v>
      </c>
      <c r="Y50" s="14" t="s">
        <v>7366</v>
      </c>
      <c r="Z50" s="14" t="s">
        <v>7367</v>
      </c>
      <c r="AA50" s="14" t="s">
        <v>99</v>
      </c>
      <c r="AB50" s="14" t="s">
        <v>7368</v>
      </c>
      <c r="AC50" s="14" t="s">
        <v>99</v>
      </c>
      <c r="AD50" s="14" t="s">
        <v>99</v>
      </c>
      <c r="AE50" s="14" t="s">
        <v>99</v>
      </c>
      <c r="AF50" s="14" t="s">
        <v>99</v>
      </c>
      <c r="AG50" s="14">
        <v>88.0</v>
      </c>
      <c r="AH50" s="14">
        <v>293.0</v>
      </c>
      <c r="AI50" s="14">
        <v>341.0</v>
      </c>
      <c r="AJ50" s="14">
        <v>3.0</v>
      </c>
      <c r="AK50" s="14">
        <v>142.0</v>
      </c>
      <c r="AL50" s="14" t="s">
        <v>341</v>
      </c>
      <c r="AM50" s="14" t="s">
        <v>342</v>
      </c>
      <c r="AN50" s="14" t="s">
        <v>343</v>
      </c>
      <c r="AO50" s="14" t="s">
        <v>344</v>
      </c>
      <c r="AP50" s="14" t="s">
        <v>345</v>
      </c>
      <c r="AQ50" s="14" t="s">
        <v>99</v>
      </c>
      <c r="AR50" s="14" t="s">
        <v>346</v>
      </c>
      <c r="AS50" s="14" t="s">
        <v>347</v>
      </c>
      <c r="AT50" s="14" t="s">
        <v>474</v>
      </c>
      <c r="AU50" s="14">
        <v>2008.0</v>
      </c>
      <c r="AV50" s="14">
        <v>14.0</v>
      </c>
      <c r="AW50" s="14">
        <v>8.0</v>
      </c>
      <c r="AX50" s="14" t="s">
        <v>99</v>
      </c>
      <c r="AY50" s="14" t="s">
        <v>99</v>
      </c>
      <c r="AZ50" s="14" t="s">
        <v>99</v>
      </c>
      <c r="BA50" s="14" t="s">
        <v>99</v>
      </c>
      <c r="BB50" s="14">
        <v>1703.0</v>
      </c>
      <c r="BC50" s="14">
        <v>1720.0</v>
      </c>
      <c r="BD50" s="14" t="s">
        <v>99</v>
      </c>
      <c r="BE50" s="14" t="s">
        <v>7369</v>
      </c>
      <c r="BF50" s="15" t="str">
        <f>HYPERLINK("http://dx.doi.org/10.1111/j.1365-2486.2008.01596.x","http://dx.doi.org/10.1111/j.1365-2486.2008.01596.x")</f>
        <v>http://dx.doi.org/10.1111/j.1365-2486.2008.01596.x</v>
      </c>
      <c r="BG50" s="14" t="s">
        <v>99</v>
      </c>
      <c r="BH50" s="14" t="s">
        <v>99</v>
      </c>
      <c r="BI50" s="14">
        <v>18.0</v>
      </c>
      <c r="BJ50" s="14" t="s">
        <v>351</v>
      </c>
      <c r="BK50" s="14" t="s">
        <v>122</v>
      </c>
      <c r="BL50" s="14" t="s">
        <v>352</v>
      </c>
      <c r="BM50" s="14" t="s">
        <v>7370</v>
      </c>
      <c r="BN50" s="14" t="s">
        <v>99</v>
      </c>
      <c r="BO50" s="14" t="s">
        <v>373</v>
      </c>
      <c r="BP50" s="14" t="s">
        <v>99</v>
      </c>
      <c r="BQ50" s="14" t="s">
        <v>99</v>
      </c>
      <c r="BR50" s="14" t="s">
        <v>124</v>
      </c>
      <c r="BS50" s="14" t="s">
        <v>7371</v>
      </c>
      <c r="BT50" s="14" t="str">
        <f>HYPERLINK("https%3A%2F%2Fwww.webofscience.com%2Fwos%2Fwoscc%2Ffull-record%2FWOS:000257712400001","View Full Record in Web of Science")</f>
        <v>View Full Record in Web of Science</v>
      </c>
    </row>
    <row r="51" ht="12.75" customHeight="1">
      <c r="A51" s="14" t="s">
        <v>97</v>
      </c>
      <c r="B51" s="14" t="s">
        <v>7425</v>
      </c>
      <c r="C51" s="14" t="s">
        <v>99</v>
      </c>
      <c r="D51" s="14" t="s">
        <v>99</v>
      </c>
      <c r="E51" s="14" t="s">
        <v>99</v>
      </c>
      <c r="F51" s="14" t="s">
        <v>7426</v>
      </c>
      <c r="G51" s="14" t="s">
        <v>99</v>
      </c>
      <c r="H51" s="14" t="s">
        <v>99</v>
      </c>
      <c r="I51" s="14" t="s">
        <v>7427</v>
      </c>
      <c r="J51" s="14" t="s">
        <v>7428</v>
      </c>
      <c r="K51" s="14" t="s">
        <v>99</v>
      </c>
      <c r="L51" s="14" t="s">
        <v>99</v>
      </c>
      <c r="M51" s="14" t="s">
        <v>103</v>
      </c>
      <c r="N51" s="14" t="s">
        <v>104</v>
      </c>
      <c r="O51" s="14" t="s">
        <v>99</v>
      </c>
      <c r="P51" s="14" t="s">
        <v>99</v>
      </c>
      <c r="Q51" s="14" t="s">
        <v>99</v>
      </c>
      <c r="R51" s="14" t="s">
        <v>99</v>
      </c>
      <c r="S51" s="14" t="s">
        <v>99</v>
      </c>
      <c r="T51" s="14" t="s">
        <v>7429</v>
      </c>
      <c r="U51" s="14" t="s">
        <v>7430</v>
      </c>
      <c r="V51" s="14" t="s">
        <v>7431</v>
      </c>
      <c r="W51" s="14" t="s">
        <v>7432</v>
      </c>
      <c r="X51" s="14" t="s">
        <v>7433</v>
      </c>
      <c r="Y51" s="14" t="s">
        <v>7434</v>
      </c>
      <c r="Z51" s="14" t="s">
        <v>7435</v>
      </c>
      <c r="AA51" s="14" t="s">
        <v>7436</v>
      </c>
      <c r="AB51" s="14" t="s">
        <v>99</v>
      </c>
      <c r="AC51" s="14" t="s">
        <v>99</v>
      </c>
      <c r="AD51" s="14" t="s">
        <v>99</v>
      </c>
      <c r="AE51" s="14" t="s">
        <v>99</v>
      </c>
      <c r="AF51" s="14" t="s">
        <v>99</v>
      </c>
      <c r="AG51" s="14">
        <v>78.0</v>
      </c>
      <c r="AH51" s="14">
        <v>188.0</v>
      </c>
      <c r="AI51" s="14">
        <v>234.0</v>
      </c>
      <c r="AJ51" s="14">
        <v>1.0</v>
      </c>
      <c r="AK51" s="14">
        <v>155.0</v>
      </c>
      <c r="AL51" s="14" t="s">
        <v>341</v>
      </c>
      <c r="AM51" s="14" t="s">
        <v>342</v>
      </c>
      <c r="AN51" s="14" t="s">
        <v>343</v>
      </c>
      <c r="AO51" s="14" t="s">
        <v>7437</v>
      </c>
      <c r="AP51" s="14" t="s">
        <v>7438</v>
      </c>
      <c r="AQ51" s="14" t="s">
        <v>99</v>
      </c>
      <c r="AR51" s="14" t="s">
        <v>7439</v>
      </c>
      <c r="AS51" s="14" t="s">
        <v>7440</v>
      </c>
      <c r="AT51" s="14" t="s">
        <v>525</v>
      </c>
      <c r="AU51" s="14">
        <v>2008.0</v>
      </c>
      <c r="AV51" s="14">
        <v>96.0</v>
      </c>
      <c r="AW51" s="14">
        <v>4.0</v>
      </c>
      <c r="AX51" s="14" t="s">
        <v>99</v>
      </c>
      <c r="AY51" s="14" t="s">
        <v>99</v>
      </c>
      <c r="AZ51" s="14" t="s">
        <v>99</v>
      </c>
      <c r="BA51" s="14" t="s">
        <v>99</v>
      </c>
      <c r="BB51" s="14">
        <v>784.0</v>
      </c>
      <c r="BC51" s="14">
        <v>794.0</v>
      </c>
      <c r="BD51" s="14" t="s">
        <v>99</v>
      </c>
      <c r="BE51" s="14" t="s">
        <v>7441</v>
      </c>
      <c r="BF51" s="15" t="str">
        <f>HYPERLINK("http://dx.doi.org/10.1111/j.1365-2745.2008.01369.x","http://dx.doi.org/10.1111/j.1365-2745.2008.01369.x")</f>
        <v>http://dx.doi.org/10.1111/j.1365-2745.2008.01369.x</v>
      </c>
      <c r="BG51" s="14" t="s">
        <v>99</v>
      </c>
      <c r="BH51" s="14" t="s">
        <v>99</v>
      </c>
      <c r="BI51" s="14">
        <v>11.0</v>
      </c>
      <c r="BJ51" s="14" t="s">
        <v>2924</v>
      </c>
      <c r="BK51" s="14" t="s">
        <v>122</v>
      </c>
      <c r="BL51" s="14" t="s">
        <v>2925</v>
      </c>
      <c r="BM51" s="14" t="s">
        <v>7442</v>
      </c>
      <c r="BN51" s="14" t="s">
        <v>99</v>
      </c>
      <c r="BO51" s="14" t="s">
        <v>99</v>
      </c>
      <c r="BP51" s="14" t="s">
        <v>99</v>
      </c>
      <c r="BQ51" s="14" t="s">
        <v>99</v>
      </c>
      <c r="BR51" s="14" t="s">
        <v>124</v>
      </c>
      <c r="BS51" s="14" t="s">
        <v>7443</v>
      </c>
      <c r="BT51" s="14" t="str">
        <f>HYPERLINK("https%3A%2F%2Fwww.webofscience.com%2Fwos%2Fwoscc%2Ffull-record%2FWOS:000256635800024","View Full Record in Web of Science")</f>
        <v>View Full Record in Web of Science</v>
      </c>
    </row>
    <row r="52" ht="12.75" customHeight="1">
      <c r="A52" s="14" t="s">
        <v>97</v>
      </c>
      <c r="B52" s="14" t="s">
        <v>7458</v>
      </c>
      <c r="C52" s="14" t="s">
        <v>99</v>
      </c>
      <c r="D52" s="14" t="s">
        <v>99</v>
      </c>
      <c r="E52" s="14" t="s">
        <v>99</v>
      </c>
      <c r="F52" s="14" t="s">
        <v>7459</v>
      </c>
      <c r="G52" s="14" t="s">
        <v>99</v>
      </c>
      <c r="H52" s="14" t="s">
        <v>99</v>
      </c>
      <c r="I52" s="14" t="s">
        <v>7460</v>
      </c>
      <c r="J52" s="14" t="s">
        <v>2500</v>
      </c>
      <c r="K52" s="14" t="s">
        <v>99</v>
      </c>
      <c r="L52" s="14" t="s">
        <v>99</v>
      </c>
      <c r="M52" s="14" t="s">
        <v>103</v>
      </c>
      <c r="N52" s="14" t="s">
        <v>104</v>
      </c>
      <c r="O52" s="14" t="s">
        <v>99</v>
      </c>
      <c r="P52" s="14" t="s">
        <v>99</v>
      </c>
      <c r="Q52" s="14" t="s">
        <v>99</v>
      </c>
      <c r="R52" s="14" t="s">
        <v>99</v>
      </c>
      <c r="S52" s="14" t="s">
        <v>99</v>
      </c>
      <c r="T52" s="14" t="s">
        <v>99</v>
      </c>
      <c r="U52" s="14" t="s">
        <v>7461</v>
      </c>
      <c r="V52" s="14" t="s">
        <v>7462</v>
      </c>
      <c r="W52" s="14" t="s">
        <v>7463</v>
      </c>
      <c r="X52" s="14" t="s">
        <v>7464</v>
      </c>
      <c r="Y52" s="14" t="s">
        <v>7465</v>
      </c>
      <c r="Z52" s="14" t="s">
        <v>7466</v>
      </c>
      <c r="AA52" s="14" t="s">
        <v>7467</v>
      </c>
      <c r="AB52" s="14" t="s">
        <v>7468</v>
      </c>
      <c r="AC52" s="14" t="s">
        <v>99</v>
      </c>
      <c r="AD52" s="14" t="s">
        <v>99</v>
      </c>
      <c r="AE52" s="14" t="s">
        <v>99</v>
      </c>
      <c r="AF52" s="14" t="s">
        <v>99</v>
      </c>
      <c r="AG52" s="14">
        <v>65.0</v>
      </c>
      <c r="AH52" s="14">
        <v>343.0</v>
      </c>
      <c r="AI52" s="14">
        <v>448.0</v>
      </c>
      <c r="AJ52" s="14">
        <v>0.0</v>
      </c>
      <c r="AK52" s="14">
        <v>122.0</v>
      </c>
      <c r="AL52" s="14" t="s">
        <v>2512</v>
      </c>
      <c r="AM52" s="14" t="s">
        <v>2513</v>
      </c>
      <c r="AN52" s="14" t="s">
        <v>2514</v>
      </c>
      <c r="AO52" s="14" t="s">
        <v>2515</v>
      </c>
      <c r="AP52" s="14" t="s">
        <v>99</v>
      </c>
      <c r="AQ52" s="14" t="s">
        <v>99</v>
      </c>
      <c r="AR52" s="14" t="s">
        <v>2500</v>
      </c>
      <c r="AS52" s="14" t="s">
        <v>2516</v>
      </c>
      <c r="AT52" s="14" t="s">
        <v>7469</v>
      </c>
      <c r="AU52" s="14">
        <v>2008.0</v>
      </c>
      <c r="AV52" s="14">
        <v>3.0</v>
      </c>
      <c r="AW52" s="14">
        <v>6.0</v>
      </c>
      <c r="AX52" s="14" t="s">
        <v>99</v>
      </c>
      <c r="AY52" s="14" t="s">
        <v>99</v>
      </c>
      <c r="AZ52" s="14" t="s">
        <v>99</v>
      </c>
      <c r="BA52" s="14" t="s">
        <v>99</v>
      </c>
      <c r="BB52" s="14" t="s">
        <v>99</v>
      </c>
      <c r="BC52" s="14" t="s">
        <v>99</v>
      </c>
      <c r="BD52" s="14" t="s">
        <v>7470</v>
      </c>
      <c r="BE52" s="14" t="s">
        <v>7471</v>
      </c>
      <c r="BF52" s="15" t="str">
        <f>HYPERLINK("http://dx.doi.org/10.1371/journal.pone.0002502","http://dx.doi.org/10.1371/journal.pone.0002502")</f>
        <v>http://dx.doi.org/10.1371/journal.pone.0002502</v>
      </c>
      <c r="BG52" s="14" t="s">
        <v>99</v>
      </c>
      <c r="BH52" s="14" t="s">
        <v>99</v>
      </c>
      <c r="BI52" s="14">
        <v>10.0</v>
      </c>
      <c r="BJ52" s="14" t="s">
        <v>799</v>
      </c>
      <c r="BK52" s="14" t="s">
        <v>122</v>
      </c>
      <c r="BL52" s="14" t="s">
        <v>801</v>
      </c>
      <c r="BM52" s="14" t="s">
        <v>7472</v>
      </c>
      <c r="BN52" s="14">
        <v>1.8648541E7</v>
      </c>
      <c r="BO52" s="14" t="s">
        <v>1251</v>
      </c>
      <c r="BP52" s="14" t="s">
        <v>99</v>
      </c>
      <c r="BQ52" s="14" t="s">
        <v>99</v>
      </c>
      <c r="BR52" s="14" t="s">
        <v>124</v>
      </c>
      <c r="BS52" s="14" t="s">
        <v>7473</v>
      </c>
      <c r="BT52" s="14" t="str">
        <f>HYPERLINK("https%3A%2F%2Fwww.webofscience.com%2Fwos%2Fwoscc%2Ffull-record%2FWOS:000263288000024","View Full Record in Web of Science")</f>
        <v>View Full Record in Web of Science</v>
      </c>
    </row>
    <row r="53" ht="12.75" customHeight="1">
      <c r="A53" s="14" t="s">
        <v>97</v>
      </c>
      <c r="B53" s="14" t="s">
        <v>7474</v>
      </c>
      <c r="C53" s="14" t="s">
        <v>99</v>
      </c>
      <c r="D53" s="14" t="s">
        <v>99</v>
      </c>
      <c r="E53" s="14" t="s">
        <v>99</v>
      </c>
      <c r="F53" s="14" t="s">
        <v>7475</v>
      </c>
      <c r="G53" s="14" t="s">
        <v>99</v>
      </c>
      <c r="H53" s="14" t="s">
        <v>99</v>
      </c>
      <c r="I53" s="14" t="s">
        <v>7476</v>
      </c>
      <c r="J53" s="14" t="s">
        <v>328</v>
      </c>
      <c r="K53" s="14" t="s">
        <v>99</v>
      </c>
      <c r="L53" s="14" t="s">
        <v>99</v>
      </c>
      <c r="M53" s="14" t="s">
        <v>103</v>
      </c>
      <c r="N53" s="14" t="s">
        <v>104</v>
      </c>
      <c r="O53" s="14" t="s">
        <v>99</v>
      </c>
      <c r="P53" s="14" t="s">
        <v>99</v>
      </c>
      <c r="Q53" s="14" t="s">
        <v>99</v>
      </c>
      <c r="R53" s="14" t="s">
        <v>99</v>
      </c>
      <c r="S53" s="14" t="s">
        <v>99</v>
      </c>
      <c r="T53" s="14" t="s">
        <v>7477</v>
      </c>
      <c r="U53" s="14" t="s">
        <v>7478</v>
      </c>
      <c r="V53" s="14" t="s">
        <v>7479</v>
      </c>
      <c r="W53" s="14" t="s">
        <v>7480</v>
      </c>
      <c r="X53" s="14" t="s">
        <v>7481</v>
      </c>
      <c r="Y53" s="14" t="s">
        <v>7482</v>
      </c>
      <c r="Z53" s="14" t="s">
        <v>7483</v>
      </c>
      <c r="AA53" s="14" t="s">
        <v>7484</v>
      </c>
      <c r="AB53" s="14" t="s">
        <v>7485</v>
      </c>
      <c r="AC53" s="14" t="s">
        <v>99</v>
      </c>
      <c r="AD53" s="14" t="s">
        <v>99</v>
      </c>
      <c r="AE53" s="14" t="s">
        <v>99</v>
      </c>
      <c r="AF53" s="14" t="s">
        <v>99</v>
      </c>
      <c r="AG53" s="14">
        <v>72.0</v>
      </c>
      <c r="AH53" s="14">
        <v>207.0</v>
      </c>
      <c r="AI53" s="14">
        <v>255.0</v>
      </c>
      <c r="AJ53" s="14">
        <v>6.0</v>
      </c>
      <c r="AK53" s="14">
        <v>146.0</v>
      </c>
      <c r="AL53" s="14" t="s">
        <v>341</v>
      </c>
      <c r="AM53" s="14" t="s">
        <v>342</v>
      </c>
      <c r="AN53" s="14" t="s">
        <v>343</v>
      </c>
      <c r="AO53" s="14" t="s">
        <v>344</v>
      </c>
      <c r="AP53" s="14" t="s">
        <v>345</v>
      </c>
      <c r="AQ53" s="14" t="s">
        <v>99</v>
      </c>
      <c r="AR53" s="14" t="s">
        <v>346</v>
      </c>
      <c r="AS53" s="14" t="s">
        <v>347</v>
      </c>
      <c r="AT53" s="14" t="s">
        <v>616</v>
      </c>
      <c r="AU53" s="14">
        <v>2008.0</v>
      </c>
      <c r="AV53" s="14">
        <v>14.0</v>
      </c>
      <c r="AW53" s="14">
        <v>6.0</v>
      </c>
      <c r="AX53" s="14" t="s">
        <v>99</v>
      </c>
      <c r="AY53" s="14" t="s">
        <v>99</v>
      </c>
      <c r="AZ53" s="14" t="s">
        <v>99</v>
      </c>
      <c r="BA53" s="14" t="s">
        <v>99</v>
      </c>
      <c r="BB53" s="14">
        <v>1337.0</v>
      </c>
      <c r="BC53" s="14">
        <v>1352.0</v>
      </c>
      <c r="BD53" s="14" t="s">
        <v>99</v>
      </c>
      <c r="BE53" s="14" t="s">
        <v>7486</v>
      </c>
      <c r="BF53" s="15" t="str">
        <f>HYPERLINK("http://dx.doi.org/10.1111/j.1365-2486.2008.01559.x","http://dx.doi.org/10.1111/j.1365-2486.2008.01559.x")</f>
        <v>http://dx.doi.org/10.1111/j.1365-2486.2008.01559.x</v>
      </c>
      <c r="BG53" s="14" t="s">
        <v>99</v>
      </c>
      <c r="BH53" s="14" t="s">
        <v>99</v>
      </c>
      <c r="BI53" s="14">
        <v>16.0</v>
      </c>
      <c r="BJ53" s="14" t="s">
        <v>351</v>
      </c>
      <c r="BK53" s="14" t="s">
        <v>122</v>
      </c>
      <c r="BL53" s="14" t="s">
        <v>352</v>
      </c>
      <c r="BM53" s="14" t="s">
        <v>7487</v>
      </c>
      <c r="BN53" s="14" t="s">
        <v>99</v>
      </c>
      <c r="BO53" s="14" t="s">
        <v>99</v>
      </c>
      <c r="BP53" s="14" t="s">
        <v>99</v>
      </c>
      <c r="BQ53" s="14" t="s">
        <v>99</v>
      </c>
      <c r="BR53" s="14" t="s">
        <v>124</v>
      </c>
      <c r="BS53" s="14" t="s">
        <v>7488</v>
      </c>
      <c r="BT53" s="14" t="str">
        <f>HYPERLINK("https%3A%2F%2Fwww.webofscience.com%2Fwos%2Fwoscc%2Ffull-record%2FWOS:000255707200011","View Full Record in Web of Science")</f>
        <v>View Full Record in Web of Science</v>
      </c>
    </row>
    <row r="54" ht="12.75" customHeight="1">
      <c r="A54" s="14" t="s">
        <v>97</v>
      </c>
      <c r="B54" s="14" t="s">
        <v>7489</v>
      </c>
      <c r="C54" s="14" t="s">
        <v>99</v>
      </c>
      <c r="D54" s="14" t="s">
        <v>99</v>
      </c>
      <c r="E54" s="14" t="s">
        <v>99</v>
      </c>
      <c r="F54" s="14" t="s">
        <v>7490</v>
      </c>
      <c r="G54" s="14" t="s">
        <v>99</v>
      </c>
      <c r="H54" s="14" t="s">
        <v>99</v>
      </c>
      <c r="I54" s="14" t="s">
        <v>7491</v>
      </c>
      <c r="J54" s="14" t="s">
        <v>5603</v>
      </c>
      <c r="K54" s="14" t="s">
        <v>99</v>
      </c>
      <c r="L54" s="14" t="s">
        <v>99</v>
      </c>
      <c r="M54" s="14" t="s">
        <v>103</v>
      </c>
      <c r="N54" s="14" t="s">
        <v>104</v>
      </c>
      <c r="O54" s="14" t="s">
        <v>99</v>
      </c>
      <c r="P54" s="14" t="s">
        <v>99</v>
      </c>
      <c r="Q54" s="14" t="s">
        <v>99</v>
      </c>
      <c r="R54" s="14" t="s">
        <v>99</v>
      </c>
      <c r="S54" s="14" t="s">
        <v>99</v>
      </c>
      <c r="T54" s="14" t="s">
        <v>7492</v>
      </c>
      <c r="U54" s="14" t="s">
        <v>7493</v>
      </c>
      <c r="V54" s="14" t="s">
        <v>7494</v>
      </c>
      <c r="W54" s="14" t="s">
        <v>7495</v>
      </c>
      <c r="X54" s="14" t="s">
        <v>7496</v>
      </c>
      <c r="Y54" s="14" t="s">
        <v>7497</v>
      </c>
      <c r="Z54" s="14" t="s">
        <v>7498</v>
      </c>
      <c r="AA54" s="14" t="s">
        <v>7499</v>
      </c>
      <c r="AB54" s="14" t="s">
        <v>7500</v>
      </c>
      <c r="AC54" s="14" t="s">
        <v>99</v>
      </c>
      <c r="AD54" s="14" t="s">
        <v>99</v>
      </c>
      <c r="AE54" s="14" t="s">
        <v>99</v>
      </c>
      <c r="AF54" s="14" t="s">
        <v>99</v>
      </c>
      <c r="AG54" s="14">
        <v>60.0</v>
      </c>
      <c r="AH54" s="14">
        <v>263.0</v>
      </c>
      <c r="AI54" s="14">
        <v>301.0</v>
      </c>
      <c r="AJ54" s="14">
        <v>5.0</v>
      </c>
      <c r="AK54" s="14">
        <v>93.0</v>
      </c>
      <c r="AL54" s="14" t="s">
        <v>441</v>
      </c>
      <c r="AM54" s="14" t="s">
        <v>442</v>
      </c>
      <c r="AN54" s="14" t="s">
        <v>443</v>
      </c>
      <c r="AO54" s="14" t="s">
        <v>5616</v>
      </c>
      <c r="AP54" s="14" t="s">
        <v>5617</v>
      </c>
      <c r="AQ54" s="14" t="s">
        <v>99</v>
      </c>
      <c r="AR54" s="14" t="s">
        <v>5618</v>
      </c>
      <c r="AS54" s="14" t="s">
        <v>5619</v>
      </c>
      <c r="AT54" s="14" t="s">
        <v>616</v>
      </c>
      <c r="AU54" s="14">
        <v>2008.0</v>
      </c>
      <c r="AV54" s="14">
        <v>126.0</v>
      </c>
      <c r="AW54" s="14" t="s">
        <v>1161</v>
      </c>
      <c r="AX54" s="14" t="s">
        <v>99</v>
      </c>
      <c r="AY54" s="14" t="s">
        <v>99</v>
      </c>
      <c r="AZ54" s="14" t="s">
        <v>99</v>
      </c>
      <c r="BA54" s="14" t="s">
        <v>99</v>
      </c>
      <c r="BB54" s="14">
        <v>13.0</v>
      </c>
      <c r="BC54" s="14">
        <v>23.0</v>
      </c>
      <c r="BD54" s="14" t="s">
        <v>99</v>
      </c>
      <c r="BE54" s="14" t="s">
        <v>7501</v>
      </c>
      <c r="BF54" s="15" t="str">
        <f>HYPERLINK("http://dx.doi.org/10.1016/j.agee.2008.01.013","http://dx.doi.org/10.1016/j.agee.2008.01.013")</f>
        <v>http://dx.doi.org/10.1016/j.agee.2008.01.013</v>
      </c>
      <c r="BG54" s="14" t="s">
        <v>99</v>
      </c>
      <c r="BH54" s="14" t="s">
        <v>99</v>
      </c>
      <c r="BI54" s="14">
        <v>11.0</v>
      </c>
      <c r="BJ54" s="14" t="s">
        <v>5622</v>
      </c>
      <c r="BK54" s="14" t="s">
        <v>122</v>
      </c>
      <c r="BL54" s="14" t="s">
        <v>5623</v>
      </c>
      <c r="BM54" s="14" t="s">
        <v>7502</v>
      </c>
      <c r="BN54" s="14" t="s">
        <v>99</v>
      </c>
      <c r="BO54" s="14" t="s">
        <v>99</v>
      </c>
      <c r="BP54" s="14" t="s">
        <v>99</v>
      </c>
      <c r="BQ54" s="14" t="s">
        <v>99</v>
      </c>
      <c r="BR54" s="14" t="s">
        <v>124</v>
      </c>
      <c r="BS54" s="14" t="s">
        <v>7503</v>
      </c>
      <c r="BT54" s="14" t="str">
        <f>HYPERLINK("https%3A%2F%2Fwww.webofscience.com%2Fwos%2Fwoscc%2Ffull-record%2FWOS:000255694700003","View Full Record in Web of Science")</f>
        <v>View Full Record in Web of Science</v>
      </c>
    </row>
    <row r="55" ht="12.75" customHeight="1">
      <c r="A55" s="14" t="s">
        <v>97</v>
      </c>
      <c r="B55" s="14" t="s">
        <v>7600</v>
      </c>
      <c r="C55" s="14" t="s">
        <v>99</v>
      </c>
      <c r="D55" s="14" t="s">
        <v>99</v>
      </c>
      <c r="E55" s="14" t="s">
        <v>99</v>
      </c>
      <c r="F55" s="14" t="s">
        <v>7601</v>
      </c>
      <c r="G55" s="14" t="s">
        <v>99</v>
      </c>
      <c r="H55" s="14" t="s">
        <v>99</v>
      </c>
      <c r="I55" s="14" t="s">
        <v>7602</v>
      </c>
      <c r="J55" s="14" t="s">
        <v>1102</v>
      </c>
      <c r="K55" s="14" t="s">
        <v>99</v>
      </c>
      <c r="L55" s="14" t="s">
        <v>99</v>
      </c>
      <c r="M55" s="14" t="s">
        <v>103</v>
      </c>
      <c r="N55" s="14" t="s">
        <v>104</v>
      </c>
      <c r="O55" s="14" t="s">
        <v>99</v>
      </c>
      <c r="P55" s="14" t="s">
        <v>99</v>
      </c>
      <c r="Q55" s="14" t="s">
        <v>99</v>
      </c>
      <c r="R55" s="14" t="s">
        <v>99</v>
      </c>
      <c r="S55" s="14" t="s">
        <v>99</v>
      </c>
      <c r="T55" s="14" t="s">
        <v>7603</v>
      </c>
      <c r="U55" s="14" t="s">
        <v>7604</v>
      </c>
      <c r="V55" s="14" t="s">
        <v>7605</v>
      </c>
      <c r="W55" s="14" t="s">
        <v>7606</v>
      </c>
      <c r="X55" s="14" t="s">
        <v>7607</v>
      </c>
      <c r="Y55" s="14" t="s">
        <v>7608</v>
      </c>
      <c r="Z55" s="14" t="s">
        <v>7609</v>
      </c>
      <c r="AA55" s="14" t="s">
        <v>7610</v>
      </c>
      <c r="AB55" s="14" t="s">
        <v>7611</v>
      </c>
      <c r="AC55" s="14" t="s">
        <v>99</v>
      </c>
      <c r="AD55" s="14" t="s">
        <v>99</v>
      </c>
      <c r="AE55" s="14" t="s">
        <v>99</v>
      </c>
      <c r="AF55" s="14" t="s">
        <v>99</v>
      </c>
      <c r="AG55" s="14">
        <v>66.0</v>
      </c>
      <c r="AH55" s="14">
        <v>115.0</v>
      </c>
      <c r="AI55" s="14">
        <v>137.0</v>
      </c>
      <c r="AJ55" s="14">
        <v>3.0</v>
      </c>
      <c r="AK55" s="14">
        <v>105.0</v>
      </c>
      <c r="AL55" s="14" t="s">
        <v>493</v>
      </c>
      <c r="AM55" s="14" t="s">
        <v>468</v>
      </c>
      <c r="AN55" s="14" t="s">
        <v>635</v>
      </c>
      <c r="AO55" s="14" t="s">
        <v>1112</v>
      </c>
      <c r="AP55" s="14" t="s">
        <v>1113</v>
      </c>
      <c r="AQ55" s="14" t="s">
        <v>99</v>
      </c>
      <c r="AR55" s="14" t="s">
        <v>1114</v>
      </c>
      <c r="AS55" s="14" t="s">
        <v>1115</v>
      </c>
      <c r="AT55" s="14" t="s">
        <v>640</v>
      </c>
      <c r="AU55" s="14">
        <v>2008.0</v>
      </c>
      <c r="AV55" s="14">
        <v>141.0</v>
      </c>
      <c r="AW55" s="14">
        <v>5.0</v>
      </c>
      <c r="AX55" s="14" t="s">
        <v>99</v>
      </c>
      <c r="AY55" s="14" t="s">
        <v>99</v>
      </c>
      <c r="AZ55" s="14" t="s">
        <v>99</v>
      </c>
      <c r="BA55" s="14" t="s">
        <v>99</v>
      </c>
      <c r="BB55" s="14">
        <v>1343.0</v>
      </c>
      <c r="BC55" s="14">
        <v>1353.0</v>
      </c>
      <c r="BD55" s="14" t="s">
        <v>99</v>
      </c>
      <c r="BE55" s="14" t="s">
        <v>7612</v>
      </c>
      <c r="BF55" s="15" t="str">
        <f>HYPERLINK("http://dx.doi.org/10.1016/j.biocon.2008.03.007","http://dx.doi.org/10.1016/j.biocon.2008.03.007")</f>
        <v>http://dx.doi.org/10.1016/j.biocon.2008.03.007</v>
      </c>
      <c r="BG55" s="14" t="s">
        <v>99</v>
      </c>
      <c r="BH55" s="14" t="s">
        <v>99</v>
      </c>
      <c r="BI55" s="14">
        <v>11.0</v>
      </c>
      <c r="BJ55" s="14" t="s">
        <v>351</v>
      </c>
      <c r="BK55" s="14" t="s">
        <v>122</v>
      </c>
      <c r="BL55" s="14" t="s">
        <v>352</v>
      </c>
      <c r="BM55" s="14" t="s">
        <v>7613</v>
      </c>
      <c r="BN55" s="14" t="s">
        <v>99</v>
      </c>
      <c r="BO55" s="14" t="s">
        <v>99</v>
      </c>
      <c r="BP55" s="14" t="s">
        <v>99</v>
      </c>
      <c r="BQ55" s="14" t="s">
        <v>99</v>
      </c>
      <c r="BR55" s="14" t="s">
        <v>124</v>
      </c>
      <c r="BS55" s="14" t="s">
        <v>7614</v>
      </c>
      <c r="BT55" s="14" t="str">
        <f>HYPERLINK("https%3A%2F%2Fwww.webofscience.com%2Fwos%2Fwoscc%2Ffull-record%2FWOS:000257008400017","View Full Record in Web of Science")</f>
        <v>View Full Record in Web of Science</v>
      </c>
    </row>
    <row r="56" ht="12.75" customHeight="1">
      <c r="A56" s="14" t="s">
        <v>97</v>
      </c>
      <c r="B56" s="14" t="s">
        <v>7615</v>
      </c>
      <c r="C56" s="14" t="s">
        <v>99</v>
      </c>
      <c r="D56" s="14" t="s">
        <v>99</v>
      </c>
      <c r="E56" s="14" t="s">
        <v>99</v>
      </c>
      <c r="F56" s="14" t="s">
        <v>7616</v>
      </c>
      <c r="G56" s="14" t="s">
        <v>99</v>
      </c>
      <c r="H56" s="14" t="s">
        <v>99</v>
      </c>
      <c r="I56" s="14" t="s">
        <v>7617</v>
      </c>
      <c r="J56" s="14" t="s">
        <v>4245</v>
      </c>
      <c r="K56" s="14" t="s">
        <v>99</v>
      </c>
      <c r="L56" s="14" t="s">
        <v>99</v>
      </c>
      <c r="M56" s="14" t="s">
        <v>103</v>
      </c>
      <c r="N56" s="14" t="s">
        <v>104</v>
      </c>
      <c r="O56" s="14" t="s">
        <v>99</v>
      </c>
      <c r="P56" s="14" t="s">
        <v>99</v>
      </c>
      <c r="Q56" s="14" t="s">
        <v>99</v>
      </c>
      <c r="R56" s="14" t="s">
        <v>99</v>
      </c>
      <c r="S56" s="14" t="s">
        <v>99</v>
      </c>
      <c r="T56" s="14" t="s">
        <v>7618</v>
      </c>
      <c r="U56" s="14" t="s">
        <v>7619</v>
      </c>
      <c r="V56" s="14" t="s">
        <v>7620</v>
      </c>
      <c r="W56" s="14" t="s">
        <v>7621</v>
      </c>
      <c r="X56" s="14" t="s">
        <v>7622</v>
      </c>
      <c r="Y56" s="14" t="s">
        <v>7623</v>
      </c>
      <c r="Z56" s="14" t="s">
        <v>7624</v>
      </c>
      <c r="AA56" s="14" t="s">
        <v>7625</v>
      </c>
      <c r="AB56" s="14" t="s">
        <v>7626</v>
      </c>
      <c r="AC56" s="14" t="s">
        <v>99</v>
      </c>
      <c r="AD56" s="14" t="s">
        <v>99</v>
      </c>
      <c r="AE56" s="14" t="s">
        <v>99</v>
      </c>
      <c r="AF56" s="14" t="s">
        <v>99</v>
      </c>
      <c r="AG56" s="14">
        <v>43.0</v>
      </c>
      <c r="AH56" s="14">
        <v>238.0</v>
      </c>
      <c r="AI56" s="14">
        <v>270.0</v>
      </c>
      <c r="AJ56" s="14">
        <v>0.0</v>
      </c>
      <c r="AK56" s="14">
        <v>69.0</v>
      </c>
      <c r="AL56" s="14" t="s">
        <v>341</v>
      </c>
      <c r="AM56" s="14" t="s">
        <v>342</v>
      </c>
      <c r="AN56" s="14" t="s">
        <v>343</v>
      </c>
      <c r="AO56" s="14" t="s">
        <v>4258</v>
      </c>
      <c r="AP56" s="14" t="s">
        <v>4259</v>
      </c>
      <c r="AQ56" s="14" t="s">
        <v>99</v>
      </c>
      <c r="AR56" s="14" t="s">
        <v>4260</v>
      </c>
      <c r="AS56" s="14" t="s">
        <v>4261</v>
      </c>
      <c r="AT56" s="14" t="s">
        <v>718</v>
      </c>
      <c r="AU56" s="14">
        <v>2008.0</v>
      </c>
      <c r="AV56" s="14">
        <v>11.0</v>
      </c>
      <c r="AW56" s="14">
        <v>2.0</v>
      </c>
      <c r="AX56" s="14" t="s">
        <v>99</v>
      </c>
      <c r="AY56" s="14" t="s">
        <v>99</v>
      </c>
      <c r="AZ56" s="14" t="s">
        <v>99</v>
      </c>
      <c r="BA56" s="14" t="s">
        <v>99</v>
      </c>
      <c r="BB56" s="14">
        <v>169.0</v>
      </c>
      <c r="BC56" s="14">
        <v>178.0</v>
      </c>
      <c r="BD56" s="14" t="s">
        <v>99</v>
      </c>
      <c r="BE56" s="14" t="s">
        <v>7627</v>
      </c>
      <c r="BF56" s="15" t="str">
        <f>HYPERLINK("http://dx.doi.org/10.3170/2008-7-18348","http://dx.doi.org/10.3170/2008-7-18348")</f>
        <v>http://dx.doi.org/10.3170/2008-7-18348</v>
      </c>
      <c r="BG56" s="14" t="s">
        <v>99</v>
      </c>
      <c r="BH56" s="14" t="s">
        <v>99</v>
      </c>
      <c r="BI56" s="14">
        <v>10.0</v>
      </c>
      <c r="BJ56" s="14" t="s">
        <v>1141</v>
      </c>
      <c r="BK56" s="14" t="s">
        <v>122</v>
      </c>
      <c r="BL56" s="14" t="s">
        <v>1142</v>
      </c>
      <c r="BM56" s="14" t="s">
        <v>7628</v>
      </c>
      <c r="BN56" s="14" t="s">
        <v>99</v>
      </c>
      <c r="BO56" s="14" t="s">
        <v>99</v>
      </c>
      <c r="BP56" s="14" t="s">
        <v>99</v>
      </c>
      <c r="BQ56" s="14" t="s">
        <v>99</v>
      </c>
      <c r="BR56" s="14" t="s">
        <v>124</v>
      </c>
      <c r="BS56" s="14" t="s">
        <v>7629</v>
      </c>
      <c r="BT56" s="14" t="str">
        <f>HYPERLINK("https%3A%2F%2Fwww.webofscience.com%2Fwos%2Fwoscc%2Ffull-record%2FWOS:000255229600003","View Full Record in Web of Science")</f>
        <v>View Full Record in Web of Science</v>
      </c>
    </row>
    <row r="57" ht="12.75" customHeight="1">
      <c r="A57" s="14" t="s">
        <v>97</v>
      </c>
      <c r="B57" s="14" t="s">
        <v>7696</v>
      </c>
      <c r="C57" s="14" t="s">
        <v>99</v>
      </c>
      <c r="D57" s="14" t="s">
        <v>99</v>
      </c>
      <c r="E57" s="14" t="s">
        <v>99</v>
      </c>
      <c r="F57" s="14" t="s">
        <v>7697</v>
      </c>
      <c r="G57" s="14" t="s">
        <v>99</v>
      </c>
      <c r="H57" s="14" t="s">
        <v>99</v>
      </c>
      <c r="I57" s="14" t="s">
        <v>7698</v>
      </c>
      <c r="J57" s="14" t="s">
        <v>328</v>
      </c>
      <c r="K57" s="14" t="s">
        <v>99</v>
      </c>
      <c r="L57" s="14" t="s">
        <v>99</v>
      </c>
      <c r="M57" s="14" t="s">
        <v>103</v>
      </c>
      <c r="N57" s="14" t="s">
        <v>104</v>
      </c>
      <c r="O57" s="14" t="s">
        <v>99</v>
      </c>
      <c r="P57" s="14" t="s">
        <v>99</v>
      </c>
      <c r="Q57" s="14" t="s">
        <v>99</v>
      </c>
      <c r="R57" s="14" t="s">
        <v>99</v>
      </c>
      <c r="S57" s="14" t="s">
        <v>99</v>
      </c>
      <c r="T57" s="14" t="s">
        <v>7699</v>
      </c>
      <c r="U57" s="14" t="s">
        <v>7700</v>
      </c>
      <c r="V57" s="14" t="s">
        <v>7701</v>
      </c>
      <c r="W57" s="14" t="s">
        <v>7702</v>
      </c>
      <c r="X57" s="14" t="s">
        <v>7703</v>
      </c>
      <c r="Y57" s="14" t="s">
        <v>7704</v>
      </c>
      <c r="Z57" s="14" t="s">
        <v>7705</v>
      </c>
      <c r="AA57" s="14" t="s">
        <v>7706</v>
      </c>
      <c r="AB57" s="14" t="s">
        <v>7707</v>
      </c>
      <c r="AC57" s="14" t="s">
        <v>99</v>
      </c>
      <c r="AD57" s="14" t="s">
        <v>99</v>
      </c>
      <c r="AE57" s="14" t="s">
        <v>99</v>
      </c>
      <c r="AF57" s="14" t="s">
        <v>99</v>
      </c>
      <c r="AG57" s="14">
        <v>49.0</v>
      </c>
      <c r="AH57" s="14">
        <v>136.0</v>
      </c>
      <c r="AI57" s="14">
        <v>155.0</v>
      </c>
      <c r="AJ57" s="14">
        <v>2.0</v>
      </c>
      <c r="AK57" s="14">
        <v>54.0</v>
      </c>
      <c r="AL57" s="14" t="s">
        <v>341</v>
      </c>
      <c r="AM57" s="14" t="s">
        <v>342</v>
      </c>
      <c r="AN57" s="14" t="s">
        <v>343</v>
      </c>
      <c r="AO57" s="14" t="s">
        <v>344</v>
      </c>
      <c r="AP57" s="14" t="s">
        <v>345</v>
      </c>
      <c r="AQ57" s="14" t="s">
        <v>99</v>
      </c>
      <c r="AR57" s="14" t="s">
        <v>346</v>
      </c>
      <c r="AS57" s="14" t="s">
        <v>347</v>
      </c>
      <c r="AT57" s="14" t="s">
        <v>1485</v>
      </c>
      <c r="AU57" s="14">
        <v>2008.0</v>
      </c>
      <c r="AV57" s="14">
        <v>14.0</v>
      </c>
      <c r="AW57" s="14">
        <v>3.0</v>
      </c>
      <c r="AX57" s="14" t="s">
        <v>99</v>
      </c>
      <c r="AY57" s="14" t="s">
        <v>99</v>
      </c>
      <c r="AZ57" s="14" t="s">
        <v>99</v>
      </c>
      <c r="BA57" s="14" t="s">
        <v>99</v>
      </c>
      <c r="BB57" s="14">
        <v>483.0</v>
      </c>
      <c r="BC57" s="14">
        <v>494.0</v>
      </c>
      <c r="BD57" s="14" t="s">
        <v>99</v>
      </c>
      <c r="BE57" s="14" t="s">
        <v>7708</v>
      </c>
      <c r="BF57" s="15" t="str">
        <f>HYPERLINK("http://dx.doi.org/10.1111/j.1365-2486.2007.01527.x","http://dx.doi.org/10.1111/j.1365-2486.2007.01527.x")</f>
        <v>http://dx.doi.org/10.1111/j.1365-2486.2007.01527.x</v>
      </c>
      <c r="BG57" s="14" t="s">
        <v>99</v>
      </c>
      <c r="BH57" s="14" t="s">
        <v>99</v>
      </c>
      <c r="BI57" s="14">
        <v>12.0</v>
      </c>
      <c r="BJ57" s="14" t="s">
        <v>351</v>
      </c>
      <c r="BK57" s="14" t="s">
        <v>122</v>
      </c>
      <c r="BL57" s="14" t="s">
        <v>352</v>
      </c>
      <c r="BM57" s="14" t="s">
        <v>7709</v>
      </c>
      <c r="BN57" s="14" t="s">
        <v>99</v>
      </c>
      <c r="BO57" s="14" t="s">
        <v>99</v>
      </c>
      <c r="BP57" s="14" t="s">
        <v>99</v>
      </c>
      <c r="BQ57" s="14" t="s">
        <v>99</v>
      </c>
      <c r="BR57" s="14" t="s">
        <v>124</v>
      </c>
      <c r="BS57" s="14" t="s">
        <v>7710</v>
      </c>
      <c r="BT57" s="14" t="str">
        <f>HYPERLINK("https%3A%2F%2Fwww.webofscience.com%2Fwos%2Fwoscc%2Ffull-record%2FWOS:000252929900004","View Full Record in Web of Science")</f>
        <v>View Full Record in Web of Science</v>
      </c>
    </row>
    <row r="58" ht="12.75" customHeight="1">
      <c r="A58" s="14" t="s">
        <v>97</v>
      </c>
      <c r="B58" s="14" t="s">
        <v>7725</v>
      </c>
      <c r="C58" s="14" t="s">
        <v>99</v>
      </c>
      <c r="D58" s="14" t="s">
        <v>99</v>
      </c>
      <c r="E58" s="14" t="s">
        <v>99</v>
      </c>
      <c r="F58" s="14" t="s">
        <v>7726</v>
      </c>
      <c r="G58" s="14" t="s">
        <v>99</v>
      </c>
      <c r="H58" s="14" t="s">
        <v>99</v>
      </c>
      <c r="I58" s="14" t="s">
        <v>7727</v>
      </c>
      <c r="J58" s="14" t="s">
        <v>430</v>
      </c>
      <c r="K58" s="14" t="s">
        <v>99</v>
      </c>
      <c r="L58" s="14" t="s">
        <v>99</v>
      </c>
      <c r="M58" s="14" t="s">
        <v>103</v>
      </c>
      <c r="N58" s="14" t="s">
        <v>2284</v>
      </c>
      <c r="O58" s="14" t="s">
        <v>7728</v>
      </c>
      <c r="P58" s="14" t="s">
        <v>7729</v>
      </c>
      <c r="Q58" s="14" t="s">
        <v>7730</v>
      </c>
      <c r="R58" s="14" t="s">
        <v>7731</v>
      </c>
      <c r="S58" s="14" t="s">
        <v>99</v>
      </c>
      <c r="T58" s="14" t="s">
        <v>7732</v>
      </c>
      <c r="U58" s="14" t="s">
        <v>7733</v>
      </c>
      <c r="V58" s="14" t="s">
        <v>7734</v>
      </c>
      <c r="W58" s="14" t="s">
        <v>7735</v>
      </c>
      <c r="X58" s="14" t="s">
        <v>6702</v>
      </c>
      <c r="Y58" s="14" t="s">
        <v>7736</v>
      </c>
      <c r="Z58" s="14" t="s">
        <v>7737</v>
      </c>
      <c r="AA58" s="14" t="s">
        <v>7738</v>
      </c>
      <c r="AB58" s="14" t="s">
        <v>7739</v>
      </c>
      <c r="AC58" s="14" t="s">
        <v>99</v>
      </c>
      <c r="AD58" s="14" t="s">
        <v>99</v>
      </c>
      <c r="AE58" s="14" t="s">
        <v>99</v>
      </c>
      <c r="AF58" s="14" t="s">
        <v>99</v>
      </c>
      <c r="AG58" s="14">
        <v>68.0</v>
      </c>
      <c r="AH58" s="14">
        <v>530.0</v>
      </c>
      <c r="AI58" s="14">
        <v>707.0</v>
      </c>
      <c r="AJ58" s="14">
        <v>1.0</v>
      </c>
      <c r="AK58" s="14">
        <v>226.0</v>
      </c>
      <c r="AL58" s="14" t="s">
        <v>441</v>
      </c>
      <c r="AM58" s="14" t="s">
        <v>442</v>
      </c>
      <c r="AN58" s="14" t="s">
        <v>443</v>
      </c>
      <c r="AO58" s="14" t="s">
        <v>444</v>
      </c>
      <c r="AP58" s="14" t="s">
        <v>445</v>
      </c>
      <c r="AQ58" s="14" t="s">
        <v>99</v>
      </c>
      <c r="AR58" s="14" t="s">
        <v>446</v>
      </c>
      <c r="AS58" s="14" t="s">
        <v>447</v>
      </c>
      <c r="AT58" s="14" t="s">
        <v>3429</v>
      </c>
      <c r="AU58" s="14">
        <v>2008.0</v>
      </c>
      <c r="AV58" s="14">
        <v>254.0</v>
      </c>
      <c r="AW58" s="14">
        <v>3.0</v>
      </c>
      <c r="AX58" s="14" t="s">
        <v>99</v>
      </c>
      <c r="AY58" s="14" t="s">
        <v>99</v>
      </c>
      <c r="AZ58" s="14" t="s">
        <v>99</v>
      </c>
      <c r="BA58" s="14" t="s">
        <v>99</v>
      </c>
      <c r="BB58" s="14">
        <v>390.0</v>
      </c>
      <c r="BC58" s="14">
        <v>406.0</v>
      </c>
      <c r="BD58" s="14" t="s">
        <v>99</v>
      </c>
      <c r="BE58" s="14" t="s">
        <v>7740</v>
      </c>
      <c r="BF58" s="15" t="str">
        <f>HYPERLINK("http://dx.doi.org/10.1016/j.foreco.2007.07.023","http://dx.doi.org/10.1016/j.foreco.2007.07.023")</f>
        <v>http://dx.doi.org/10.1016/j.foreco.2007.07.023</v>
      </c>
      <c r="BG58" s="14" t="s">
        <v>99</v>
      </c>
      <c r="BH58" s="14" t="s">
        <v>99</v>
      </c>
      <c r="BI58" s="14">
        <v>17.0</v>
      </c>
      <c r="BJ58" s="14" t="s">
        <v>281</v>
      </c>
      <c r="BK58" s="14" t="s">
        <v>2311</v>
      </c>
      <c r="BL58" s="14" t="s">
        <v>281</v>
      </c>
      <c r="BM58" s="14" t="s">
        <v>7741</v>
      </c>
      <c r="BN58" s="14" t="s">
        <v>99</v>
      </c>
      <c r="BO58" s="14" t="s">
        <v>99</v>
      </c>
      <c r="BP58" s="14" t="s">
        <v>99</v>
      </c>
      <c r="BQ58" s="14" t="s">
        <v>99</v>
      </c>
      <c r="BR58" s="14" t="s">
        <v>124</v>
      </c>
      <c r="BS58" s="14" t="s">
        <v>7742</v>
      </c>
      <c r="BT58" s="14" t="str">
        <f>HYPERLINK("https%3A%2F%2Fwww.webofscience.com%2Fwos%2Fwoscc%2Ffull-record%2FWOS:000253444600003","View Full Record in Web of Science")</f>
        <v>View Full Record in Web of Science</v>
      </c>
    </row>
    <row r="59" ht="12.75" customHeight="1">
      <c r="A59" s="14" t="s">
        <v>97</v>
      </c>
      <c r="B59" s="14" t="s">
        <v>7743</v>
      </c>
      <c r="C59" s="14" t="s">
        <v>99</v>
      </c>
      <c r="D59" s="14" t="s">
        <v>99</v>
      </c>
      <c r="E59" s="14" t="s">
        <v>99</v>
      </c>
      <c r="F59" s="14" t="s">
        <v>7744</v>
      </c>
      <c r="G59" s="14" t="s">
        <v>99</v>
      </c>
      <c r="H59" s="14" t="s">
        <v>99</v>
      </c>
      <c r="I59" s="14" t="s">
        <v>7745</v>
      </c>
      <c r="J59" s="14" t="s">
        <v>2142</v>
      </c>
      <c r="K59" s="14" t="s">
        <v>99</v>
      </c>
      <c r="L59" s="14" t="s">
        <v>99</v>
      </c>
      <c r="M59" s="14" t="s">
        <v>103</v>
      </c>
      <c r="N59" s="14" t="s">
        <v>104</v>
      </c>
      <c r="O59" s="14" t="s">
        <v>99</v>
      </c>
      <c r="P59" s="14" t="s">
        <v>99</v>
      </c>
      <c r="Q59" s="14" t="s">
        <v>99</v>
      </c>
      <c r="R59" s="14" t="s">
        <v>99</v>
      </c>
      <c r="S59" s="14" t="s">
        <v>99</v>
      </c>
      <c r="T59" s="14" t="s">
        <v>7746</v>
      </c>
      <c r="U59" s="14" t="s">
        <v>7747</v>
      </c>
      <c r="V59" s="14" t="s">
        <v>7748</v>
      </c>
      <c r="W59" s="14" t="s">
        <v>7749</v>
      </c>
      <c r="X59" s="14" t="s">
        <v>7750</v>
      </c>
      <c r="Y59" s="14" t="s">
        <v>7751</v>
      </c>
      <c r="Z59" s="14" t="s">
        <v>7752</v>
      </c>
      <c r="AA59" s="14" t="s">
        <v>7753</v>
      </c>
      <c r="AB59" s="14" t="s">
        <v>7754</v>
      </c>
      <c r="AC59" s="14" t="s">
        <v>99</v>
      </c>
      <c r="AD59" s="14" t="s">
        <v>99</v>
      </c>
      <c r="AE59" s="14" t="s">
        <v>99</v>
      </c>
      <c r="AF59" s="14" t="s">
        <v>99</v>
      </c>
      <c r="AG59" s="14">
        <v>54.0</v>
      </c>
      <c r="AH59" s="14">
        <v>478.0</v>
      </c>
      <c r="AI59" s="14">
        <v>596.0</v>
      </c>
      <c r="AJ59" s="14">
        <v>2.0</v>
      </c>
      <c r="AK59" s="14">
        <v>433.0</v>
      </c>
      <c r="AL59" s="14" t="s">
        <v>1822</v>
      </c>
      <c r="AM59" s="14" t="s">
        <v>342</v>
      </c>
      <c r="AN59" s="14" t="s">
        <v>343</v>
      </c>
      <c r="AO59" s="14" t="s">
        <v>2155</v>
      </c>
      <c r="AP59" s="14" t="s">
        <v>2156</v>
      </c>
      <c r="AQ59" s="14" t="s">
        <v>99</v>
      </c>
      <c r="AR59" s="14" t="s">
        <v>2157</v>
      </c>
      <c r="AS59" s="14" t="s">
        <v>2158</v>
      </c>
      <c r="AT59" s="14" t="s">
        <v>280</v>
      </c>
      <c r="AU59" s="14">
        <v>2008.0</v>
      </c>
      <c r="AV59" s="14">
        <v>22.0</v>
      </c>
      <c r="AW59" s="14">
        <v>1.0</v>
      </c>
      <c r="AX59" s="14" t="s">
        <v>99</v>
      </c>
      <c r="AY59" s="14" t="s">
        <v>99</v>
      </c>
      <c r="AZ59" s="14" t="s">
        <v>99</v>
      </c>
      <c r="BA59" s="14" t="s">
        <v>99</v>
      </c>
      <c r="BB59" s="14">
        <v>140.0</v>
      </c>
      <c r="BC59" s="14">
        <v>150.0</v>
      </c>
      <c r="BD59" s="14" t="s">
        <v>99</v>
      </c>
      <c r="BE59" s="14" t="s">
        <v>7755</v>
      </c>
      <c r="BF59" s="15" t="str">
        <f>HYPERLINK("http://dx.doi.org/10.1111/j.1523-1739.2007.00852.x","http://dx.doi.org/10.1111/j.1523-1739.2007.00852.x")</f>
        <v>http://dx.doi.org/10.1111/j.1523-1739.2007.00852.x</v>
      </c>
      <c r="BG59" s="14" t="s">
        <v>99</v>
      </c>
      <c r="BH59" s="14" t="s">
        <v>99</v>
      </c>
      <c r="BI59" s="14">
        <v>11.0</v>
      </c>
      <c r="BJ59" s="14" t="s">
        <v>351</v>
      </c>
      <c r="BK59" s="14" t="s">
        <v>122</v>
      </c>
      <c r="BL59" s="14" t="s">
        <v>352</v>
      </c>
      <c r="BM59" s="14" t="s">
        <v>7756</v>
      </c>
      <c r="BN59" s="14">
        <v>1.8254859E7</v>
      </c>
      <c r="BO59" s="14" t="s">
        <v>238</v>
      </c>
      <c r="BP59" s="14" t="s">
        <v>99</v>
      </c>
      <c r="BQ59" s="14" t="s">
        <v>99</v>
      </c>
      <c r="BR59" s="14" t="s">
        <v>124</v>
      </c>
      <c r="BS59" s="14" t="s">
        <v>7757</v>
      </c>
      <c r="BT59" s="14" t="str">
        <f>HYPERLINK("https%3A%2F%2Fwww.webofscience.com%2Fwos%2Fwoscc%2Ffull-record%2FWOS:000252895700016","View Full Record in Web of Science")</f>
        <v>View Full Record in Web of Science</v>
      </c>
    </row>
    <row r="60" ht="12.75" customHeight="1">
      <c r="A60" s="14" t="s">
        <v>97</v>
      </c>
      <c r="B60" s="14" t="s">
        <v>7772</v>
      </c>
      <c r="C60" s="14" t="s">
        <v>99</v>
      </c>
      <c r="D60" s="14" t="s">
        <v>99</v>
      </c>
      <c r="E60" s="14" t="s">
        <v>99</v>
      </c>
      <c r="F60" s="14" t="s">
        <v>7773</v>
      </c>
      <c r="G60" s="14" t="s">
        <v>99</v>
      </c>
      <c r="H60" s="14" t="s">
        <v>99</v>
      </c>
      <c r="I60" s="14" t="s">
        <v>7774</v>
      </c>
      <c r="J60" s="14" t="s">
        <v>2500</v>
      </c>
      <c r="K60" s="14" t="s">
        <v>99</v>
      </c>
      <c r="L60" s="14" t="s">
        <v>99</v>
      </c>
      <c r="M60" s="14" t="s">
        <v>103</v>
      </c>
      <c r="N60" s="14" t="s">
        <v>104</v>
      </c>
      <c r="O60" s="14" t="s">
        <v>99</v>
      </c>
      <c r="P60" s="14" t="s">
        <v>99</v>
      </c>
      <c r="Q60" s="14" t="s">
        <v>99</v>
      </c>
      <c r="R60" s="14" t="s">
        <v>99</v>
      </c>
      <c r="S60" s="14" t="s">
        <v>99</v>
      </c>
      <c r="T60" s="14" t="s">
        <v>99</v>
      </c>
      <c r="U60" s="14" t="s">
        <v>99</v>
      </c>
      <c r="V60" s="14" t="s">
        <v>7775</v>
      </c>
      <c r="W60" s="14" t="s">
        <v>7776</v>
      </c>
      <c r="X60" s="14" t="s">
        <v>7777</v>
      </c>
      <c r="Y60" s="14" t="s">
        <v>7778</v>
      </c>
      <c r="Z60" s="14" t="s">
        <v>7779</v>
      </c>
      <c r="AA60" s="14" t="s">
        <v>7780</v>
      </c>
      <c r="AB60" s="14" t="s">
        <v>7781</v>
      </c>
      <c r="AC60" s="14" t="s">
        <v>7782</v>
      </c>
      <c r="AD60" s="14" t="s">
        <v>7783</v>
      </c>
      <c r="AE60" s="14" t="s">
        <v>7784</v>
      </c>
      <c r="AF60" s="14" t="s">
        <v>99</v>
      </c>
      <c r="AG60" s="14">
        <v>47.0</v>
      </c>
      <c r="AH60" s="14">
        <v>220.0</v>
      </c>
      <c r="AI60" s="14">
        <v>245.0</v>
      </c>
      <c r="AJ60" s="14">
        <v>0.0</v>
      </c>
      <c r="AK60" s="14">
        <v>96.0</v>
      </c>
      <c r="AL60" s="14" t="s">
        <v>2512</v>
      </c>
      <c r="AM60" s="14" t="s">
        <v>2513</v>
      </c>
      <c r="AN60" s="14" t="s">
        <v>2514</v>
      </c>
      <c r="AO60" s="14" t="s">
        <v>2515</v>
      </c>
      <c r="AP60" s="14" t="s">
        <v>99</v>
      </c>
      <c r="AQ60" s="14" t="s">
        <v>99</v>
      </c>
      <c r="AR60" s="14" t="s">
        <v>2500</v>
      </c>
      <c r="AS60" s="14" t="s">
        <v>2516</v>
      </c>
      <c r="AT60" s="14" t="s">
        <v>7785</v>
      </c>
      <c r="AU60" s="14">
        <v>2008.0</v>
      </c>
      <c r="AV60" s="14">
        <v>3.0</v>
      </c>
      <c r="AW60" s="14">
        <v>1.0</v>
      </c>
      <c r="AX60" s="14" t="s">
        <v>99</v>
      </c>
      <c r="AY60" s="14" t="s">
        <v>99</v>
      </c>
      <c r="AZ60" s="14" t="s">
        <v>99</v>
      </c>
      <c r="BA60" s="14" t="s">
        <v>99</v>
      </c>
      <c r="BB60" s="14" t="s">
        <v>99</v>
      </c>
      <c r="BC60" s="14" t="s">
        <v>99</v>
      </c>
      <c r="BD60" s="14" t="s">
        <v>7786</v>
      </c>
      <c r="BE60" s="14" t="s">
        <v>7787</v>
      </c>
      <c r="BF60" s="15" t="str">
        <f>HYPERLINK("http://dx.doi.org/10.1371/journal.pone.0001439","http://dx.doi.org/10.1371/journal.pone.0001439")</f>
        <v>http://dx.doi.org/10.1371/journal.pone.0001439</v>
      </c>
      <c r="BG60" s="14" t="s">
        <v>99</v>
      </c>
      <c r="BH60" s="14" t="s">
        <v>99</v>
      </c>
      <c r="BI60" s="14">
        <v>11.0</v>
      </c>
      <c r="BJ60" s="14" t="s">
        <v>799</v>
      </c>
      <c r="BK60" s="14" t="s">
        <v>122</v>
      </c>
      <c r="BL60" s="14" t="s">
        <v>801</v>
      </c>
      <c r="BM60" s="14" t="s">
        <v>7788</v>
      </c>
      <c r="BN60" s="14">
        <v>1.819725E7</v>
      </c>
      <c r="BO60" s="14" t="s">
        <v>1508</v>
      </c>
      <c r="BP60" s="14" t="s">
        <v>99</v>
      </c>
      <c r="BQ60" s="14" t="s">
        <v>99</v>
      </c>
      <c r="BR60" s="14" t="s">
        <v>124</v>
      </c>
      <c r="BS60" s="14" t="s">
        <v>7789</v>
      </c>
      <c r="BT60" s="14" t="str">
        <f>HYPERLINK("https%3A%2F%2Fwww.webofscience.com%2Fwos%2Fwoscc%2Ffull-record%2FWOS:000260503800011","View Full Record in Web of Science")</f>
        <v>View Full Record in Web of Science</v>
      </c>
    </row>
    <row r="61" ht="12.75" customHeight="1">
      <c r="A61" s="14" t="s">
        <v>97</v>
      </c>
      <c r="B61" s="14" t="s">
        <v>7790</v>
      </c>
      <c r="C61" s="14" t="s">
        <v>99</v>
      </c>
      <c r="D61" s="14" t="s">
        <v>99</v>
      </c>
      <c r="E61" s="14" t="s">
        <v>99</v>
      </c>
      <c r="F61" s="14" t="s">
        <v>7791</v>
      </c>
      <c r="G61" s="14" t="s">
        <v>99</v>
      </c>
      <c r="H61" s="14" t="s">
        <v>99</v>
      </c>
      <c r="I61" s="14" t="s">
        <v>7792</v>
      </c>
      <c r="J61" s="14" t="s">
        <v>7793</v>
      </c>
      <c r="K61" s="14" t="s">
        <v>99</v>
      </c>
      <c r="L61" s="14" t="s">
        <v>99</v>
      </c>
      <c r="M61" s="14" t="s">
        <v>103</v>
      </c>
      <c r="N61" s="14" t="s">
        <v>104</v>
      </c>
      <c r="O61" s="14" t="s">
        <v>99</v>
      </c>
      <c r="P61" s="14" t="s">
        <v>99</v>
      </c>
      <c r="Q61" s="14" t="s">
        <v>99</v>
      </c>
      <c r="R61" s="14" t="s">
        <v>99</v>
      </c>
      <c r="S61" s="14" t="s">
        <v>99</v>
      </c>
      <c r="T61" s="14" t="s">
        <v>7794</v>
      </c>
      <c r="U61" s="14" t="s">
        <v>7795</v>
      </c>
      <c r="V61" s="14" t="s">
        <v>7796</v>
      </c>
      <c r="W61" s="14" t="s">
        <v>7797</v>
      </c>
      <c r="X61" s="14" t="s">
        <v>7798</v>
      </c>
      <c r="Y61" s="14" t="s">
        <v>7799</v>
      </c>
      <c r="Z61" s="14" t="s">
        <v>7800</v>
      </c>
      <c r="AA61" s="14" t="s">
        <v>7801</v>
      </c>
      <c r="AB61" s="14" t="s">
        <v>7802</v>
      </c>
      <c r="AC61" s="14" t="s">
        <v>99</v>
      </c>
      <c r="AD61" s="14" t="s">
        <v>99</v>
      </c>
      <c r="AE61" s="14" t="s">
        <v>99</v>
      </c>
      <c r="AF61" s="14" t="s">
        <v>99</v>
      </c>
      <c r="AG61" s="14">
        <v>94.0</v>
      </c>
      <c r="AH61" s="14">
        <v>229.0</v>
      </c>
      <c r="AI61" s="14">
        <v>266.0</v>
      </c>
      <c r="AJ61" s="14">
        <v>1.0</v>
      </c>
      <c r="AK61" s="14">
        <v>120.0</v>
      </c>
      <c r="AL61" s="14" t="s">
        <v>7208</v>
      </c>
      <c r="AM61" s="14" t="s">
        <v>7209</v>
      </c>
      <c r="AN61" s="14" t="s">
        <v>7210</v>
      </c>
      <c r="AO61" s="14" t="s">
        <v>7803</v>
      </c>
      <c r="AP61" s="14" t="s">
        <v>7804</v>
      </c>
      <c r="AQ61" s="14" t="s">
        <v>99</v>
      </c>
      <c r="AR61" s="14" t="s">
        <v>7805</v>
      </c>
      <c r="AS61" s="14" t="s">
        <v>7806</v>
      </c>
      <c r="AT61" s="14" t="s">
        <v>935</v>
      </c>
      <c r="AU61" s="14">
        <v>2008.0</v>
      </c>
      <c r="AV61" s="14">
        <v>171.0</v>
      </c>
      <c r="AW61" s="14">
        <v>1.0</v>
      </c>
      <c r="AX61" s="14" t="s">
        <v>99</v>
      </c>
      <c r="AY61" s="14" t="s">
        <v>99</v>
      </c>
      <c r="AZ61" s="14" t="s">
        <v>99</v>
      </c>
      <c r="BA61" s="14" t="s">
        <v>99</v>
      </c>
      <c r="BB61" s="14" t="s">
        <v>7807</v>
      </c>
      <c r="BC61" s="14" t="s">
        <v>7808</v>
      </c>
      <c r="BD61" s="14" t="s">
        <v>99</v>
      </c>
      <c r="BE61" s="14" t="s">
        <v>7809</v>
      </c>
      <c r="BF61" s="15" t="str">
        <f>HYPERLINK("http://dx.doi.org/10.1086/523949","http://dx.doi.org/10.1086/523949")</f>
        <v>http://dx.doi.org/10.1086/523949</v>
      </c>
      <c r="BG61" s="14" t="s">
        <v>99</v>
      </c>
      <c r="BH61" s="14" t="s">
        <v>99</v>
      </c>
      <c r="BI61" s="14">
        <v>19.0</v>
      </c>
      <c r="BJ61" s="14" t="s">
        <v>1224</v>
      </c>
      <c r="BK61" s="14" t="s">
        <v>122</v>
      </c>
      <c r="BL61" s="14" t="s">
        <v>1225</v>
      </c>
      <c r="BM61" s="14" t="s">
        <v>7810</v>
      </c>
      <c r="BN61" s="14">
        <v>1.817114E7</v>
      </c>
      <c r="BO61" s="14" t="s">
        <v>99</v>
      </c>
      <c r="BP61" s="14" t="s">
        <v>99</v>
      </c>
      <c r="BQ61" s="14" t="s">
        <v>99</v>
      </c>
      <c r="BR61" s="14" t="s">
        <v>124</v>
      </c>
      <c r="BS61" s="14" t="s">
        <v>7811</v>
      </c>
      <c r="BT61" s="14" t="str">
        <f>HYPERLINK("https%3A%2F%2Fwww.webofscience.com%2Fwos%2Fwoscc%2Ffull-record%2FWOS:000252191700017","View Full Record in Web of Science")</f>
        <v>View Full Record in Web of Science</v>
      </c>
    </row>
    <row r="62" ht="12.75" customHeight="1">
      <c r="A62" s="14" t="s">
        <v>97</v>
      </c>
      <c r="B62" s="14" t="s">
        <v>7834</v>
      </c>
      <c r="C62" s="14" t="s">
        <v>99</v>
      </c>
      <c r="D62" s="14" t="s">
        <v>99</v>
      </c>
      <c r="E62" s="14" t="s">
        <v>99</v>
      </c>
      <c r="F62" s="14" t="s">
        <v>7835</v>
      </c>
      <c r="G62" s="14" t="s">
        <v>99</v>
      </c>
      <c r="H62" s="14" t="s">
        <v>99</v>
      </c>
      <c r="I62" s="14" t="s">
        <v>7836</v>
      </c>
      <c r="J62" s="14" t="s">
        <v>2142</v>
      </c>
      <c r="K62" s="14" t="s">
        <v>99</v>
      </c>
      <c r="L62" s="14" t="s">
        <v>99</v>
      </c>
      <c r="M62" s="14" t="s">
        <v>103</v>
      </c>
      <c r="N62" s="14" t="s">
        <v>104</v>
      </c>
      <c r="O62" s="14" t="s">
        <v>99</v>
      </c>
      <c r="P62" s="14" t="s">
        <v>99</v>
      </c>
      <c r="Q62" s="14" t="s">
        <v>99</v>
      </c>
      <c r="R62" s="14" t="s">
        <v>99</v>
      </c>
      <c r="S62" s="14" t="s">
        <v>99</v>
      </c>
      <c r="T62" s="14" t="s">
        <v>7837</v>
      </c>
      <c r="U62" s="14" t="s">
        <v>7838</v>
      </c>
      <c r="V62" s="14" t="s">
        <v>7839</v>
      </c>
      <c r="W62" s="14" t="s">
        <v>7840</v>
      </c>
      <c r="X62" s="14" t="s">
        <v>7841</v>
      </c>
      <c r="Y62" s="14" t="s">
        <v>7842</v>
      </c>
      <c r="Z62" s="14" t="s">
        <v>7843</v>
      </c>
      <c r="AA62" s="14" t="s">
        <v>7844</v>
      </c>
      <c r="AB62" s="14" t="s">
        <v>99</v>
      </c>
      <c r="AC62" s="14" t="s">
        <v>99</v>
      </c>
      <c r="AD62" s="14" t="s">
        <v>99</v>
      </c>
      <c r="AE62" s="14" t="s">
        <v>99</v>
      </c>
      <c r="AF62" s="14" t="s">
        <v>99</v>
      </c>
      <c r="AG62" s="14">
        <v>51.0</v>
      </c>
      <c r="AH62" s="14">
        <v>115.0</v>
      </c>
      <c r="AI62" s="14">
        <v>142.0</v>
      </c>
      <c r="AJ62" s="14">
        <v>1.0</v>
      </c>
      <c r="AK62" s="14">
        <v>48.0</v>
      </c>
      <c r="AL62" s="14" t="s">
        <v>341</v>
      </c>
      <c r="AM62" s="14" t="s">
        <v>342</v>
      </c>
      <c r="AN62" s="14" t="s">
        <v>343</v>
      </c>
      <c r="AO62" s="14" t="s">
        <v>2155</v>
      </c>
      <c r="AP62" s="14" t="s">
        <v>2156</v>
      </c>
      <c r="AQ62" s="14" t="s">
        <v>99</v>
      </c>
      <c r="AR62" s="14" t="s">
        <v>2157</v>
      </c>
      <c r="AS62" s="14" t="s">
        <v>2158</v>
      </c>
      <c r="AT62" s="14" t="s">
        <v>1058</v>
      </c>
      <c r="AU62" s="14">
        <v>2007.0</v>
      </c>
      <c r="AV62" s="14">
        <v>21.0</v>
      </c>
      <c r="AW62" s="14">
        <v>6.0</v>
      </c>
      <c r="AX62" s="14" t="s">
        <v>99</v>
      </c>
      <c r="AY62" s="14" t="s">
        <v>99</v>
      </c>
      <c r="AZ62" s="14" t="s">
        <v>99</v>
      </c>
      <c r="BA62" s="14" t="s">
        <v>99</v>
      </c>
      <c r="BB62" s="14">
        <v>1545.0</v>
      </c>
      <c r="BC62" s="14">
        <v>1555.0</v>
      </c>
      <c r="BD62" s="14" t="s">
        <v>99</v>
      </c>
      <c r="BE62" s="14" t="s">
        <v>7845</v>
      </c>
      <c r="BF62" s="15" t="str">
        <f>HYPERLINK("http://dx.doi.org/10.1111/j.1523-1739.2007.00814.x","http://dx.doi.org/10.1111/j.1523-1739.2007.00814.x")</f>
        <v>http://dx.doi.org/10.1111/j.1523-1739.2007.00814.x</v>
      </c>
      <c r="BG62" s="14" t="s">
        <v>99</v>
      </c>
      <c r="BH62" s="14" t="s">
        <v>99</v>
      </c>
      <c r="BI62" s="14">
        <v>11.0</v>
      </c>
      <c r="BJ62" s="14" t="s">
        <v>351</v>
      </c>
      <c r="BK62" s="14" t="s">
        <v>122</v>
      </c>
      <c r="BL62" s="14" t="s">
        <v>352</v>
      </c>
      <c r="BM62" s="14" t="s">
        <v>7846</v>
      </c>
      <c r="BN62" s="14">
        <v>1.8173478E7</v>
      </c>
      <c r="BO62" s="14" t="s">
        <v>99</v>
      </c>
      <c r="BP62" s="14" t="s">
        <v>99</v>
      </c>
      <c r="BQ62" s="14" t="s">
        <v>99</v>
      </c>
      <c r="BR62" s="14" t="s">
        <v>124</v>
      </c>
      <c r="BS62" s="14" t="s">
        <v>7847</v>
      </c>
      <c r="BT62" s="14" t="str">
        <f>HYPERLINK("https%3A%2F%2Fwww.webofscience.com%2Fwos%2Fwoscc%2Ffull-record%2FWOS:000251764200024","View Full Record in Web of Science")</f>
        <v>View Full Record in Web of Science</v>
      </c>
    </row>
    <row r="63" ht="12.75" customHeight="1">
      <c r="A63" s="14" t="s">
        <v>97</v>
      </c>
      <c r="B63" s="14" t="s">
        <v>7848</v>
      </c>
      <c r="C63" s="14" t="s">
        <v>99</v>
      </c>
      <c r="D63" s="14" t="s">
        <v>99</v>
      </c>
      <c r="E63" s="14" t="s">
        <v>99</v>
      </c>
      <c r="F63" s="14" t="s">
        <v>7849</v>
      </c>
      <c r="G63" s="14" t="s">
        <v>99</v>
      </c>
      <c r="H63" s="14" t="s">
        <v>99</v>
      </c>
      <c r="I63" s="14" t="s">
        <v>7850</v>
      </c>
      <c r="J63" s="14" t="s">
        <v>1721</v>
      </c>
      <c r="K63" s="14" t="s">
        <v>99</v>
      </c>
      <c r="L63" s="14" t="s">
        <v>99</v>
      </c>
      <c r="M63" s="14" t="s">
        <v>103</v>
      </c>
      <c r="N63" s="14" t="s">
        <v>104</v>
      </c>
      <c r="O63" s="14" t="s">
        <v>99</v>
      </c>
      <c r="P63" s="14" t="s">
        <v>99</v>
      </c>
      <c r="Q63" s="14" t="s">
        <v>99</v>
      </c>
      <c r="R63" s="14" t="s">
        <v>99</v>
      </c>
      <c r="S63" s="14" t="s">
        <v>99</v>
      </c>
      <c r="T63" s="14" t="s">
        <v>7851</v>
      </c>
      <c r="U63" s="14" t="s">
        <v>7852</v>
      </c>
      <c r="V63" s="14" t="s">
        <v>7853</v>
      </c>
      <c r="W63" s="14" t="s">
        <v>7854</v>
      </c>
      <c r="X63" s="14" t="s">
        <v>7855</v>
      </c>
      <c r="Y63" s="14" t="s">
        <v>7856</v>
      </c>
      <c r="Z63" s="14" t="s">
        <v>7857</v>
      </c>
      <c r="AA63" s="14" t="s">
        <v>7858</v>
      </c>
      <c r="AB63" s="14" t="s">
        <v>7859</v>
      </c>
      <c r="AC63" s="14" t="s">
        <v>99</v>
      </c>
      <c r="AD63" s="14" t="s">
        <v>99</v>
      </c>
      <c r="AE63" s="14" t="s">
        <v>99</v>
      </c>
      <c r="AF63" s="14" t="s">
        <v>99</v>
      </c>
      <c r="AG63" s="14">
        <v>56.0</v>
      </c>
      <c r="AH63" s="14">
        <v>156.0</v>
      </c>
      <c r="AI63" s="14">
        <v>175.0</v>
      </c>
      <c r="AJ63" s="14">
        <v>3.0</v>
      </c>
      <c r="AK63" s="14">
        <v>125.0</v>
      </c>
      <c r="AL63" s="14" t="s">
        <v>1731</v>
      </c>
      <c r="AM63" s="14" t="s">
        <v>1732</v>
      </c>
      <c r="AN63" s="14" t="s">
        <v>1733</v>
      </c>
      <c r="AO63" s="14" t="s">
        <v>1734</v>
      </c>
      <c r="AP63" s="14" t="s">
        <v>99</v>
      </c>
      <c r="AQ63" s="14" t="s">
        <v>99</v>
      </c>
      <c r="AR63" s="14" t="s">
        <v>1736</v>
      </c>
      <c r="AS63" s="14" t="s">
        <v>1737</v>
      </c>
      <c r="AT63" s="14" t="s">
        <v>1058</v>
      </c>
      <c r="AU63" s="14">
        <v>2007.0</v>
      </c>
      <c r="AV63" s="14">
        <v>16.0</v>
      </c>
      <c r="AW63" s="14">
        <v>13.0</v>
      </c>
      <c r="AX63" s="14" t="s">
        <v>99</v>
      </c>
      <c r="AY63" s="14" t="s">
        <v>99</v>
      </c>
      <c r="AZ63" s="14" t="s">
        <v>99</v>
      </c>
      <c r="BA63" s="14" t="s">
        <v>99</v>
      </c>
      <c r="BB63" s="14">
        <v>3803.0</v>
      </c>
      <c r="BC63" s="14">
        <v>3816.0</v>
      </c>
      <c r="BD63" s="14" t="s">
        <v>99</v>
      </c>
      <c r="BE63" s="14" t="s">
        <v>7860</v>
      </c>
      <c r="BF63" s="15" t="str">
        <f>HYPERLINK("http://dx.doi.org/10.1007/s10531-007-9181-7","http://dx.doi.org/10.1007/s10531-007-9181-7")</f>
        <v>http://dx.doi.org/10.1007/s10531-007-9181-7</v>
      </c>
      <c r="BG63" s="14" t="s">
        <v>99</v>
      </c>
      <c r="BH63" s="14" t="s">
        <v>99</v>
      </c>
      <c r="BI63" s="14">
        <v>14.0</v>
      </c>
      <c r="BJ63" s="14" t="s">
        <v>351</v>
      </c>
      <c r="BK63" s="14" t="s">
        <v>122</v>
      </c>
      <c r="BL63" s="14" t="s">
        <v>352</v>
      </c>
      <c r="BM63" s="14" t="s">
        <v>7861</v>
      </c>
      <c r="BN63" s="14" t="s">
        <v>99</v>
      </c>
      <c r="BO63" s="14" t="s">
        <v>99</v>
      </c>
      <c r="BP63" s="14" t="s">
        <v>99</v>
      </c>
      <c r="BQ63" s="14" t="s">
        <v>99</v>
      </c>
      <c r="BR63" s="14" t="s">
        <v>124</v>
      </c>
      <c r="BS63" s="14" t="s">
        <v>7862</v>
      </c>
      <c r="BT63" s="14" t="str">
        <f>HYPERLINK("https%3A%2F%2Fwww.webofscience.com%2Fwos%2Fwoscc%2Ffull-record%2FWOS:000250301400007","View Full Record in Web of Science")</f>
        <v>View Full Record in Web of Science</v>
      </c>
    </row>
    <row r="64" ht="12.75" customHeight="1">
      <c r="A64" s="14" t="s">
        <v>97</v>
      </c>
      <c r="B64" s="14" t="s">
        <v>7863</v>
      </c>
      <c r="C64" s="14" t="s">
        <v>99</v>
      </c>
      <c r="D64" s="14" t="s">
        <v>99</v>
      </c>
      <c r="E64" s="14" t="s">
        <v>99</v>
      </c>
      <c r="F64" s="14" t="s">
        <v>7864</v>
      </c>
      <c r="G64" s="14" t="s">
        <v>99</v>
      </c>
      <c r="H64" s="14" t="s">
        <v>99</v>
      </c>
      <c r="I64" s="14" t="s">
        <v>7865</v>
      </c>
      <c r="J64" s="14" t="s">
        <v>1721</v>
      </c>
      <c r="K64" s="14" t="s">
        <v>99</v>
      </c>
      <c r="L64" s="14" t="s">
        <v>99</v>
      </c>
      <c r="M64" s="14" t="s">
        <v>103</v>
      </c>
      <c r="N64" s="14" t="s">
        <v>104</v>
      </c>
      <c r="O64" s="14" t="s">
        <v>99</v>
      </c>
      <c r="P64" s="14" t="s">
        <v>99</v>
      </c>
      <c r="Q64" s="14" t="s">
        <v>99</v>
      </c>
      <c r="R64" s="14" t="s">
        <v>99</v>
      </c>
      <c r="S64" s="14" t="s">
        <v>99</v>
      </c>
      <c r="T64" s="14" t="s">
        <v>7866</v>
      </c>
      <c r="U64" s="14" t="s">
        <v>7867</v>
      </c>
      <c r="V64" s="14" t="s">
        <v>7868</v>
      </c>
      <c r="W64" s="14" t="s">
        <v>7869</v>
      </c>
      <c r="X64" s="14" t="s">
        <v>7870</v>
      </c>
      <c r="Y64" s="14" t="s">
        <v>7871</v>
      </c>
      <c r="Z64" s="14" t="s">
        <v>7872</v>
      </c>
      <c r="AA64" s="14" t="s">
        <v>7873</v>
      </c>
      <c r="AB64" s="14" t="s">
        <v>7874</v>
      </c>
      <c r="AC64" s="14" t="s">
        <v>99</v>
      </c>
      <c r="AD64" s="14" t="s">
        <v>99</v>
      </c>
      <c r="AE64" s="14" t="s">
        <v>99</v>
      </c>
      <c r="AF64" s="14" t="s">
        <v>99</v>
      </c>
      <c r="AG64" s="14">
        <v>41.0</v>
      </c>
      <c r="AH64" s="14">
        <v>7.0</v>
      </c>
      <c r="AI64" s="14">
        <v>10.0</v>
      </c>
      <c r="AJ64" s="14">
        <v>1.0</v>
      </c>
      <c r="AK64" s="14">
        <v>26.0</v>
      </c>
      <c r="AL64" s="14" t="s">
        <v>1731</v>
      </c>
      <c r="AM64" s="14" t="s">
        <v>1732</v>
      </c>
      <c r="AN64" s="14" t="s">
        <v>1733</v>
      </c>
      <c r="AO64" s="14" t="s">
        <v>1734</v>
      </c>
      <c r="AP64" s="14" t="s">
        <v>1735</v>
      </c>
      <c r="AQ64" s="14" t="s">
        <v>99</v>
      </c>
      <c r="AR64" s="14" t="s">
        <v>1736</v>
      </c>
      <c r="AS64" s="14" t="s">
        <v>1737</v>
      </c>
      <c r="AT64" s="14" t="s">
        <v>1058</v>
      </c>
      <c r="AU64" s="14">
        <v>2007.0</v>
      </c>
      <c r="AV64" s="14">
        <v>16.0</v>
      </c>
      <c r="AW64" s="14">
        <v>14.0</v>
      </c>
      <c r="AX64" s="14" t="s">
        <v>99</v>
      </c>
      <c r="AY64" s="14" t="s">
        <v>99</v>
      </c>
      <c r="AZ64" s="14" t="s">
        <v>99</v>
      </c>
      <c r="BA64" s="14" t="s">
        <v>99</v>
      </c>
      <c r="BB64" s="14">
        <v>3939.0</v>
      </c>
      <c r="BC64" s="14">
        <v>3950.0</v>
      </c>
      <c r="BD64" s="14" t="s">
        <v>99</v>
      </c>
      <c r="BE64" s="14" t="s">
        <v>7875</v>
      </c>
      <c r="BF64" s="15" t="str">
        <f>HYPERLINK("http://dx.doi.org/10.1007/s10531-007-9152-z","http://dx.doi.org/10.1007/s10531-007-9152-z")</f>
        <v>http://dx.doi.org/10.1007/s10531-007-9152-z</v>
      </c>
      <c r="BG64" s="14" t="s">
        <v>99</v>
      </c>
      <c r="BH64" s="14" t="s">
        <v>99</v>
      </c>
      <c r="BI64" s="14">
        <v>12.0</v>
      </c>
      <c r="BJ64" s="14" t="s">
        <v>351</v>
      </c>
      <c r="BK64" s="14" t="s">
        <v>122</v>
      </c>
      <c r="BL64" s="14" t="s">
        <v>352</v>
      </c>
      <c r="BM64" s="14" t="s">
        <v>7876</v>
      </c>
      <c r="BN64" s="14" t="s">
        <v>99</v>
      </c>
      <c r="BO64" s="14" t="s">
        <v>99</v>
      </c>
      <c r="BP64" s="14" t="s">
        <v>99</v>
      </c>
      <c r="BQ64" s="14" t="s">
        <v>99</v>
      </c>
      <c r="BR64" s="14" t="s">
        <v>124</v>
      </c>
      <c r="BS64" s="14" t="s">
        <v>7877</v>
      </c>
      <c r="BT64" s="14" t="str">
        <f>HYPERLINK("https%3A%2F%2Fwww.webofscience.com%2Fwos%2Fwoscc%2Ffull-record%2FWOS:000250833000001","View Full Record in Web of Science")</f>
        <v>View Full Record in Web of Science</v>
      </c>
    </row>
    <row r="65" ht="12.75" customHeight="1">
      <c r="A65" s="14" t="s">
        <v>97</v>
      </c>
      <c r="B65" s="14" t="s">
        <v>7939</v>
      </c>
      <c r="C65" s="14" t="s">
        <v>99</v>
      </c>
      <c r="D65" s="14" t="s">
        <v>99</v>
      </c>
      <c r="E65" s="14" t="s">
        <v>99</v>
      </c>
      <c r="F65" s="14" t="s">
        <v>7940</v>
      </c>
      <c r="G65" s="14" t="s">
        <v>99</v>
      </c>
      <c r="H65" s="14" t="s">
        <v>99</v>
      </c>
      <c r="I65" s="14" t="s">
        <v>7941</v>
      </c>
      <c r="J65" s="14" t="s">
        <v>2142</v>
      </c>
      <c r="K65" s="14" t="s">
        <v>99</v>
      </c>
      <c r="L65" s="14" t="s">
        <v>99</v>
      </c>
      <c r="M65" s="14" t="s">
        <v>103</v>
      </c>
      <c r="N65" s="14" t="s">
        <v>104</v>
      </c>
      <c r="O65" s="14" t="s">
        <v>99</v>
      </c>
      <c r="P65" s="14" t="s">
        <v>99</v>
      </c>
      <c r="Q65" s="14" t="s">
        <v>99</v>
      </c>
      <c r="R65" s="14" t="s">
        <v>99</v>
      </c>
      <c r="S65" s="14" t="s">
        <v>99</v>
      </c>
      <c r="T65" s="14" t="s">
        <v>7942</v>
      </c>
      <c r="U65" s="14" t="s">
        <v>7943</v>
      </c>
      <c r="V65" s="14" t="s">
        <v>7944</v>
      </c>
      <c r="W65" s="14" t="s">
        <v>7945</v>
      </c>
      <c r="X65" s="14" t="s">
        <v>99</v>
      </c>
      <c r="Y65" s="14" t="s">
        <v>7946</v>
      </c>
      <c r="Z65" s="14" t="s">
        <v>7947</v>
      </c>
      <c r="AA65" s="14" t="s">
        <v>99</v>
      </c>
      <c r="AB65" s="14" t="s">
        <v>99</v>
      </c>
      <c r="AC65" s="14" t="s">
        <v>99</v>
      </c>
      <c r="AD65" s="14" t="s">
        <v>99</v>
      </c>
      <c r="AE65" s="14" t="s">
        <v>99</v>
      </c>
      <c r="AF65" s="14" t="s">
        <v>99</v>
      </c>
      <c r="AG65" s="14">
        <v>41.0</v>
      </c>
      <c r="AH65" s="14">
        <v>105.0</v>
      </c>
      <c r="AI65" s="14">
        <v>130.0</v>
      </c>
      <c r="AJ65" s="14">
        <v>1.0</v>
      </c>
      <c r="AK65" s="14">
        <v>144.0</v>
      </c>
      <c r="AL65" s="14" t="s">
        <v>341</v>
      </c>
      <c r="AM65" s="14" t="s">
        <v>342</v>
      </c>
      <c r="AN65" s="14" t="s">
        <v>343</v>
      </c>
      <c r="AO65" s="14" t="s">
        <v>2155</v>
      </c>
      <c r="AP65" s="14" t="s">
        <v>2156</v>
      </c>
      <c r="AQ65" s="14" t="s">
        <v>99</v>
      </c>
      <c r="AR65" s="14" t="s">
        <v>2157</v>
      </c>
      <c r="AS65" s="14" t="s">
        <v>2158</v>
      </c>
      <c r="AT65" s="14" t="s">
        <v>474</v>
      </c>
      <c r="AU65" s="14">
        <v>2007.0</v>
      </c>
      <c r="AV65" s="14">
        <v>21.0</v>
      </c>
      <c r="AW65" s="14">
        <v>4.0</v>
      </c>
      <c r="AX65" s="14" t="s">
        <v>99</v>
      </c>
      <c r="AY65" s="14" t="s">
        <v>99</v>
      </c>
      <c r="AZ65" s="14" t="s">
        <v>99</v>
      </c>
      <c r="BA65" s="14" t="s">
        <v>99</v>
      </c>
      <c r="BB65" s="14">
        <v>1092.0</v>
      </c>
      <c r="BC65" s="14">
        <v>1104.0</v>
      </c>
      <c r="BD65" s="14" t="s">
        <v>99</v>
      </c>
      <c r="BE65" s="14" t="s">
        <v>7948</v>
      </c>
      <c r="BF65" s="15" t="str">
        <f>HYPERLINK("http://dx.doi.org/10.1111/j.1523-1739.2007.00719.x","http://dx.doi.org/10.1111/j.1523-1739.2007.00719.x")</f>
        <v>http://dx.doi.org/10.1111/j.1523-1739.2007.00719.x</v>
      </c>
      <c r="BG65" s="14" t="s">
        <v>99</v>
      </c>
      <c r="BH65" s="14" t="s">
        <v>99</v>
      </c>
      <c r="BI65" s="14">
        <v>13.0</v>
      </c>
      <c r="BJ65" s="14" t="s">
        <v>351</v>
      </c>
      <c r="BK65" s="14" t="s">
        <v>122</v>
      </c>
      <c r="BL65" s="14" t="s">
        <v>352</v>
      </c>
      <c r="BM65" s="14" t="s">
        <v>7949</v>
      </c>
      <c r="BN65" s="14">
        <v>1.7650258E7</v>
      </c>
      <c r="BO65" s="14" t="s">
        <v>99</v>
      </c>
      <c r="BP65" s="14" t="s">
        <v>99</v>
      </c>
      <c r="BQ65" s="14" t="s">
        <v>99</v>
      </c>
      <c r="BR65" s="14" t="s">
        <v>124</v>
      </c>
      <c r="BS65" s="14" t="s">
        <v>7950</v>
      </c>
      <c r="BT65" s="14" t="str">
        <f>HYPERLINK("https%3A%2F%2Fwww.webofscience.com%2Fwos%2Fwoscc%2Ffull-record%2FWOS:000248401200029","View Full Record in Web of Science")</f>
        <v>View Full Record in Web of Science</v>
      </c>
    </row>
    <row r="66" ht="12.75" customHeight="1">
      <c r="A66" s="14" t="s">
        <v>97</v>
      </c>
      <c r="B66" s="14" t="s">
        <v>7951</v>
      </c>
      <c r="C66" s="14" t="s">
        <v>99</v>
      </c>
      <c r="D66" s="14" t="s">
        <v>99</v>
      </c>
      <c r="E66" s="14" t="s">
        <v>99</v>
      </c>
      <c r="F66" s="14" t="s">
        <v>7952</v>
      </c>
      <c r="G66" s="14" t="s">
        <v>99</v>
      </c>
      <c r="H66" s="14" t="s">
        <v>99</v>
      </c>
      <c r="I66" s="14" t="s">
        <v>7953</v>
      </c>
      <c r="J66" s="14" t="s">
        <v>328</v>
      </c>
      <c r="K66" s="14" t="s">
        <v>99</v>
      </c>
      <c r="L66" s="14" t="s">
        <v>99</v>
      </c>
      <c r="M66" s="14" t="s">
        <v>103</v>
      </c>
      <c r="N66" s="14" t="s">
        <v>104</v>
      </c>
      <c r="O66" s="14" t="s">
        <v>99</v>
      </c>
      <c r="P66" s="14" t="s">
        <v>99</v>
      </c>
      <c r="Q66" s="14" t="s">
        <v>99</v>
      </c>
      <c r="R66" s="14" t="s">
        <v>99</v>
      </c>
      <c r="S66" s="14" t="s">
        <v>99</v>
      </c>
      <c r="T66" s="14" t="s">
        <v>7954</v>
      </c>
      <c r="U66" s="14" t="s">
        <v>7955</v>
      </c>
      <c r="V66" s="14" t="s">
        <v>7956</v>
      </c>
      <c r="W66" s="14" t="s">
        <v>7957</v>
      </c>
      <c r="X66" s="14" t="s">
        <v>7958</v>
      </c>
      <c r="Y66" s="14" t="s">
        <v>7959</v>
      </c>
      <c r="Z66" s="14" t="s">
        <v>7960</v>
      </c>
      <c r="AA66" s="14" t="s">
        <v>7961</v>
      </c>
      <c r="AB66" s="14" t="s">
        <v>7962</v>
      </c>
      <c r="AC66" s="14" t="s">
        <v>99</v>
      </c>
      <c r="AD66" s="14" t="s">
        <v>99</v>
      </c>
      <c r="AE66" s="14" t="s">
        <v>99</v>
      </c>
      <c r="AF66" s="14" t="s">
        <v>99</v>
      </c>
      <c r="AG66" s="14">
        <v>77.0</v>
      </c>
      <c r="AH66" s="14">
        <v>154.0</v>
      </c>
      <c r="AI66" s="14">
        <v>187.0</v>
      </c>
      <c r="AJ66" s="14">
        <v>1.0</v>
      </c>
      <c r="AK66" s="14">
        <v>86.0</v>
      </c>
      <c r="AL66" s="14" t="s">
        <v>1822</v>
      </c>
      <c r="AM66" s="14" t="s">
        <v>342</v>
      </c>
      <c r="AN66" s="14" t="s">
        <v>343</v>
      </c>
      <c r="AO66" s="14" t="s">
        <v>344</v>
      </c>
      <c r="AP66" s="14" t="s">
        <v>345</v>
      </c>
      <c r="AQ66" s="14" t="s">
        <v>99</v>
      </c>
      <c r="AR66" s="14" t="s">
        <v>346</v>
      </c>
      <c r="AS66" s="14" t="s">
        <v>347</v>
      </c>
      <c r="AT66" s="14" t="s">
        <v>525</v>
      </c>
      <c r="AU66" s="14">
        <v>2007.0</v>
      </c>
      <c r="AV66" s="14">
        <v>13.0</v>
      </c>
      <c r="AW66" s="14">
        <v>7.0</v>
      </c>
      <c r="AX66" s="14" t="s">
        <v>99</v>
      </c>
      <c r="AY66" s="14" t="s">
        <v>99</v>
      </c>
      <c r="AZ66" s="14" t="s">
        <v>99</v>
      </c>
      <c r="BA66" s="14" t="s">
        <v>99</v>
      </c>
      <c r="BB66" s="14">
        <v>1368.0</v>
      </c>
      <c r="BC66" s="14">
        <v>1385.0</v>
      </c>
      <c r="BD66" s="14" t="s">
        <v>99</v>
      </c>
      <c r="BE66" s="14" t="s">
        <v>7963</v>
      </c>
      <c r="BF66" s="15" t="str">
        <f>HYPERLINK("http://dx.doi.org/10.1111/j.1365-2486.2007.01357.x","http://dx.doi.org/10.1111/j.1365-2486.2007.01357.x")</f>
        <v>http://dx.doi.org/10.1111/j.1365-2486.2007.01357.x</v>
      </c>
      <c r="BG66" s="14" t="s">
        <v>99</v>
      </c>
      <c r="BH66" s="14" t="s">
        <v>99</v>
      </c>
      <c r="BI66" s="14">
        <v>18.0</v>
      </c>
      <c r="BJ66" s="14" t="s">
        <v>351</v>
      </c>
      <c r="BK66" s="14" t="s">
        <v>122</v>
      </c>
      <c r="BL66" s="14" t="s">
        <v>352</v>
      </c>
      <c r="BM66" s="14" t="s">
        <v>7964</v>
      </c>
      <c r="BN66" s="14" t="s">
        <v>99</v>
      </c>
      <c r="BO66" s="14" t="s">
        <v>99</v>
      </c>
      <c r="BP66" s="14" t="s">
        <v>99</v>
      </c>
      <c r="BQ66" s="14" t="s">
        <v>99</v>
      </c>
      <c r="BR66" s="14" t="s">
        <v>124</v>
      </c>
      <c r="BS66" s="14" t="s">
        <v>7965</v>
      </c>
      <c r="BT66" s="14" t="str">
        <f>HYPERLINK("https%3A%2F%2Fwww.webofscience.com%2Fwos%2Fwoscc%2Ffull-record%2FWOS:000248945800007","View Full Record in Web of Science")</f>
        <v>View Full Record in Web of Science</v>
      </c>
    </row>
    <row r="67" ht="12.75" customHeight="1">
      <c r="A67" s="14" t="s">
        <v>97</v>
      </c>
      <c r="B67" s="14" t="s">
        <v>7981</v>
      </c>
      <c r="C67" s="14" t="s">
        <v>99</v>
      </c>
      <c r="D67" s="14" t="s">
        <v>99</v>
      </c>
      <c r="E67" s="14" t="s">
        <v>99</v>
      </c>
      <c r="F67" s="14" t="s">
        <v>7982</v>
      </c>
      <c r="G67" s="14" t="s">
        <v>99</v>
      </c>
      <c r="H67" s="14" t="s">
        <v>99</v>
      </c>
      <c r="I67" s="14" t="s">
        <v>7983</v>
      </c>
      <c r="J67" s="14" t="s">
        <v>7984</v>
      </c>
      <c r="K67" s="14" t="s">
        <v>99</v>
      </c>
      <c r="L67" s="14" t="s">
        <v>99</v>
      </c>
      <c r="M67" s="14" t="s">
        <v>103</v>
      </c>
      <c r="N67" s="14" t="s">
        <v>104</v>
      </c>
      <c r="O67" s="14" t="s">
        <v>99</v>
      </c>
      <c r="P67" s="14" t="s">
        <v>99</v>
      </c>
      <c r="Q67" s="14" t="s">
        <v>99</v>
      </c>
      <c r="R67" s="14" t="s">
        <v>99</v>
      </c>
      <c r="S67" s="14" t="s">
        <v>99</v>
      </c>
      <c r="T67" s="14" t="s">
        <v>99</v>
      </c>
      <c r="U67" s="14" t="s">
        <v>7985</v>
      </c>
      <c r="V67" s="14" t="s">
        <v>7986</v>
      </c>
      <c r="W67" s="14" t="s">
        <v>7987</v>
      </c>
      <c r="X67" s="14" t="s">
        <v>7988</v>
      </c>
      <c r="Y67" s="14" t="s">
        <v>7989</v>
      </c>
      <c r="Z67" s="14" t="s">
        <v>7990</v>
      </c>
      <c r="AA67" s="14" t="s">
        <v>7991</v>
      </c>
      <c r="AB67" s="14" t="s">
        <v>7992</v>
      </c>
      <c r="AC67" s="14" t="s">
        <v>99</v>
      </c>
      <c r="AD67" s="14" t="s">
        <v>99</v>
      </c>
      <c r="AE67" s="14" t="s">
        <v>99</v>
      </c>
      <c r="AF67" s="14" t="s">
        <v>99</v>
      </c>
      <c r="AG67" s="14">
        <v>36.0</v>
      </c>
      <c r="AH67" s="14">
        <v>828.0</v>
      </c>
      <c r="AI67" s="14">
        <v>992.0</v>
      </c>
      <c r="AJ67" s="14">
        <v>11.0</v>
      </c>
      <c r="AK67" s="14">
        <v>457.0</v>
      </c>
      <c r="AL67" s="14" t="s">
        <v>2512</v>
      </c>
      <c r="AM67" s="14" t="s">
        <v>2513</v>
      </c>
      <c r="AN67" s="14" t="s">
        <v>2514</v>
      </c>
      <c r="AO67" s="14" t="s">
        <v>7993</v>
      </c>
      <c r="AP67" s="14" t="s">
        <v>7994</v>
      </c>
      <c r="AQ67" s="14" t="s">
        <v>99</v>
      </c>
      <c r="AR67" s="14" t="s">
        <v>7995</v>
      </c>
      <c r="AS67" s="14" t="s">
        <v>7996</v>
      </c>
      <c r="AT67" s="14" t="s">
        <v>616</v>
      </c>
      <c r="AU67" s="14">
        <v>2007.0</v>
      </c>
      <c r="AV67" s="14">
        <v>5.0</v>
      </c>
      <c r="AW67" s="14">
        <v>6.0</v>
      </c>
      <c r="AX67" s="14" t="s">
        <v>99</v>
      </c>
      <c r="AY67" s="14" t="s">
        <v>99</v>
      </c>
      <c r="AZ67" s="14" t="s">
        <v>99</v>
      </c>
      <c r="BA67" s="14" t="s">
        <v>99</v>
      </c>
      <c r="BB67" s="14">
        <v>1211.0</v>
      </c>
      <c r="BC67" s="14">
        <v>1219.0</v>
      </c>
      <c r="BD67" s="14" t="s">
        <v>7997</v>
      </c>
      <c r="BE67" s="14" t="s">
        <v>7998</v>
      </c>
      <c r="BF67" s="15" t="str">
        <f>HYPERLINK("http://dx.doi.org/10.1371/journal.pbio.0050157","http://dx.doi.org/10.1371/journal.pbio.0050157")</f>
        <v>http://dx.doi.org/10.1371/journal.pbio.0050157</v>
      </c>
      <c r="BG67" s="14" t="s">
        <v>99</v>
      </c>
      <c r="BH67" s="14" t="s">
        <v>99</v>
      </c>
      <c r="BI67" s="14">
        <v>9.0</v>
      </c>
      <c r="BJ67" s="14" t="s">
        <v>7999</v>
      </c>
      <c r="BK67" s="14" t="s">
        <v>122</v>
      </c>
      <c r="BL67" s="14" t="s">
        <v>8000</v>
      </c>
      <c r="BM67" s="14" t="s">
        <v>8001</v>
      </c>
      <c r="BN67" s="14">
        <v>1.7550306E7</v>
      </c>
      <c r="BO67" s="14" t="s">
        <v>1251</v>
      </c>
      <c r="BP67" s="14" t="s">
        <v>99</v>
      </c>
      <c r="BQ67" s="14" t="s">
        <v>99</v>
      </c>
      <c r="BR67" s="14" t="s">
        <v>124</v>
      </c>
      <c r="BS67" s="14" t="s">
        <v>8002</v>
      </c>
      <c r="BT67" s="14" t="str">
        <f>HYPERLINK("https%3A%2F%2Fwww.webofscience.com%2Fwos%2Fwoscc%2Ffull-record%2FWOS:000247173200006","View Full Record in Web of Science")</f>
        <v>View Full Record in Web of Science</v>
      </c>
    </row>
    <row r="68" ht="12.75" customHeight="1">
      <c r="A68" s="14" t="s">
        <v>97</v>
      </c>
      <c r="B68" s="14" t="s">
        <v>8250</v>
      </c>
      <c r="C68" s="14" t="s">
        <v>99</v>
      </c>
      <c r="D68" s="14" t="s">
        <v>99</v>
      </c>
      <c r="E68" s="14" t="s">
        <v>99</v>
      </c>
      <c r="F68" s="14" t="s">
        <v>8251</v>
      </c>
      <c r="G68" s="14" t="s">
        <v>99</v>
      </c>
      <c r="H68" s="14" t="s">
        <v>99</v>
      </c>
      <c r="I68" s="14" t="s">
        <v>8252</v>
      </c>
      <c r="J68" s="14" t="s">
        <v>8253</v>
      </c>
      <c r="K68" s="14" t="s">
        <v>99</v>
      </c>
      <c r="L68" s="14" t="s">
        <v>99</v>
      </c>
      <c r="M68" s="14" t="s">
        <v>103</v>
      </c>
      <c r="N68" s="14" t="s">
        <v>104</v>
      </c>
      <c r="O68" s="14" t="s">
        <v>99</v>
      </c>
      <c r="P68" s="14" t="s">
        <v>99</v>
      </c>
      <c r="Q68" s="14" t="s">
        <v>99</v>
      </c>
      <c r="R68" s="14" t="s">
        <v>99</v>
      </c>
      <c r="S68" s="14" t="s">
        <v>99</v>
      </c>
      <c r="T68" s="14" t="s">
        <v>8254</v>
      </c>
      <c r="U68" s="14" t="s">
        <v>8255</v>
      </c>
      <c r="V68" s="14" t="s">
        <v>8256</v>
      </c>
      <c r="W68" s="14" t="s">
        <v>8257</v>
      </c>
      <c r="X68" s="14" t="s">
        <v>8258</v>
      </c>
      <c r="Y68" s="14" t="s">
        <v>8259</v>
      </c>
      <c r="Z68" s="14" t="s">
        <v>8260</v>
      </c>
      <c r="AA68" s="14" t="s">
        <v>8261</v>
      </c>
      <c r="AB68" s="14" t="s">
        <v>8262</v>
      </c>
      <c r="AC68" s="14" t="s">
        <v>99</v>
      </c>
      <c r="AD68" s="14" t="s">
        <v>99</v>
      </c>
      <c r="AE68" s="14" t="s">
        <v>99</v>
      </c>
      <c r="AF68" s="14" t="s">
        <v>99</v>
      </c>
      <c r="AG68" s="14">
        <v>52.0</v>
      </c>
      <c r="AH68" s="14">
        <v>35.0</v>
      </c>
      <c r="AI68" s="14">
        <v>37.0</v>
      </c>
      <c r="AJ68" s="14">
        <v>0.0</v>
      </c>
      <c r="AK68" s="14">
        <v>41.0</v>
      </c>
      <c r="AL68" s="14" t="s">
        <v>2917</v>
      </c>
      <c r="AM68" s="14" t="s">
        <v>2918</v>
      </c>
      <c r="AN68" s="14" t="s">
        <v>2919</v>
      </c>
      <c r="AO68" s="14" t="s">
        <v>8263</v>
      </c>
      <c r="AP68" s="14" t="s">
        <v>8264</v>
      </c>
      <c r="AQ68" s="14" t="s">
        <v>99</v>
      </c>
      <c r="AR68" s="14" t="s">
        <v>8265</v>
      </c>
      <c r="AS68" s="14" t="s">
        <v>8266</v>
      </c>
      <c r="AT68" s="14" t="s">
        <v>99</v>
      </c>
      <c r="AU68" s="14">
        <v>2007.0</v>
      </c>
      <c r="AV68" s="14">
        <v>15.0</v>
      </c>
      <c r="AW68" s="14">
        <v>1.0</v>
      </c>
      <c r="AX68" s="14" t="s">
        <v>99</v>
      </c>
      <c r="AY68" s="14" t="s">
        <v>99</v>
      </c>
      <c r="AZ68" s="14" t="s">
        <v>99</v>
      </c>
      <c r="BA68" s="14" t="s">
        <v>99</v>
      </c>
      <c r="BB68" s="14">
        <v>41.0</v>
      </c>
      <c r="BC68" s="14">
        <v>53.0</v>
      </c>
      <c r="BD68" s="14" t="s">
        <v>99</v>
      </c>
      <c r="BE68" s="14" t="s">
        <v>8267</v>
      </c>
      <c r="BF68" s="15" t="str">
        <f>HYPERLINK("http://dx.doi.org/10.1016/j.jnc.2006.09.001","http://dx.doi.org/10.1016/j.jnc.2006.09.001")</f>
        <v>http://dx.doi.org/10.1016/j.jnc.2006.09.001</v>
      </c>
      <c r="BG68" s="14" t="s">
        <v>99</v>
      </c>
      <c r="BH68" s="14" t="s">
        <v>99</v>
      </c>
      <c r="BI68" s="14">
        <v>13.0</v>
      </c>
      <c r="BJ68" s="14" t="s">
        <v>550</v>
      </c>
      <c r="BK68" s="14" t="s">
        <v>122</v>
      </c>
      <c r="BL68" s="14" t="s">
        <v>352</v>
      </c>
      <c r="BM68" s="14" t="s">
        <v>8268</v>
      </c>
      <c r="BN68" s="14" t="s">
        <v>99</v>
      </c>
      <c r="BO68" s="14" t="s">
        <v>99</v>
      </c>
      <c r="BP68" s="14" t="s">
        <v>99</v>
      </c>
      <c r="BQ68" s="14" t="s">
        <v>99</v>
      </c>
      <c r="BR68" s="14" t="s">
        <v>124</v>
      </c>
      <c r="BS68" s="14" t="s">
        <v>8269</v>
      </c>
      <c r="BT68" s="14" t="str">
        <f>HYPERLINK("https%3A%2F%2Fwww.webofscience.com%2Fwos%2Fwoscc%2Ffull-record%2FWOS:000245122300004","View Full Record in Web of Science")</f>
        <v>View Full Record in Web of Science</v>
      </c>
    </row>
    <row r="69" ht="12.75" customHeight="1">
      <c r="A69" s="14" t="s">
        <v>97</v>
      </c>
      <c r="B69" s="14" t="s">
        <v>8299</v>
      </c>
      <c r="C69" s="14" t="s">
        <v>99</v>
      </c>
      <c r="D69" s="14" t="s">
        <v>99</v>
      </c>
      <c r="E69" s="14" t="s">
        <v>99</v>
      </c>
      <c r="F69" s="14" t="s">
        <v>8300</v>
      </c>
      <c r="G69" s="14" t="s">
        <v>99</v>
      </c>
      <c r="H69" s="14" t="s">
        <v>99</v>
      </c>
      <c r="I69" s="14" t="s">
        <v>8301</v>
      </c>
      <c r="J69" s="14" t="s">
        <v>726</v>
      </c>
      <c r="K69" s="14" t="s">
        <v>99</v>
      </c>
      <c r="L69" s="14" t="s">
        <v>99</v>
      </c>
      <c r="M69" s="14" t="s">
        <v>103</v>
      </c>
      <c r="N69" s="14" t="s">
        <v>104</v>
      </c>
      <c r="O69" s="14" t="s">
        <v>99</v>
      </c>
      <c r="P69" s="14" t="s">
        <v>99</v>
      </c>
      <c r="Q69" s="14" t="s">
        <v>99</v>
      </c>
      <c r="R69" s="14" t="s">
        <v>99</v>
      </c>
      <c r="S69" s="14" t="s">
        <v>99</v>
      </c>
      <c r="T69" s="14" t="s">
        <v>8302</v>
      </c>
      <c r="U69" s="14" t="s">
        <v>8303</v>
      </c>
      <c r="V69" s="14" t="s">
        <v>8304</v>
      </c>
      <c r="W69" s="14" t="s">
        <v>8305</v>
      </c>
      <c r="X69" s="14" t="s">
        <v>8306</v>
      </c>
      <c r="Y69" s="14" t="s">
        <v>8307</v>
      </c>
      <c r="Z69" s="14" t="s">
        <v>8308</v>
      </c>
      <c r="AA69" s="14" t="s">
        <v>8309</v>
      </c>
      <c r="AB69" s="14" t="s">
        <v>8310</v>
      </c>
      <c r="AC69" s="14" t="s">
        <v>99</v>
      </c>
      <c r="AD69" s="14" t="s">
        <v>99</v>
      </c>
      <c r="AE69" s="14" t="s">
        <v>99</v>
      </c>
      <c r="AF69" s="14" t="s">
        <v>99</v>
      </c>
      <c r="AG69" s="14">
        <v>51.0</v>
      </c>
      <c r="AH69" s="14">
        <v>145.0</v>
      </c>
      <c r="AI69" s="14">
        <v>170.0</v>
      </c>
      <c r="AJ69" s="14">
        <v>2.0</v>
      </c>
      <c r="AK69" s="14">
        <v>60.0</v>
      </c>
      <c r="AL69" s="14" t="s">
        <v>341</v>
      </c>
      <c r="AM69" s="14" t="s">
        <v>342</v>
      </c>
      <c r="AN69" s="14" t="s">
        <v>343</v>
      </c>
      <c r="AO69" s="14" t="s">
        <v>739</v>
      </c>
      <c r="AP69" s="14" t="s">
        <v>740</v>
      </c>
      <c r="AQ69" s="14" t="s">
        <v>99</v>
      </c>
      <c r="AR69" s="14" t="s">
        <v>741</v>
      </c>
      <c r="AS69" s="14" t="s">
        <v>742</v>
      </c>
      <c r="AT69" s="14" t="s">
        <v>421</v>
      </c>
      <c r="AU69" s="14">
        <v>2006.0</v>
      </c>
      <c r="AV69" s="14">
        <v>12.0</v>
      </c>
      <c r="AW69" s="14">
        <v>5.0</v>
      </c>
      <c r="AX69" s="14" t="s">
        <v>99</v>
      </c>
      <c r="AY69" s="14" t="s">
        <v>99</v>
      </c>
      <c r="AZ69" s="14" t="s">
        <v>99</v>
      </c>
      <c r="BA69" s="14" t="s">
        <v>99</v>
      </c>
      <c r="BB69" s="14">
        <v>555.0</v>
      </c>
      <c r="BC69" s="14">
        <v>562.0</v>
      </c>
      <c r="BD69" s="14" t="s">
        <v>99</v>
      </c>
      <c r="BE69" s="14" t="s">
        <v>8311</v>
      </c>
      <c r="BF69" s="15" t="str">
        <f>HYPERLINK("http://dx.doi.org/10.1111/j.1366-9516.2006.00273.x","http://dx.doi.org/10.1111/j.1366-9516.2006.00273.x")</f>
        <v>http://dx.doi.org/10.1111/j.1366-9516.2006.00273.x</v>
      </c>
      <c r="BG69" s="14" t="s">
        <v>99</v>
      </c>
      <c r="BH69" s="14" t="s">
        <v>99</v>
      </c>
      <c r="BI69" s="14">
        <v>8.0</v>
      </c>
      <c r="BJ69" s="14" t="s">
        <v>550</v>
      </c>
      <c r="BK69" s="14" t="s">
        <v>122</v>
      </c>
      <c r="BL69" s="14" t="s">
        <v>352</v>
      </c>
      <c r="BM69" s="14" t="s">
        <v>8312</v>
      </c>
      <c r="BN69" s="14" t="s">
        <v>99</v>
      </c>
      <c r="BO69" s="14" t="s">
        <v>99</v>
      </c>
      <c r="BP69" s="14" t="s">
        <v>99</v>
      </c>
      <c r="BQ69" s="14" t="s">
        <v>99</v>
      </c>
      <c r="BR69" s="14" t="s">
        <v>124</v>
      </c>
      <c r="BS69" s="14" t="s">
        <v>8313</v>
      </c>
      <c r="BT69" s="14" t="str">
        <f>HYPERLINK("https%3A%2F%2Fwww.webofscience.com%2Fwos%2Fwoscc%2Ffull-record%2FWOS:000239798200010","View Full Record in Web of Science")</f>
        <v>View Full Record in Web of Science</v>
      </c>
    </row>
    <row r="70" ht="12.75" customHeight="1">
      <c r="A70" s="14" t="s">
        <v>97</v>
      </c>
      <c r="B70" s="14" t="s">
        <v>8314</v>
      </c>
      <c r="C70" s="14" t="s">
        <v>99</v>
      </c>
      <c r="D70" s="14" t="s">
        <v>99</v>
      </c>
      <c r="E70" s="14" t="s">
        <v>99</v>
      </c>
      <c r="F70" s="14" t="s">
        <v>8315</v>
      </c>
      <c r="G70" s="14" t="s">
        <v>99</v>
      </c>
      <c r="H70" s="14" t="s">
        <v>99</v>
      </c>
      <c r="I70" s="14" t="s">
        <v>8316</v>
      </c>
      <c r="J70" s="14" t="s">
        <v>328</v>
      </c>
      <c r="K70" s="14" t="s">
        <v>99</v>
      </c>
      <c r="L70" s="14" t="s">
        <v>99</v>
      </c>
      <c r="M70" s="14" t="s">
        <v>103</v>
      </c>
      <c r="N70" s="14" t="s">
        <v>104</v>
      </c>
      <c r="O70" s="14" t="s">
        <v>99</v>
      </c>
      <c r="P70" s="14" t="s">
        <v>99</v>
      </c>
      <c r="Q70" s="14" t="s">
        <v>99</v>
      </c>
      <c r="R70" s="14" t="s">
        <v>99</v>
      </c>
      <c r="S70" s="14" t="s">
        <v>99</v>
      </c>
      <c r="T70" s="14" t="s">
        <v>8317</v>
      </c>
      <c r="U70" s="14" t="s">
        <v>8318</v>
      </c>
      <c r="V70" s="14" t="s">
        <v>8319</v>
      </c>
      <c r="W70" s="14" t="s">
        <v>8320</v>
      </c>
      <c r="X70" s="14" t="s">
        <v>8321</v>
      </c>
      <c r="Y70" s="14" t="s">
        <v>8322</v>
      </c>
      <c r="Z70" s="14" t="s">
        <v>8323</v>
      </c>
      <c r="AA70" s="14" t="s">
        <v>8324</v>
      </c>
      <c r="AB70" s="14" t="s">
        <v>8325</v>
      </c>
      <c r="AC70" s="14" t="s">
        <v>99</v>
      </c>
      <c r="AD70" s="14" t="s">
        <v>99</v>
      </c>
      <c r="AE70" s="14" t="s">
        <v>99</v>
      </c>
      <c r="AF70" s="14" t="s">
        <v>99</v>
      </c>
      <c r="AG70" s="14">
        <v>41.0</v>
      </c>
      <c r="AH70" s="14">
        <v>87.0</v>
      </c>
      <c r="AI70" s="14">
        <v>92.0</v>
      </c>
      <c r="AJ70" s="14">
        <v>1.0</v>
      </c>
      <c r="AK70" s="14">
        <v>48.0</v>
      </c>
      <c r="AL70" s="14" t="s">
        <v>341</v>
      </c>
      <c r="AM70" s="14" t="s">
        <v>342</v>
      </c>
      <c r="AN70" s="14" t="s">
        <v>343</v>
      </c>
      <c r="AO70" s="14" t="s">
        <v>344</v>
      </c>
      <c r="AP70" s="14" t="s">
        <v>345</v>
      </c>
      <c r="AQ70" s="14" t="s">
        <v>99</v>
      </c>
      <c r="AR70" s="14" t="s">
        <v>346</v>
      </c>
      <c r="AS70" s="14" t="s">
        <v>347</v>
      </c>
      <c r="AT70" s="14" t="s">
        <v>421</v>
      </c>
      <c r="AU70" s="14">
        <v>2006.0</v>
      </c>
      <c r="AV70" s="14">
        <v>12.0</v>
      </c>
      <c r="AW70" s="14">
        <v>9.0</v>
      </c>
      <c r="AX70" s="14" t="s">
        <v>99</v>
      </c>
      <c r="AY70" s="14" t="s">
        <v>99</v>
      </c>
      <c r="AZ70" s="14" t="s">
        <v>99</v>
      </c>
      <c r="BA70" s="14" t="s">
        <v>99</v>
      </c>
      <c r="BB70" s="14">
        <v>1788.0</v>
      </c>
      <c r="BC70" s="14">
        <v>1799.0</v>
      </c>
      <c r="BD70" s="14" t="s">
        <v>99</v>
      </c>
      <c r="BE70" s="14" t="s">
        <v>8326</v>
      </c>
      <c r="BF70" s="15" t="str">
        <f>HYPERLINK("http://dx.doi.org/10.1111/j.1365-2486.2006.01231.x","http://dx.doi.org/10.1111/j.1365-2486.2006.01231.x")</f>
        <v>http://dx.doi.org/10.1111/j.1365-2486.2006.01231.x</v>
      </c>
      <c r="BG70" s="14" t="s">
        <v>99</v>
      </c>
      <c r="BH70" s="14" t="s">
        <v>99</v>
      </c>
      <c r="BI70" s="14">
        <v>12.0</v>
      </c>
      <c r="BJ70" s="14" t="s">
        <v>351</v>
      </c>
      <c r="BK70" s="14" t="s">
        <v>122</v>
      </c>
      <c r="BL70" s="14" t="s">
        <v>352</v>
      </c>
      <c r="BM70" s="14" t="s">
        <v>8327</v>
      </c>
      <c r="BN70" s="14" t="s">
        <v>99</v>
      </c>
      <c r="BO70" s="14" t="s">
        <v>576</v>
      </c>
      <c r="BP70" s="14" t="s">
        <v>99</v>
      </c>
      <c r="BQ70" s="14" t="s">
        <v>99</v>
      </c>
      <c r="BR70" s="14" t="s">
        <v>124</v>
      </c>
      <c r="BS70" s="14" t="s">
        <v>8328</v>
      </c>
      <c r="BT70" s="14" t="str">
        <f>HYPERLINK("https%3A%2F%2Fwww.webofscience.com%2Fwos%2Fwoscc%2Ffull-record%2FWOS:000240005300018","View Full Record in Web of Science")</f>
        <v>View Full Record in Web of Science</v>
      </c>
    </row>
    <row r="71" ht="12.75" customHeight="1">
      <c r="A71" s="14" t="s">
        <v>97</v>
      </c>
      <c r="B71" s="14" t="s">
        <v>8347</v>
      </c>
      <c r="C71" s="14" t="s">
        <v>99</v>
      </c>
      <c r="D71" s="14" t="s">
        <v>99</v>
      </c>
      <c r="E71" s="14" t="s">
        <v>99</v>
      </c>
      <c r="F71" s="14" t="s">
        <v>8348</v>
      </c>
      <c r="G71" s="14" t="s">
        <v>99</v>
      </c>
      <c r="H71" s="14" t="s">
        <v>99</v>
      </c>
      <c r="I71" s="14" t="s">
        <v>8349</v>
      </c>
      <c r="J71" s="14" t="s">
        <v>1721</v>
      </c>
      <c r="K71" s="14" t="s">
        <v>99</v>
      </c>
      <c r="L71" s="14" t="s">
        <v>99</v>
      </c>
      <c r="M71" s="14" t="s">
        <v>103</v>
      </c>
      <c r="N71" s="14" t="s">
        <v>104</v>
      </c>
      <c r="O71" s="14" t="s">
        <v>99</v>
      </c>
      <c r="P71" s="14" t="s">
        <v>99</v>
      </c>
      <c r="Q71" s="14" t="s">
        <v>99</v>
      </c>
      <c r="R71" s="14" t="s">
        <v>99</v>
      </c>
      <c r="S71" s="14" t="s">
        <v>99</v>
      </c>
      <c r="T71" s="14" t="s">
        <v>8350</v>
      </c>
      <c r="U71" s="14" t="s">
        <v>8351</v>
      </c>
      <c r="V71" s="14" t="s">
        <v>8352</v>
      </c>
      <c r="W71" s="14" t="s">
        <v>8257</v>
      </c>
      <c r="X71" s="14" t="s">
        <v>8258</v>
      </c>
      <c r="Y71" s="14" t="s">
        <v>8353</v>
      </c>
      <c r="Z71" s="14" t="s">
        <v>8354</v>
      </c>
      <c r="AA71" s="14" t="s">
        <v>8355</v>
      </c>
      <c r="AB71" s="14" t="s">
        <v>8356</v>
      </c>
      <c r="AC71" s="14" t="s">
        <v>99</v>
      </c>
      <c r="AD71" s="14" t="s">
        <v>99</v>
      </c>
      <c r="AE71" s="14" t="s">
        <v>99</v>
      </c>
      <c r="AF71" s="14" t="s">
        <v>99</v>
      </c>
      <c r="AG71" s="14">
        <v>62.0</v>
      </c>
      <c r="AH71" s="14">
        <v>43.0</v>
      </c>
      <c r="AI71" s="14">
        <v>49.0</v>
      </c>
      <c r="AJ71" s="14">
        <v>0.0</v>
      </c>
      <c r="AK71" s="14">
        <v>32.0</v>
      </c>
      <c r="AL71" s="14" t="s">
        <v>1731</v>
      </c>
      <c r="AM71" s="14" t="s">
        <v>1732</v>
      </c>
      <c r="AN71" s="14" t="s">
        <v>1733</v>
      </c>
      <c r="AO71" s="14" t="s">
        <v>1734</v>
      </c>
      <c r="AP71" s="14" t="s">
        <v>1735</v>
      </c>
      <c r="AQ71" s="14" t="s">
        <v>99</v>
      </c>
      <c r="AR71" s="14" t="s">
        <v>1736</v>
      </c>
      <c r="AS71" s="14" t="s">
        <v>1737</v>
      </c>
      <c r="AT71" s="14" t="s">
        <v>421</v>
      </c>
      <c r="AU71" s="14">
        <v>2006.0</v>
      </c>
      <c r="AV71" s="14">
        <v>15.0</v>
      </c>
      <c r="AW71" s="14">
        <v>10.0</v>
      </c>
      <c r="AX71" s="14" t="s">
        <v>99</v>
      </c>
      <c r="AY71" s="14" t="s">
        <v>99</v>
      </c>
      <c r="AZ71" s="14" t="s">
        <v>99</v>
      </c>
      <c r="BA71" s="14" t="s">
        <v>99</v>
      </c>
      <c r="BB71" s="14">
        <v>3341.0</v>
      </c>
      <c r="BC71" s="14">
        <v>3356.0</v>
      </c>
      <c r="BD71" s="14" t="s">
        <v>99</v>
      </c>
      <c r="BE71" s="14" t="s">
        <v>8357</v>
      </c>
      <c r="BF71" s="15" t="str">
        <f>HYPERLINK("http://dx.doi.org/10.1007/s10531-005-1345-8","http://dx.doi.org/10.1007/s10531-005-1345-8")</f>
        <v>http://dx.doi.org/10.1007/s10531-005-1345-8</v>
      </c>
      <c r="BG71" s="14" t="s">
        <v>99</v>
      </c>
      <c r="BH71" s="14" t="s">
        <v>99</v>
      </c>
      <c r="BI71" s="14">
        <v>16.0</v>
      </c>
      <c r="BJ71" s="14" t="s">
        <v>351</v>
      </c>
      <c r="BK71" s="14" t="s">
        <v>122</v>
      </c>
      <c r="BL71" s="14" t="s">
        <v>352</v>
      </c>
      <c r="BM71" s="14" t="s">
        <v>8358</v>
      </c>
      <c r="BN71" s="14" t="s">
        <v>99</v>
      </c>
      <c r="BO71" s="14" t="s">
        <v>99</v>
      </c>
      <c r="BP71" s="14" t="s">
        <v>99</v>
      </c>
      <c r="BQ71" s="14" t="s">
        <v>99</v>
      </c>
      <c r="BR71" s="14" t="s">
        <v>124</v>
      </c>
      <c r="BS71" s="14" t="s">
        <v>8359</v>
      </c>
      <c r="BT71" s="14" t="str">
        <f>HYPERLINK("https%3A%2F%2Fwww.webofscience.com%2Fwos%2Fwoscc%2Ffull-record%2FWOS:000241791200014","View Full Record in Web of Science")</f>
        <v>View Full Record in Web of Science</v>
      </c>
    </row>
    <row r="72" ht="12.75" customHeight="1">
      <c r="A72" s="14" t="s">
        <v>97</v>
      </c>
      <c r="B72" s="14" t="s">
        <v>8422</v>
      </c>
      <c r="C72" s="14" t="s">
        <v>99</v>
      </c>
      <c r="D72" s="14" t="s">
        <v>99</v>
      </c>
      <c r="E72" s="14" t="s">
        <v>99</v>
      </c>
      <c r="F72" s="14" t="s">
        <v>8423</v>
      </c>
      <c r="G72" s="14" t="s">
        <v>99</v>
      </c>
      <c r="H72" s="14" t="s">
        <v>99</v>
      </c>
      <c r="I72" s="14" t="s">
        <v>8424</v>
      </c>
      <c r="J72" s="14" t="s">
        <v>328</v>
      </c>
      <c r="K72" s="14" t="s">
        <v>99</v>
      </c>
      <c r="L72" s="14" t="s">
        <v>99</v>
      </c>
      <c r="M72" s="14" t="s">
        <v>103</v>
      </c>
      <c r="N72" s="14" t="s">
        <v>104</v>
      </c>
      <c r="O72" s="14" t="s">
        <v>99</v>
      </c>
      <c r="P72" s="14" t="s">
        <v>99</v>
      </c>
      <c r="Q72" s="14" t="s">
        <v>99</v>
      </c>
      <c r="R72" s="14" t="s">
        <v>99</v>
      </c>
      <c r="S72" s="14" t="s">
        <v>99</v>
      </c>
      <c r="T72" s="14" t="s">
        <v>8425</v>
      </c>
      <c r="U72" s="14" t="s">
        <v>8426</v>
      </c>
      <c r="V72" s="14" t="s">
        <v>8427</v>
      </c>
      <c r="W72" s="14" t="s">
        <v>8428</v>
      </c>
      <c r="X72" s="14" t="s">
        <v>8429</v>
      </c>
      <c r="Y72" s="14" t="s">
        <v>8430</v>
      </c>
      <c r="Z72" s="14" t="s">
        <v>8431</v>
      </c>
      <c r="AA72" s="14" t="s">
        <v>8432</v>
      </c>
      <c r="AB72" s="14" t="s">
        <v>99</v>
      </c>
      <c r="AC72" s="14" t="s">
        <v>99</v>
      </c>
      <c r="AD72" s="14" t="s">
        <v>99</v>
      </c>
      <c r="AE72" s="14" t="s">
        <v>99</v>
      </c>
      <c r="AF72" s="14" t="s">
        <v>99</v>
      </c>
      <c r="AG72" s="14">
        <v>65.0</v>
      </c>
      <c r="AH72" s="14">
        <v>296.0</v>
      </c>
      <c r="AI72" s="14">
        <v>354.0</v>
      </c>
      <c r="AJ72" s="14">
        <v>1.0</v>
      </c>
      <c r="AK72" s="14">
        <v>106.0</v>
      </c>
      <c r="AL72" s="14" t="s">
        <v>341</v>
      </c>
      <c r="AM72" s="14" t="s">
        <v>342</v>
      </c>
      <c r="AN72" s="14" t="s">
        <v>343</v>
      </c>
      <c r="AO72" s="14" t="s">
        <v>344</v>
      </c>
      <c r="AP72" s="14" t="s">
        <v>345</v>
      </c>
      <c r="AQ72" s="14" t="s">
        <v>99</v>
      </c>
      <c r="AR72" s="14" t="s">
        <v>346</v>
      </c>
      <c r="AS72" s="14" t="s">
        <v>347</v>
      </c>
      <c r="AT72" s="14" t="s">
        <v>474</v>
      </c>
      <c r="AU72" s="14">
        <v>2006.0</v>
      </c>
      <c r="AV72" s="14">
        <v>12.0</v>
      </c>
      <c r="AW72" s="14">
        <v>8.0</v>
      </c>
      <c r="AX72" s="14" t="s">
        <v>99</v>
      </c>
      <c r="AY72" s="14" t="s">
        <v>99</v>
      </c>
      <c r="AZ72" s="14" t="s">
        <v>99</v>
      </c>
      <c r="BA72" s="14" t="s">
        <v>99</v>
      </c>
      <c r="BB72" s="14">
        <v>1568.0</v>
      </c>
      <c r="BC72" s="14">
        <v>1584.0</v>
      </c>
      <c r="BD72" s="14" t="s">
        <v>99</v>
      </c>
      <c r="BE72" s="14" t="s">
        <v>8433</v>
      </c>
      <c r="BF72" s="15" t="str">
        <f>HYPERLINK("http://dx.doi.org/10.1111/j.1365-2486.2006.01191.x","http://dx.doi.org/10.1111/j.1365-2486.2006.01191.x")</f>
        <v>http://dx.doi.org/10.1111/j.1365-2486.2006.01191.x</v>
      </c>
      <c r="BG72" s="14" t="s">
        <v>99</v>
      </c>
      <c r="BH72" s="14" t="s">
        <v>99</v>
      </c>
      <c r="BI72" s="14">
        <v>17.0</v>
      </c>
      <c r="BJ72" s="14" t="s">
        <v>351</v>
      </c>
      <c r="BK72" s="14" t="s">
        <v>122</v>
      </c>
      <c r="BL72" s="14" t="s">
        <v>352</v>
      </c>
      <c r="BM72" s="14" t="s">
        <v>8434</v>
      </c>
      <c r="BN72" s="14" t="s">
        <v>99</v>
      </c>
      <c r="BO72" s="14" t="s">
        <v>99</v>
      </c>
      <c r="BP72" s="14" t="s">
        <v>99</v>
      </c>
      <c r="BQ72" s="14" t="s">
        <v>99</v>
      </c>
      <c r="BR72" s="14" t="s">
        <v>124</v>
      </c>
      <c r="BS72" s="14" t="s">
        <v>8435</v>
      </c>
      <c r="BT72" s="14" t="str">
        <f>HYPERLINK("https%3A%2F%2Fwww.webofscience.com%2Fwos%2Fwoscc%2Ffull-record%2FWOS:000239004700018","View Full Record in Web of Science")</f>
        <v>View Full Record in Web of Science</v>
      </c>
    </row>
    <row r="73" ht="12.75" customHeight="1">
      <c r="A73" s="14" t="s">
        <v>97</v>
      </c>
      <c r="B73" s="14" t="s">
        <v>8511</v>
      </c>
      <c r="C73" s="14" t="s">
        <v>99</v>
      </c>
      <c r="D73" s="14" t="s">
        <v>99</v>
      </c>
      <c r="E73" s="14" t="s">
        <v>99</v>
      </c>
      <c r="F73" s="14" t="s">
        <v>8512</v>
      </c>
      <c r="G73" s="14" t="s">
        <v>99</v>
      </c>
      <c r="H73" s="14" t="s">
        <v>99</v>
      </c>
      <c r="I73" s="14" t="s">
        <v>8513</v>
      </c>
      <c r="J73" s="14" t="s">
        <v>2357</v>
      </c>
      <c r="K73" s="14" t="s">
        <v>99</v>
      </c>
      <c r="L73" s="14" t="s">
        <v>99</v>
      </c>
      <c r="M73" s="14" t="s">
        <v>103</v>
      </c>
      <c r="N73" s="14" t="s">
        <v>104</v>
      </c>
      <c r="O73" s="14" t="s">
        <v>99</v>
      </c>
      <c r="P73" s="14" t="s">
        <v>99</v>
      </c>
      <c r="Q73" s="14" t="s">
        <v>99</v>
      </c>
      <c r="R73" s="14" t="s">
        <v>99</v>
      </c>
      <c r="S73" s="14" t="s">
        <v>99</v>
      </c>
      <c r="T73" s="14" t="s">
        <v>99</v>
      </c>
      <c r="U73" s="14" t="s">
        <v>8514</v>
      </c>
      <c r="V73" s="14" t="s">
        <v>8515</v>
      </c>
      <c r="W73" s="14" t="s">
        <v>99</v>
      </c>
      <c r="X73" s="14" t="s">
        <v>99</v>
      </c>
      <c r="Y73" s="14" t="s">
        <v>8516</v>
      </c>
      <c r="Z73" s="14" t="s">
        <v>8517</v>
      </c>
      <c r="AA73" s="14" t="s">
        <v>8518</v>
      </c>
      <c r="AB73" s="14" t="s">
        <v>8519</v>
      </c>
      <c r="AC73" s="14" t="s">
        <v>99</v>
      </c>
      <c r="AD73" s="14" t="s">
        <v>99</v>
      </c>
      <c r="AE73" s="14" t="s">
        <v>99</v>
      </c>
      <c r="AF73" s="14" t="s">
        <v>99</v>
      </c>
      <c r="AG73" s="14">
        <v>72.0</v>
      </c>
      <c r="AH73" s="14">
        <v>26.0</v>
      </c>
      <c r="AI73" s="14">
        <v>30.0</v>
      </c>
      <c r="AJ73" s="14">
        <v>0.0</v>
      </c>
      <c r="AK73" s="14">
        <v>10.0</v>
      </c>
      <c r="AL73" s="14" t="s">
        <v>1731</v>
      </c>
      <c r="AM73" s="14" t="s">
        <v>1732</v>
      </c>
      <c r="AN73" s="14" t="s">
        <v>1733</v>
      </c>
      <c r="AO73" s="14" t="s">
        <v>2369</v>
      </c>
      <c r="AP73" s="14" t="s">
        <v>2370</v>
      </c>
      <c r="AQ73" s="14" t="s">
        <v>99</v>
      </c>
      <c r="AR73" s="14" t="s">
        <v>2357</v>
      </c>
      <c r="AS73" s="14" t="s">
        <v>2371</v>
      </c>
      <c r="AT73" s="14" t="s">
        <v>640</v>
      </c>
      <c r="AU73" s="14">
        <v>2006.0</v>
      </c>
      <c r="AV73" s="14">
        <v>76.0</v>
      </c>
      <c r="AW73" s="14" t="s">
        <v>1161</v>
      </c>
      <c r="AX73" s="14" t="s">
        <v>99</v>
      </c>
      <c r="AY73" s="14" t="s">
        <v>99</v>
      </c>
      <c r="AZ73" s="14" t="s">
        <v>99</v>
      </c>
      <c r="BA73" s="14" t="s">
        <v>99</v>
      </c>
      <c r="BB73" s="14">
        <v>91.0</v>
      </c>
      <c r="BC73" s="14">
        <v>119.0</v>
      </c>
      <c r="BD73" s="14" t="s">
        <v>99</v>
      </c>
      <c r="BE73" s="14" t="s">
        <v>8520</v>
      </c>
      <c r="BF73" s="15" t="str">
        <f>HYPERLINK("http://dx.doi.org/10.1007/s10584-005-9014-1","http://dx.doi.org/10.1007/s10584-005-9014-1")</f>
        <v>http://dx.doi.org/10.1007/s10584-005-9014-1</v>
      </c>
      <c r="BG73" s="14" t="s">
        <v>99</v>
      </c>
      <c r="BH73" s="14" t="s">
        <v>99</v>
      </c>
      <c r="BI73" s="14">
        <v>29.0</v>
      </c>
      <c r="BJ73" s="14" t="s">
        <v>573</v>
      </c>
      <c r="BK73" s="14" t="s">
        <v>122</v>
      </c>
      <c r="BL73" s="14" t="s">
        <v>574</v>
      </c>
      <c r="BM73" s="14" t="s">
        <v>8521</v>
      </c>
      <c r="BN73" s="14" t="s">
        <v>99</v>
      </c>
      <c r="BO73" s="14" t="s">
        <v>99</v>
      </c>
      <c r="BP73" s="14" t="s">
        <v>99</v>
      </c>
      <c r="BQ73" s="14" t="s">
        <v>99</v>
      </c>
      <c r="BR73" s="14" t="s">
        <v>124</v>
      </c>
      <c r="BS73" s="14" t="s">
        <v>8522</v>
      </c>
      <c r="BT73" s="14" t="str">
        <f>HYPERLINK("https%3A%2F%2Fwww.webofscience.com%2Fwos%2Fwoscc%2Ffull-record%2FWOS:000239060600006","View Full Record in Web of Science")</f>
        <v>View Full Record in Web of Science</v>
      </c>
    </row>
    <row r="74" ht="12.75" customHeight="1">
      <c r="A74" s="14" t="s">
        <v>97</v>
      </c>
      <c r="B74" s="14" t="s">
        <v>8537</v>
      </c>
      <c r="C74" s="14" t="s">
        <v>99</v>
      </c>
      <c r="D74" s="14" t="s">
        <v>99</v>
      </c>
      <c r="E74" s="14" t="s">
        <v>99</v>
      </c>
      <c r="F74" s="14" t="s">
        <v>8537</v>
      </c>
      <c r="G74" s="14" t="s">
        <v>99</v>
      </c>
      <c r="H74" s="14" t="s">
        <v>99</v>
      </c>
      <c r="I74" s="14" t="s">
        <v>8538</v>
      </c>
      <c r="J74" s="14" t="s">
        <v>2142</v>
      </c>
      <c r="K74" s="14" t="s">
        <v>99</v>
      </c>
      <c r="L74" s="14" t="s">
        <v>99</v>
      </c>
      <c r="M74" s="14" t="s">
        <v>103</v>
      </c>
      <c r="N74" s="14" t="s">
        <v>104</v>
      </c>
      <c r="O74" s="14" t="s">
        <v>99</v>
      </c>
      <c r="P74" s="14" t="s">
        <v>99</v>
      </c>
      <c r="Q74" s="14" t="s">
        <v>99</v>
      </c>
      <c r="R74" s="14" t="s">
        <v>99</v>
      </c>
      <c r="S74" s="14" t="s">
        <v>99</v>
      </c>
      <c r="T74" s="14" t="s">
        <v>8539</v>
      </c>
      <c r="U74" s="14" t="s">
        <v>8540</v>
      </c>
      <c r="V74" s="14" t="s">
        <v>8541</v>
      </c>
      <c r="W74" s="14" t="s">
        <v>8542</v>
      </c>
      <c r="X74" s="14" t="s">
        <v>8543</v>
      </c>
      <c r="Y74" s="14" t="s">
        <v>8544</v>
      </c>
      <c r="Z74" s="14" t="s">
        <v>8545</v>
      </c>
      <c r="AA74" s="14" t="s">
        <v>8546</v>
      </c>
      <c r="AB74" s="14" t="s">
        <v>8547</v>
      </c>
      <c r="AC74" s="14" t="s">
        <v>99</v>
      </c>
      <c r="AD74" s="14" t="s">
        <v>99</v>
      </c>
      <c r="AE74" s="14" t="s">
        <v>99</v>
      </c>
      <c r="AF74" s="14" t="s">
        <v>99</v>
      </c>
      <c r="AG74" s="14">
        <v>34.0</v>
      </c>
      <c r="AH74" s="14">
        <v>635.0</v>
      </c>
      <c r="AI74" s="14">
        <v>754.0</v>
      </c>
      <c r="AJ74" s="14">
        <v>5.0</v>
      </c>
      <c r="AK74" s="14">
        <v>610.0</v>
      </c>
      <c r="AL74" s="14" t="s">
        <v>341</v>
      </c>
      <c r="AM74" s="14" t="s">
        <v>342</v>
      </c>
      <c r="AN74" s="14" t="s">
        <v>343</v>
      </c>
      <c r="AO74" s="14" t="s">
        <v>2155</v>
      </c>
      <c r="AP74" s="14" t="s">
        <v>2156</v>
      </c>
      <c r="AQ74" s="14" t="s">
        <v>99</v>
      </c>
      <c r="AR74" s="14" t="s">
        <v>2157</v>
      </c>
      <c r="AS74" s="14" t="s">
        <v>2158</v>
      </c>
      <c r="AT74" s="14" t="s">
        <v>718</v>
      </c>
      <c r="AU74" s="14">
        <v>2006.0</v>
      </c>
      <c r="AV74" s="14">
        <v>20.0</v>
      </c>
      <c r="AW74" s="14">
        <v>2.0</v>
      </c>
      <c r="AX74" s="14" t="s">
        <v>99</v>
      </c>
      <c r="AY74" s="14" t="s">
        <v>99</v>
      </c>
      <c r="AZ74" s="14" t="s">
        <v>99</v>
      </c>
      <c r="BA74" s="14" t="s">
        <v>99</v>
      </c>
      <c r="BB74" s="14">
        <v>538.0</v>
      </c>
      <c r="BC74" s="14">
        <v>548.0</v>
      </c>
      <c r="BD74" s="14" t="s">
        <v>99</v>
      </c>
      <c r="BE74" s="14" t="s">
        <v>8548</v>
      </c>
      <c r="BF74" s="15" t="str">
        <f>HYPERLINK("http://dx.doi.org/10.1111/j.1523-1739.2006.00364.x","http://dx.doi.org/10.1111/j.1523-1739.2006.00364.x")</f>
        <v>http://dx.doi.org/10.1111/j.1523-1739.2006.00364.x</v>
      </c>
      <c r="BG74" s="14" t="s">
        <v>99</v>
      </c>
      <c r="BH74" s="14" t="s">
        <v>99</v>
      </c>
      <c r="BI74" s="14">
        <v>11.0</v>
      </c>
      <c r="BJ74" s="14" t="s">
        <v>351</v>
      </c>
      <c r="BK74" s="14" t="s">
        <v>122</v>
      </c>
      <c r="BL74" s="14" t="s">
        <v>352</v>
      </c>
      <c r="BM74" s="14" t="s">
        <v>8549</v>
      </c>
      <c r="BN74" s="14">
        <v>1.6903114E7</v>
      </c>
      <c r="BO74" s="14" t="s">
        <v>99</v>
      </c>
      <c r="BP74" s="14" t="s">
        <v>99</v>
      </c>
      <c r="BQ74" s="14" t="s">
        <v>99</v>
      </c>
      <c r="BR74" s="14" t="s">
        <v>124</v>
      </c>
      <c r="BS74" s="14" t="s">
        <v>8550</v>
      </c>
      <c r="BT74" s="14" t="str">
        <f>HYPERLINK("https%3A%2F%2Fwww.webofscience.com%2Fwos%2Fwoscc%2Ffull-record%2FWOS:000236064200031","View Full Record in Web of Science")</f>
        <v>View Full Record in Web of Science</v>
      </c>
    </row>
    <row r="75" ht="12.75" customHeight="1">
      <c r="A75" s="14" t="s">
        <v>97</v>
      </c>
      <c r="B75" s="14" t="s">
        <v>8565</v>
      </c>
      <c r="C75" s="14" t="s">
        <v>99</v>
      </c>
      <c r="D75" s="14" t="s">
        <v>99</v>
      </c>
      <c r="E75" s="14" t="s">
        <v>99</v>
      </c>
      <c r="F75" s="14" t="s">
        <v>8566</v>
      </c>
      <c r="G75" s="14" t="s">
        <v>99</v>
      </c>
      <c r="H75" s="14" t="s">
        <v>99</v>
      </c>
      <c r="I75" s="14" t="s">
        <v>8567</v>
      </c>
      <c r="J75" s="14" t="s">
        <v>8568</v>
      </c>
      <c r="K75" s="14" t="s">
        <v>99</v>
      </c>
      <c r="L75" s="14" t="s">
        <v>99</v>
      </c>
      <c r="M75" s="14" t="s">
        <v>103</v>
      </c>
      <c r="N75" s="14" t="s">
        <v>2284</v>
      </c>
      <c r="O75" s="14" t="s">
        <v>8569</v>
      </c>
      <c r="P75" s="14" t="s">
        <v>8570</v>
      </c>
      <c r="Q75" s="14" t="s">
        <v>8571</v>
      </c>
      <c r="R75" s="14" t="s">
        <v>8572</v>
      </c>
      <c r="S75" s="14" t="s">
        <v>8573</v>
      </c>
      <c r="T75" s="14" t="s">
        <v>99</v>
      </c>
      <c r="U75" s="14" t="s">
        <v>8574</v>
      </c>
      <c r="V75" s="14" t="s">
        <v>8575</v>
      </c>
      <c r="W75" s="14" t="s">
        <v>8576</v>
      </c>
      <c r="X75" s="14" t="s">
        <v>8577</v>
      </c>
      <c r="Y75" s="14" t="s">
        <v>8578</v>
      </c>
      <c r="Z75" s="14" t="s">
        <v>8579</v>
      </c>
      <c r="AA75" s="14" t="s">
        <v>8580</v>
      </c>
      <c r="AB75" s="14" t="s">
        <v>8581</v>
      </c>
      <c r="AC75" s="14" t="s">
        <v>99</v>
      </c>
      <c r="AD75" s="14" t="s">
        <v>99</v>
      </c>
      <c r="AE75" s="14" t="s">
        <v>99</v>
      </c>
      <c r="AF75" s="14" t="s">
        <v>99</v>
      </c>
      <c r="AG75" s="14">
        <v>151.0</v>
      </c>
      <c r="AH75" s="14">
        <v>179.0</v>
      </c>
      <c r="AI75" s="14">
        <v>236.0</v>
      </c>
      <c r="AJ75" s="14">
        <v>0.0</v>
      </c>
      <c r="AK75" s="14">
        <v>116.0</v>
      </c>
      <c r="AL75" s="14" t="s">
        <v>341</v>
      </c>
      <c r="AM75" s="14" t="s">
        <v>342</v>
      </c>
      <c r="AN75" s="14" t="s">
        <v>343</v>
      </c>
      <c r="AO75" s="14" t="s">
        <v>8582</v>
      </c>
      <c r="AP75" s="14" t="s">
        <v>8583</v>
      </c>
      <c r="AQ75" s="14" t="s">
        <v>99</v>
      </c>
      <c r="AR75" s="14" t="s">
        <v>8568</v>
      </c>
      <c r="AS75" s="14" t="s">
        <v>8584</v>
      </c>
      <c r="AT75" s="14" t="s">
        <v>1485</v>
      </c>
      <c r="AU75" s="14">
        <v>2006.0</v>
      </c>
      <c r="AV75" s="14">
        <v>148.0</v>
      </c>
      <c r="AW75" s="14" t="s">
        <v>99</v>
      </c>
      <c r="AX75" s="14" t="s">
        <v>99</v>
      </c>
      <c r="AY75" s="14">
        <v>1.0</v>
      </c>
      <c r="AZ75" s="14" t="s">
        <v>99</v>
      </c>
      <c r="BA75" s="14" t="s">
        <v>99</v>
      </c>
      <c r="BB75" s="14">
        <v>8.0</v>
      </c>
      <c r="BC75" s="14">
        <v>28.0</v>
      </c>
      <c r="BD75" s="14" t="s">
        <v>99</v>
      </c>
      <c r="BE75" s="14" t="s">
        <v>8585</v>
      </c>
      <c r="BF75" s="15" t="str">
        <f>HYPERLINK("http://dx.doi.org/10.1111/j.1474-919X.2006.00523.x","http://dx.doi.org/10.1111/j.1474-919X.2006.00523.x")</f>
        <v>http://dx.doi.org/10.1111/j.1474-919X.2006.00523.x</v>
      </c>
      <c r="BG75" s="14" t="s">
        <v>99</v>
      </c>
      <c r="BH75" s="14" t="s">
        <v>99</v>
      </c>
      <c r="BI75" s="14">
        <v>21.0</v>
      </c>
      <c r="BJ75" s="14" t="s">
        <v>1183</v>
      </c>
      <c r="BK75" s="14" t="s">
        <v>2311</v>
      </c>
      <c r="BL75" s="14" t="s">
        <v>121</v>
      </c>
      <c r="BM75" s="14" t="s">
        <v>8586</v>
      </c>
      <c r="BN75" s="14" t="s">
        <v>99</v>
      </c>
      <c r="BO75" s="14" t="s">
        <v>99</v>
      </c>
      <c r="BP75" s="14" t="s">
        <v>99</v>
      </c>
      <c r="BQ75" s="14" t="s">
        <v>99</v>
      </c>
      <c r="BR75" s="14" t="s">
        <v>124</v>
      </c>
      <c r="BS75" s="14" t="s">
        <v>8587</v>
      </c>
      <c r="BT75" s="14" t="str">
        <f>HYPERLINK("https%3A%2F%2Fwww.webofscience.com%2Fwos%2Fwoscc%2Ffull-record%2FWOS:000243474900003","View Full Record in Web of Science")</f>
        <v>View Full Record in Web of Science</v>
      </c>
    </row>
    <row r="76" ht="12.75" customHeight="1">
      <c r="A76" s="14" t="s">
        <v>97</v>
      </c>
      <c r="B76" s="14" t="s">
        <v>8588</v>
      </c>
      <c r="C76" s="14" t="s">
        <v>99</v>
      </c>
      <c r="D76" s="14" t="s">
        <v>99</v>
      </c>
      <c r="E76" s="14" t="s">
        <v>99</v>
      </c>
      <c r="F76" s="14" t="s">
        <v>8588</v>
      </c>
      <c r="G76" s="14" t="s">
        <v>99</v>
      </c>
      <c r="H76" s="14" t="s">
        <v>99</v>
      </c>
      <c r="I76" s="14" t="s">
        <v>8589</v>
      </c>
      <c r="J76" s="14" t="s">
        <v>328</v>
      </c>
      <c r="K76" s="14" t="s">
        <v>99</v>
      </c>
      <c r="L76" s="14" t="s">
        <v>99</v>
      </c>
      <c r="M76" s="14" t="s">
        <v>103</v>
      </c>
      <c r="N76" s="14" t="s">
        <v>104</v>
      </c>
      <c r="O76" s="14" t="s">
        <v>99</v>
      </c>
      <c r="P76" s="14" t="s">
        <v>99</v>
      </c>
      <c r="Q76" s="14" t="s">
        <v>99</v>
      </c>
      <c r="R76" s="14" t="s">
        <v>99</v>
      </c>
      <c r="S76" s="14" t="s">
        <v>99</v>
      </c>
      <c r="T76" s="14" t="s">
        <v>8590</v>
      </c>
      <c r="U76" s="14" t="s">
        <v>8591</v>
      </c>
      <c r="V76" s="14" t="s">
        <v>8592</v>
      </c>
      <c r="W76" s="14" t="s">
        <v>8593</v>
      </c>
      <c r="X76" s="14" t="s">
        <v>8594</v>
      </c>
      <c r="Y76" s="14" t="s">
        <v>8595</v>
      </c>
      <c r="Z76" s="14" t="s">
        <v>8596</v>
      </c>
      <c r="AA76" s="14" t="s">
        <v>8597</v>
      </c>
      <c r="AB76" s="14" t="s">
        <v>8598</v>
      </c>
      <c r="AC76" s="14" t="s">
        <v>99</v>
      </c>
      <c r="AD76" s="14" t="s">
        <v>99</v>
      </c>
      <c r="AE76" s="14" t="s">
        <v>99</v>
      </c>
      <c r="AF76" s="14" t="s">
        <v>99</v>
      </c>
      <c r="AG76" s="14">
        <v>90.0</v>
      </c>
      <c r="AH76" s="14">
        <v>248.0</v>
      </c>
      <c r="AI76" s="14">
        <v>297.0</v>
      </c>
      <c r="AJ76" s="14">
        <v>0.0</v>
      </c>
      <c r="AK76" s="14">
        <v>130.0</v>
      </c>
      <c r="AL76" s="14" t="s">
        <v>341</v>
      </c>
      <c r="AM76" s="14" t="s">
        <v>342</v>
      </c>
      <c r="AN76" s="14" t="s">
        <v>343</v>
      </c>
      <c r="AO76" s="14" t="s">
        <v>344</v>
      </c>
      <c r="AP76" s="14" t="s">
        <v>345</v>
      </c>
      <c r="AQ76" s="14" t="s">
        <v>99</v>
      </c>
      <c r="AR76" s="14" t="s">
        <v>346</v>
      </c>
      <c r="AS76" s="14" t="s">
        <v>347</v>
      </c>
      <c r="AT76" s="14" t="s">
        <v>1485</v>
      </c>
      <c r="AU76" s="14">
        <v>2006.0</v>
      </c>
      <c r="AV76" s="14">
        <v>12.0</v>
      </c>
      <c r="AW76" s="14">
        <v>3.0</v>
      </c>
      <c r="AX76" s="14" t="s">
        <v>99</v>
      </c>
      <c r="AY76" s="14" t="s">
        <v>99</v>
      </c>
      <c r="AZ76" s="14" t="s">
        <v>99</v>
      </c>
      <c r="BA76" s="14" t="s">
        <v>99</v>
      </c>
      <c r="BB76" s="14">
        <v>424.0</v>
      </c>
      <c r="BC76" s="14">
        <v>440.0</v>
      </c>
      <c r="BD76" s="14" t="s">
        <v>99</v>
      </c>
      <c r="BE76" s="14" t="s">
        <v>8599</v>
      </c>
      <c r="BF76" s="15" t="str">
        <f>HYPERLINK("http://dx.doi.org/10.1111/j.1365-2486.2006.01115.x","http://dx.doi.org/10.1111/j.1365-2486.2006.01115.x")</f>
        <v>http://dx.doi.org/10.1111/j.1365-2486.2006.01115.x</v>
      </c>
      <c r="BG76" s="14" t="s">
        <v>99</v>
      </c>
      <c r="BH76" s="14" t="s">
        <v>99</v>
      </c>
      <c r="BI76" s="14">
        <v>17.0</v>
      </c>
      <c r="BJ76" s="14" t="s">
        <v>351</v>
      </c>
      <c r="BK76" s="14" t="s">
        <v>122</v>
      </c>
      <c r="BL76" s="14" t="s">
        <v>352</v>
      </c>
      <c r="BM76" s="14" t="s">
        <v>8600</v>
      </c>
      <c r="BN76" s="14" t="s">
        <v>99</v>
      </c>
      <c r="BO76" s="14" t="s">
        <v>99</v>
      </c>
      <c r="BP76" s="14" t="s">
        <v>99</v>
      </c>
      <c r="BQ76" s="14" t="s">
        <v>99</v>
      </c>
      <c r="BR76" s="14" t="s">
        <v>124</v>
      </c>
      <c r="BS76" s="14" t="s">
        <v>8601</v>
      </c>
      <c r="BT76" s="14" t="str">
        <f>HYPERLINK("https%3A%2F%2Fwww.webofscience.com%2Fwos%2Fwoscc%2Ffull-record%2FWOS:000236023000002","View Full Record in Web of Science")</f>
        <v>View Full Record in Web of Science</v>
      </c>
    </row>
    <row r="77" ht="12.75" customHeight="1">
      <c r="A77" s="14" t="s">
        <v>97</v>
      </c>
      <c r="B77" s="14" t="s">
        <v>8602</v>
      </c>
      <c r="C77" s="14" t="s">
        <v>99</v>
      </c>
      <c r="D77" s="14" t="s">
        <v>99</v>
      </c>
      <c r="E77" s="14" t="s">
        <v>99</v>
      </c>
      <c r="F77" s="14" t="s">
        <v>8602</v>
      </c>
      <c r="G77" s="14" t="s">
        <v>99</v>
      </c>
      <c r="H77" s="14" t="s">
        <v>99</v>
      </c>
      <c r="I77" s="14" t="s">
        <v>8603</v>
      </c>
      <c r="J77" s="14" t="s">
        <v>2332</v>
      </c>
      <c r="K77" s="14" t="s">
        <v>99</v>
      </c>
      <c r="L77" s="14" t="s">
        <v>99</v>
      </c>
      <c r="M77" s="14" t="s">
        <v>103</v>
      </c>
      <c r="N77" s="14" t="s">
        <v>104</v>
      </c>
      <c r="O77" s="14" t="s">
        <v>99</v>
      </c>
      <c r="P77" s="14" t="s">
        <v>99</v>
      </c>
      <c r="Q77" s="14" t="s">
        <v>99</v>
      </c>
      <c r="R77" s="14" t="s">
        <v>99</v>
      </c>
      <c r="S77" s="14" t="s">
        <v>99</v>
      </c>
      <c r="T77" s="14" t="s">
        <v>8604</v>
      </c>
      <c r="U77" s="14" t="s">
        <v>8605</v>
      </c>
      <c r="V77" s="14" t="s">
        <v>8606</v>
      </c>
      <c r="W77" s="14" t="s">
        <v>8607</v>
      </c>
      <c r="X77" s="14" t="s">
        <v>8608</v>
      </c>
      <c r="Y77" s="14" t="s">
        <v>8609</v>
      </c>
      <c r="Z77" s="14" t="s">
        <v>8610</v>
      </c>
      <c r="AA77" s="14" t="s">
        <v>8611</v>
      </c>
      <c r="AB77" s="14" t="s">
        <v>8612</v>
      </c>
      <c r="AC77" s="14" t="s">
        <v>99</v>
      </c>
      <c r="AD77" s="14" t="s">
        <v>99</v>
      </c>
      <c r="AE77" s="14" t="s">
        <v>99</v>
      </c>
      <c r="AF77" s="14" t="s">
        <v>99</v>
      </c>
      <c r="AG77" s="14">
        <v>43.0</v>
      </c>
      <c r="AH77" s="14">
        <v>39.0</v>
      </c>
      <c r="AI77" s="14">
        <v>51.0</v>
      </c>
      <c r="AJ77" s="14">
        <v>0.0</v>
      </c>
      <c r="AK77" s="14">
        <v>22.0</v>
      </c>
      <c r="AL77" s="14" t="s">
        <v>493</v>
      </c>
      <c r="AM77" s="14" t="s">
        <v>494</v>
      </c>
      <c r="AN77" s="14" t="s">
        <v>495</v>
      </c>
      <c r="AO77" s="14" t="s">
        <v>2345</v>
      </c>
      <c r="AP77" s="14" t="s">
        <v>2346</v>
      </c>
      <c r="AQ77" s="14" t="s">
        <v>99</v>
      </c>
      <c r="AR77" s="14" t="s">
        <v>2347</v>
      </c>
      <c r="AS77" s="14" t="s">
        <v>2348</v>
      </c>
      <c r="AT77" s="14" t="s">
        <v>280</v>
      </c>
      <c r="AU77" s="14">
        <v>2006.0</v>
      </c>
      <c r="AV77" s="14">
        <v>16.0</v>
      </c>
      <c r="AW77" s="14">
        <v>1.0</v>
      </c>
      <c r="AX77" s="14" t="s">
        <v>99</v>
      </c>
      <c r="AY77" s="14" t="s">
        <v>99</v>
      </c>
      <c r="AZ77" s="14" t="s">
        <v>99</v>
      </c>
      <c r="BA77" s="14" t="s">
        <v>99</v>
      </c>
      <c r="BB77" s="14">
        <v>19.0</v>
      </c>
      <c r="BC77" s="14">
        <v>28.0</v>
      </c>
      <c r="BD77" s="14" t="s">
        <v>99</v>
      </c>
      <c r="BE77" s="14" t="s">
        <v>8613</v>
      </c>
      <c r="BF77" s="15" t="str">
        <f>HYPERLINK("http://dx.doi.org/10.1016/j.gloenvcha.2005.11.001","http://dx.doi.org/10.1016/j.gloenvcha.2005.11.001")</f>
        <v>http://dx.doi.org/10.1016/j.gloenvcha.2005.11.001</v>
      </c>
      <c r="BG77" s="14" t="s">
        <v>99</v>
      </c>
      <c r="BH77" s="14" t="s">
        <v>99</v>
      </c>
      <c r="BI77" s="14">
        <v>10.0</v>
      </c>
      <c r="BJ77" s="14" t="s">
        <v>2350</v>
      </c>
      <c r="BK77" s="14" t="s">
        <v>800</v>
      </c>
      <c r="BL77" s="14" t="s">
        <v>2351</v>
      </c>
      <c r="BM77" s="14" t="s">
        <v>8614</v>
      </c>
      <c r="BN77" s="14" t="s">
        <v>99</v>
      </c>
      <c r="BO77" s="14" t="s">
        <v>99</v>
      </c>
      <c r="BP77" s="14" t="s">
        <v>99</v>
      </c>
      <c r="BQ77" s="14" t="s">
        <v>99</v>
      </c>
      <c r="BR77" s="14" t="s">
        <v>124</v>
      </c>
      <c r="BS77" s="14" t="s">
        <v>8615</v>
      </c>
      <c r="BT77" s="14" t="str">
        <f>HYPERLINK("https%3A%2F%2Fwww.webofscience.com%2Fwos%2Fwoscc%2Ffull-record%2FWOS:000235424500004","View Full Record in Web of Science")</f>
        <v>View Full Record in Web of Science</v>
      </c>
    </row>
    <row r="78" ht="12.75" customHeight="1">
      <c r="A78" s="14" t="s">
        <v>97</v>
      </c>
      <c r="B78" s="14" t="s">
        <v>8641</v>
      </c>
      <c r="C78" s="14" t="s">
        <v>99</v>
      </c>
      <c r="D78" s="14" t="s">
        <v>99</v>
      </c>
      <c r="E78" s="14" t="s">
        <v>99</v>
      </c>
      <c r="F78" s="14" t="s">
        <v>8641</v>
      </c>
      <c r="G78" s="14" t="s">
        <v>99</v>
      </c>
      <c r="H78" s="14" t="s">
        <v>99</v>
      </c>
      <c r="I78" s="14" t="s">
        <v>8642</v>
      </c>
      <c r="J78" s="14" t="s">
        <v>8643</v>
      </c>
      <c r="K78" s="14" t="s">
        <v>99</v>
      </c>
      <c r="L78" s="14" t="s">
        <v>99</v>
      </c>
      <c r="M78" s="14" t="s">
        <v>103</v>
      </c>
      <c r="N78" s="14" t="s">
        <v>104</v>
      </c>
      <c r="O78" s="14" t="s">
        <v>99</v>
      </c>
      <c r="P78" s="14" t="s">
        <v>99</v>
      </c>
      <c r="Q78" s="14" t="s">
        <v>99</v>
      </c>
      <c r="R78" s="14" t="s">
        <v>99</v>
      </c>
      <c r="S78" s="14" t="s">
        <v>99</v>
      </c>
      <c r="T78" s="14" t="s">
        <v>8644</v>
      </c>
      <c r="U78" s="14" t="s">
        <v>8645</v>
      </c>
      <c r="V78" s="14" t="s">
        <v>8646</v>
      </c>
      <c r="W78" s="14" t="s">
        <v>8647</v>
      </c>
      <c r="X78" s="14" t="s">
        <v>8648</v>
      </c>
      <c r="Y78" s="14" t="s">
        <v>8649</v>
      </c>
      <c r="Z78" s="14" t="s">
        <v>8650</v>
      </c>
      <c r="AA78" s="14" t="s">
        <v>8651</v>
      </c>
      <c r="AB78" s="14" t="s">
        <v>8652</v>
      </c>
      <c r="AC78" s="14" t="s">
        <v>99</v>
      </c>
      <c r="AD78" s="14" t="s">
        <v>99</v>
      </c>
      <c r="AE78" s="14" t="s">
        <v>99</v>
      </c>
      <c r="AF78" s="14" t="s">
        <v>99</v>
      </c>
      <c r="AG78" s="14">
        <v>61.0</v>
      </c>
      <c r="AH78" s="14">
        <v>63.0</v>
      </c>
      <c r="AI78" s="14">
        <v>76.0</v>
      </c>
      <c r="AJ78" s="14">
        <v>1.0</v>
      </c>
      <c r="AK78" s="14">
        <v>34.0</v>
      </c>
      <c r="AL78" s="14" t="s">
        <v>493</v>
      </c>
      <c r="AM78" s="14" t="s">
        <v>494</v>
      </c>
      <c r="AN78" s="14" t="s">
        <v>495</v>
      </c>
      <c r="AO78" s="14" t="s">
        <v>8653</v>
      </c>
      <c r="AP78" s="14" t="s">
        <v>8654</v>
      </c>
      <c r="AQ78" s="14" t="s">
        <v>99</v>
      </c>
      <c r="AR78" s="14" t="s">
        <v>8655</v>
      </c>
      <c r="AS78" s="14" t="s">
        <v>8656</v>
      </c>
      <c r="AT78" s="14" t="s">
        <v>99</v>
      </c>
      <c r="AU78" s="14">
        <v>2006.0</v>
      </c>
      <c r="AV78" s="14">
        <v>9.0</v>
      </c>
      <c r="AW78" s="14">
        <v>2.0</v>
      </c>
      <c r="AX78" s="14" t="s">
        <v>99</v>
      </c>
      <c r="AY78" s="14" t="s">
        <v>99</v>
      </c>
      <c r="AZ78" s="14" t="s">
        <v>99</v>
      </c>
      <c r="BA78" s="14" t="s">
        <v>99</v>
      </c>
      <c r="BB78" s="14">
        <v>129.0</v>
      </c>
      <c r="BC78" s="14">
        <v>147.0</v>
      </c>
      <c r="BD78" s="14" t="s">
        <v>99</v>
      </c>
      <c r="BE78" s="14" t="s">
        <v>8657</v>
      </c>
      <c r="BF78" s="15" t="str">
        <f>HYPERLINK("http://dx.doi.org/10.1016/j.envsci.2005.11.005","http://dx.doi.org/10.1016/j.envsci.2005.11.005")</f>
        <v>http://dx.doi.org/10.1016/j.envsci.2005.11.005</v>
      </c>
      <c r="BG78" s="14" t="s">
        <v>99</v>
      </c>
      <c r="BH78" s="14" t="s">
        <v>99</v>
      </c>
      <c r="BI78" s="14">
        <v>19.0</v>
      </c>
      <c r="BJ78" s="14" t="s">
        <v>1041</v>
      </c>
      <c r="BK78" s="14" t="s">
        <v>122</v>
      </c>
      <c r="BL78" s="14" t="s">
        <v>260</v>
      </c>
      <c r="BM78" s="14" t="s">
        <v>8658</v>
      </c>
      <c r="BN78" s="14" t="s">
        <v>99</v>
      </c>
      <c r="BO78" s="14" t="s">
        <v>99</v>
      </c>
      <c r="BP78" s="14" t="s">
        <v>99</v>
      </c>
      <c r="BQ78" s="14" t="s">
        <v>99</v>
      </c>
      <c r="BR78" s="14" t="s">
        <v>124</v>
      </c>
      <c r="BS78" s="14" t="s">
        <v>8659</v>
      </c>
      <c r="BT78" s="14" t="str">
        <f>HYPERLINK("https%3A%2F%2Fwww.webofscience.com%2Fwos%2Fwoscc%2Ffull-record%2FWOS:000236511100004","View Full Record in Web of Science")</f>
        <v>View Full Record in Web of Science</v>
      </c>
    </row>
    <row r="79" ht="12.75" customHeight="1">
      <c r="A79" s="14" t="s">
        <v>97</v>
      </c>
      <c r="B79" s="14" t="s">
        <v>8660</v>
      </c>
      <c r="C79" s="14" t="s">
        <v>99</v>
      </c>
      <c r="D79" s="14" t="s">
        <v>99</v>
      </c>
      <c r="E79" s="14" t="s">
        <v>99</v>
      </c>
      <c r="F79" s="14" t="s">
        <v>8660</v>
      </c>
      <c r="G79" s="14" t="s">
        <v>99</v>
      </c>
      <c r="H79" s="14" t="s">
        <v>99</v>
      </c>
      <c r="I79" s="14" t="s">
        <v>8661</v>
      </c>
      <c r="J79" s="14" t="s">
        <v>8643</v>
      </c>
      <c r="K79" s="14" t="s">
        <v>99</v>
      </c>
      <c r="L79" s="14" t="s">
        <v>99</v>
      </c>
      <c r="M79" s="14" t="s">
        <v>103</v>
      </c>
      <c r="N79" s="14" t="s">
        <v>104</v>
      </c>
      <c r="O79" s="14" t="s">
        <v>99</v>
      </c>
      <c r="P79" s="14" t="s">
        <v>99</v>
      </c>
      <c r="Q79" s="14" t="s">
        <v>99</v>
      </c>
      <c r="R79" s="14" t="s">
        <v>99</v>
      </c>
      <c r="S79" s="14" t="s">
        <v>99</v>
      </c>
      <c r="T79" s="14" t="s">
        <v>8662</v>
      </c>
      <c r="U79" s="14" t="s">
        <v>8663</v>
      </c>
      <c r="V79" s="14" t="s">
        <v>8664</v>
      </c>
      <c r="W79" s="14" t="s">
        <v>8665</v>
      </c>
      <c r="X79" s="14" t="s">
        <v>8666</v>
      </c>
      <c r="Y79" s="14" t="s">
        <v>8667</v>
      </c>
      <c r="Z79" s="14" t="s">
        <v>8668</v>
      </c>
      <c r="AA79" s="14" t="s">
        <v>8669</v>
      </c>
      <c r="AB79" s="14" t="s">
        <v>8670</v>
      </c>
      <c r="AC79" s="14" t="s">
        <v>99</v>
      </c>
      <c r="AD79" s="14" t="s">
        <v>99</v>
      </c>
      <c r="AE79" s="14" t="s">
        <v>99</v>
      </c>
      <c r="AF79" s="14" t="s">
        <v>99</v>
      </c>
      <c r="AG79" s="14">
        <v>66.0</v>
      </c>
      <c r="AH79" s="14">
        <v>131.0</v>
      </c>
      <c r="AI79" s="14">
        <v>147.0</v>
      </c>
      <c r="AJ79" s="14">
        <v>2.0</v>
      </c>
      <c r="AK79" s="14">
        <v>62.0</v>
      </c>
      <c r="AL79" s="14" t="s">
        <v>493</v>
      </c>
      <c r="AM79" s="14" t="s">
        <v>494</v>
      </c>
      <c r="AN79" s="14" t="s">
        <v>495</v>
      </c>
      <c r="AO79" s="14" t="s">
        <v>8653</v>
      </c>
      <c r="AP79" s="14" t="s">
        <v>8654</v>
      </c>
      <c r="AQ79" s="14" t="s">
        <v>99</v>
      </c>
      <c r="AR79" s="14" t="s">
        <v>8655</v>
      </c>
      <c r="AS79" s="14" t="s">
        <v>8656</v>
      </c>
      <c r="AT79" s="14" t="s">
        <v>99</v>
      </c>
      <c r="AU79" s="14">
        <v>2006.0</v>
      </c>
      <c r="AV79" s="14">
        <v>9.0</v>
      </c>
      <c r="AW79" s="14">
        <v>2.0</v>
      </c>
      <c r="AX79" s="14" t="s">
        <v>99</v>
      </c>
      <c r="AY79" s="14" t="s">
        <v>99</v>
      </c>
      <c r="AZ79" s="14" t="s">
        <v>99</v>
      </c>
      <c r="BA79" s="14" t="s">
        <v>99</v>
      </c>
      <c r="BB79" s="14">
        <v>116.0</v>
      </c>
      <c r="BC79" s="14">
        <v>128.0</v>
      </c>
      <c r="BD79" s="14" t="s">
        <v>99</v>
      </c>
      <c r="BE79" s="14" t="s">
        <v>8671</v>
      </c>
      <c r="BF79" s="15" t="str">
        <f>HYPERLINK("http://dx.doi.org/10.1016/j.envsci.2005.11.003","http://dx.doi.org/10.1016/j.envsci.2005.11.003")</f>
        <v>http://dx.doi.org/10.1016/j.envsci.2005.11.003</v>
      </c>
      <c r="BG79" s="14" t="s">
        <v>99</v>
      </c>
      <c r="BH79" s="14" t="s">
        <v>99</v>
      </c>
      <c r="BI79" s="14">
        <v>13.0</v>
      </c>
      <c r="BJ79" s="14" t="s">
        <v>1041</v>
      </c>
      <c r="BK79" s="14" t="s">
        <v>122</v>
      </c>
      <c r="BL79" s="14" t="s">
        <v>260</v>
      </c>
      <c r="BM79" s="14" t="s">
        <v>8658</v>
      </c>
      <c r="BN79" s="14" t="s">
        <v>99</v>
      </c>
      <c r="BO79" s="14" t="s">
        <v>99</v>
      </c>
      <c r="BP79" s="14" t="s">
        <v>99</v>
      </c>
      <c r="BQ79" s="14" t="s">
        <v>99</v>
      </c>
      <c r="BR79" s="14" t="s">
        <v>124</v>
      </c>
      <c r="BS79" s="14" t="s">
        <v>8672</v>
      </c>
      <c r="BT79" s="14" t="str">
        <f>HYPERLINK("https%3A%2F%2Fwww.webofscience.com%2Fwos%2Fwoscc%2Ffull-record%2FWOS:000236511100003","View Full Record in Web of Science")</f>
        <v>View Full Record in Web of Science</v>
      </c>
    </row>
    <row r="80" ht="12.75" customHeight="1">
      <c r="A80" s="14" t="s">
        <v>97</v>
      </c>
      <c r="B80" s="14" t="s">
        <v>8673</v>
      </c>
      <c r="C80" s="14" t="s">
        <v>99</v>
      </c>
      <c r="D80" s="14" t="s">
        <v>99</v>
      </c>
      <c r="E80" s="14" t="s">
        <v>99</v>
      </c>
      <c r="F80" s="14" t="s">
        <v>8673</v>
      </c>
      <c r="G80" s="14" t="s">
        <v>99</v>
      </c>
      <c r="H80" s="14" t="s">
        <v>99</v>
      </c>
      <c r="I80" s="14" t="s">
        <v>8674</v>
      </c>
      <c r="J80" s="14" t="s">
        <v>726</v>
      </c>
      <c r="K80" s="14" t="s">
        <v>99</v>
      </c>
      <c r="L80" s="14" t="s">
        <v>99</v>
      </c>
      <c r="M80" s="14" t="s">
        <v>103</v>
      </c>
      <c r="N80" s="14" t="s">
        <v>104</v>
      </c>
      <c r="O80" s="14" t="s">
        <v>99</v>
      </c>
      <c r="P80" s="14" t="s">
        <v>99</v>
      </c>
      <c r="Q80" s="14" t="s">
        <v>99</v>
      </c>
      <c r="R80" s="14" t="s">
        <v>99</v>
      </c>
      <c r="S80" s="14" t="s">
        <v>99</v>
      </c>
      <c r="T80" s="14" t="s">
        <v>8675</v>
      </c>
      <c r="U80" s="14" t="s">
        <v>8676</v>
      </c>
      <c r="V80" s="14" t="s">
        <v>8677</v>
      </c>
      <c r="W80" s="14" t="s">
        <v>8678</v>
      </c>
      <c r="X80" s="14" t="s">
        <v>8679</v>
      </c>
      <c r="Y80" s="14" t="s">
        <v>8680</v>
      </c>
      <c r="Z80" s="14" t="s">
        <v>8681</v>
      </c>
      <c r="AA80" s="14" t="s">
        <v>8682</v>
      </c>
      <c r="AB80" s="14" t="s">
        <v>8683</v>
      </c>
      <c r="AC80" s="14" t="s">
        <v>99</v>
      </c>
      <c r="AD80" s="14" t="s">
        <v>99</v>
      </c>
      <c r="AE80" s="14" t="s">
        <v>99</v>
      </c>
      <c r="AF80" s="14" t="s">
        <v>99</v>
      </c>
      <c r="AG80" s="14">
        <v>89.0</v>
      </c>
      <c r="AH80" s="14">
        <v>221.0</v>
      </c>
      <c r="AI80" s="14">
        <v>253.0</v>
      </c>
      <c r="AJ80" s="14">
        <v>3.0</v>
      </c>
      <c r="AK80" s="14">
        <v>120.0</v>
      </c>
      <c r="AL80" s="14" t="s">
        <v>341</v>
      </c>
      <c r="AM80" s="14" t="s">
        <v>342</v>
      </c>
      <c r="AN80" s="14" t="s">
        <v>343</v>
      </c>
      <c r="AO80" s="14" t="s">
        <v>739</v>
      </c>
      <c r="AP80" s="14" t="s">
        <v>740</v>
      </c>
      <c r="AQ80" s="14" t="s">
        <v>99</v>
      </c>
      <c r="AR80" s="14" t="s">
        <v>741</v>
      </c>
      <c r="AS80" s="14" t="s">
        <v>742</v>
      </c>
      <c r="AT80" s="14" t="s">
        <v>935</v>
      </c>
      <c r="AU80" s="14">
        <v>2006.0</v>
      </c>
      <c r="AV80" s="14">
        <v>12.0</v>
      </c>
      <c r="AW80" s="14">
        <v>1.0</v>
      </c>
      <c r="AX80" s="14" t="s">
        <v>99</v>
      </c>
      <c r="AY80" s="14" t="s">
        <v>99</v>
      </c>
      <c r="AZ80" s="14" t="s">
        <v>99</v>
      </c>
      <c r="BA80" s="14" t="s">
        <v>99</v>
      </c>
      <c r="BB80" s="14">
        <v>49.0</v>
      </c>
      <c r="BC80" s="14">
        <v>60.0</v>
      </c>
      <c r="BD80" s="14" t="s">
        <v>99</v>
      </c>
      <c r="BE80" s="14" t="s">
        <v>8684</v>
      </c>
      <c r="BF80" s="15" t="str">
        <f>HYPERLINK("http://dx.doi.org/10.1111/j.1366-9516.2006.00216.x","http://dx.doi.org/10.1111/j.1366-9516.2006.00216.x")</f>
        <v>http://dx.doi.org/10.1111/j.1366-9516.2006.00216.x</v>
      </c>
      <c r="BG80" s="14" t="s">
        <v>99</v>
      </c>
      <c r="BH80" s="14" t="s">
        <v>99</v>
      </c>
      <c r="BI80" s="14">
        <v>12.0</v>
      </c>
      <c r="BJ80" s="14" t="s">
        <v>550</v>
      </c>
      <c r="BK80" s="14" t="s">
        <v>122</v>
      </c>
      <c r="BL80" s="14" t="s">
        <v>352</v>
      </c>
      <c r="BM80" s="14" t="s">
        <v>8685</v>
      </c>
      <c r="BN80" s="14" t="s">
        <v>99</v>
      </c>
      <c r="BO80" s="14" t="s">
        <v>425</v>
      </c>
      <c r="BP80" s="14" t="s">
        <v>99</v>
      </c>
      <c r="BQ80" s="14" t="s">
        <v>99</v>
      </c>
      <c r="BR80" s="14" t="s">
        <v>124</v>
      </c>
      <c r="BS80" s="14" t="s">
        <v>8686</v>
      </c>
      <c r="BT80" s="14" t="str">
        <f>HYPERLINK("https%3A%2F%2Fwww.webofscience.com%2Fwos%2Fwoscc%2Ffull-record%2FWOS:000234026600006","View Full Record in Web of Science")</f>
        <v>View Full Record in Web of Science</v>
      </c>
    </row>
    <row r="81" ht="12.75" customHeight="1">
      <c r="A81" s="14" t="s">
        <v>97</v>
      </c>
      <c r="B81" s="14" t="s">
        <v>8753</v>
      </c>
      <c r="C81" s="14" t="s">
        <v>99</v>
      </c>
      <c r="D81" s="14" t="s">
        <v>99</v>
      </c>
      <c r="E81" s="14" t="s">
        <v>99</v>
      </c>
      <c r="F81" s="14" t="s">
        <v>8753</v>
      </c>
      <c r="G81" s="14" t="s">
        <v>99</v>
      </c>
      <c r="H81" s="14" t="s">
        <v>99</v>
      </c>
      <c r="I81" s="14" t="s">
        <v>8754</v>
      </c>
      <c r="J81" s="14" t="s">
        <v>776</v>
      </c>
      <c r="K81" s="14" t="s">
        <v>99</v>
      </c>
      <c r="L81" s="14" t="s">
        <v>99</v>
      </c>
      <c r="M81" s="14" t="s">
        <v>103</v>
      </c>
      <c r="N81" s="14" t="s">
        <v>104</v>
      </c>
      <c r="O81" s="14" t="s">
        <v>99</v>
      </c>
      <c r="P81" s="14" t="s">
        <v>99</v>
      </c>
      <c r="Q81" s="14" t="s">
        <v>99</v>
      </c>
      <c r="R81" s="14" t="s">
        <v>99</v>
      </c>
      <c r="S81" s="14" t="s">
        <v>99</v>
      </c>
      <c r="T81" s="14" t="s">
        <v>8755</v>
      </c>
      <c r="U81" s="14" t="s">
        <v>8756</v>
      </c>
      <c r="V81" s="14" t="s">
        <v>8757</v>
      </c>
      <c r="W81" s="14" t="s">
        <v>8758</v>
      </c>
      <c r="X81" s="14" t="s">
        <v>7124</v>
      </c>
      <c r="Y81" s="14" t="s">
        <v>8759</v>
      </c>
      <c r="Z81" s="14" t="s">
        <v>8760</v>
      </c>
      <c r="AA81" s="14" t="s">
        <v>8761</v>
      </c>
      <c r="AB81" s="14" t="s">
        <v>8762</v>
      </c>
      <c r="AC81" s="14" t="s">
        <v>99</v>
      </c>
      <c r="AD81" s="14" t="s">
        <v>99</v>
      </c>
      <c r="AE81" s="14" t="s">
        <v>99</v>
      </c>
      <c r="AF81" s="14" t="s">
        <v>99</v>
      </c>
      <c r="AG81" s="14">
        <v>40.0</v>
      </c>
      <c r="AH81" s="14">
        <v>128.0</v>
      </c>
      <c r="AI81" s="14">
        <v>157.0</v>
      </c>
      <c r="AJ81" s="14">
        <v>1.0</v>
      </c>
      <c r="AK81" s="14">
        <v>48.0</v>
      </c>
      <c r="AL81" s="14" t="s">
        <v>788</v>
      </c>
      <c r="AM81" s="14" t="s">
        <v>789</v>
      </c>
      <c r="AN81" s="14" t="s">
        <v>790</v>
      </c>
      <c r="AO81" s="14" t="s">
        <v>791</v>
      </c>
      <c r="AP81" s="14" t="s">
        <v>792</v>
      </c>
      <c r="AQ81" s="14" t="s">
        <v>99</v>
      </c>
      <c r="AR81" s="14" t="s">
        <v>793</v>
      </c>
      <c r="AS81" s="14" t="s">
        <v>794</v>
      </c>
      <c r="AT81" s="14" t="s">
        <v>8763</v>
      </c>
      <c r="AU81" s="14">
        <v>2005.0</v>
      </c>
      <c r="AV81" s="14">
        <v>102.0</v>
      </c>
      <c r="AW81" s="14">
        <v>45.0</v>
      </c>
      <c r="AX81" s="14" t="s">
        <v>99</v>
      </c>
      <c r="AY81" s="14" t="s">
        <v>99</v>
      </c>
      <c r="AZ81" s="14" t="s">
        <v>99</v>
      </c>
      <c r="BA81" s="14" t="s">
        <v>99</v>
      </c>
      <c r="BB81" s="14">
        <v>16281.0</v>
      </c>
      <c r="BC81" s="14">
        <v>16286.0</v>
      </c>
      <c r="BD81" s="14" t="s">
        <v>99</v>
      </c>
      <c r="BE81" s="14" t="s">
        <v>8764</v>
      </c>
      <c r="BF81" s="15" t="str">
        <f>HYPERLINK("http://dx.doi.org/10.1073/pnas.0501427102","http://dx.doi.org/10.1073/pnas.0501427102")</f>
        <v>http://dx.doi.org/10.1073/pnas.0501427102</v>
      </c>
      <c r="BG81" s="14" t="s">
        <v>99</v>
      </c>
      <c r="BH81" s="14" t="s">
        <v>99</v>
      </c>
      <c r="BI81" s="14">
        <v>6.0</v>
      </c>
      <c r="BJ81" s="14" t="s">
        <v>799</v>
      </c>
      <c r="BK81" s="14" t="s">
        <v>122</v>
      </c>
      <c r="BL81" s="14" t="s">
        <v>801</v>
      </c>
      <c r="BM81" s="14" t="s">
        <v>8765</v>
      </c>
      <c r="BN81" s="14">
        <v>1.626075E7</v>
      </c>
      <c r="BO81" s="14" t="s">
        <v>425</v>
      </c>
      <c r="BP81" s="14" t="s">
        <v>99</v>
      </c>
      <c r="BQ81" s="14" t="s">
        <v>99</v>
      </c>
      <c r="BR81" s="14" t="s">
        <v>124</v>
      </c>
      <c r="BS81" s="14" t="s">
        <v>8766</v>
      </c>
      <c r="BT81" s="14" t="str">
        <f>HYPERLINK("https%3A%2F%2Fwww.webofscience.com%2Fwos%2Fwoscc%2Ffull-record%2FWOS:000233283700029","View Full Record in Web of Science")</f>
        <v>View Full Record in Web of Science</v>
      </c>
    </row>
    <row r="82" ht="12.75" customHeight="1">
      <c r="A82" s="14" t="s">
        <v>97</v>
      </c>
      <c r="B82" s="14" t="s">
        <v>8780</v>
      </c>
      <c r="C82" s="14" t="s">
        <v>99</v>
      </c>
      <c r="D82" s="14" t="s">
        <v>99</v>
      </c>
      <c r="E82" s="14" t="s">
        <v>99</v>
      </c>
      <c r="F82" s="14" t="s">
        <v>8780</v>
      </c>
      <c r="G82" s="14" t="s">
        <v>99</v>
      </c>
      <c r="H82" s="14" t="s">
        <v>99</v>
      </c>
      <c r="I82" s="14" t="s">
        <v>8781</v>
      </c>
      <c r="J82" s="14" t="s">
        <v>1102</v>
      </c>
      <c r="K82" s="14" t="s">
        <v>99</v>
      </c>
      <c r="L82" s="14" t="s">
        <v>99</v>
      </c>
      <c r="M82" s="14" t="s">
        <v>103</v>
      </c>
      <c r="N82" s="14" t="s">
        <v>104</v>
      </c>
      <c r="O82" s="14" t="s">
        <v>99</v>
      </c>
      <c r="P82" s="14" t="s">
        <v>99</v>
      </c>
      <c r="Q82" s="14" t="s">
        <v>99</v>
      </c>
      <c r="R82" s="14" t="s">
        <v>99</v>
      </c>
      <c r="S82" s="14" t="s">
        <v>99</v>
      </c>
      <c r="T82" s="14" t="s">
        <v>8782</v>
      </c>
      <c r="U82" s="14" t="s">
        <v>8783</v>
      </c>
      <c r="V82" s="14" t="s">
        <v>8784</v>
      </c>
      <c r="W82" s="14" t="s">
        <v>8785</v>
      </c>
      <c r="X82" s="14" t="s">
        <v>8786</v>
      </c>
      <c r="Y82" s="14" t="s">
        <v>8787</v>
      </c>
      <c r="Z82" s="14" t="s">
        <v>8788</v>
      </c>
      <c r="AA82" s="14" t="s">
        <v>8789</v>
      </c>
      <c r="AB82" s="14" t="s">
        <v>8790</v>
      </c>
      <c r="AC82" s="14" t="s">
        <v>99</v>
      </c>
      <c r="AD82" s="14" t="s">
        <v>99</v>
      </c>
      <c r="AE82" s="14" t="s">
        <v>99</v>
      </c>
      <c r="AF82" s="14" t="s">
        <v>99</v>
      </c>
      <c r="AG82" s="14">
        <v>43.0</v>
      </c>
      <c r="AH82" s="14">
        <v>86.0</v>
      </c>
      <c r="AI82" s="14">
        <v>97.0</v>
      </c>
      <c r="AJ82" s="14">
        <v>2.0</v>
      </c>
      <c r="AK82" s="14">
        <v>71.0</v>
      </c>
      <c r="AL82" s="14" t="s">
        <v>493</v>
      </c>
      <c r="AM82" s="14" t="s">
        <v>468</v>
      </c>
      <c r="AN82" s="14" t="s">
        <v>635</v>
      </c>
      <c r="AO82" s="14" t="s">
        <v>1112</v>
      </c>
      <c r="AP82" s="14" t="s">
        <v>99</v>
      </c>
      <c r="AQ82" s="14" t="s">
        <v>99</v>
      </c>
      <c r="AR82" s="14" t="s">
        <v>1114</v>
      </c>
      <c r="AS82" s="14" t="s">
        <v>1115</v>
      </c>
      <c r="AT82" s="14" t="s">
        <v>2372</v>
      </c>
      <c r="AU82" s="14">
        <v>2005.0</v>
      </c>
      <c r="AV82" s="14">
        <v>125.0</v>
      </c>
      <c r="AW82" s="14">
        <v>3.0</v>
      </c>
      <c r="AX82" s="14" t="s">
        <v>99</v>
      </c>
      <c r="AY82" s="14" t="s">
        <v>99</v>
      </c>
      <c r="AZ82" s="14" t="s">
        <v>99</v>
      </c>
      <c r="BA82" s="14" t="s">
        <v>99</v>
      </c>
      <c r="BB82" s="14">
        <v>335.0</v>
      </c>
      <c r="BC82" s="14">
        <v>343.0</v>
      </c>
      <c r="BD82" s="14" t="s">
        <v>99</v>
      </c>
      <c r="BE82" s="14" t="s">
        <v>8791</v>
      </c>
      <c r="BF82" s="15" t="str">
        <f>HYPERLINK("http://dx.doi.org/10.1016/j.biocon.2005.04.003","http://dx.doi.org/10.1016/j.biocon.2005.04.003")</f>
        <v>http://dx.doi.org/10.1016/j.biocon.2005.04.003</v>
      </c>
      <c r="BG82" s="14" t="s">
        <v>99</v>
      </c>
      <c r="BH82" s="14" t="s">
        <v>99</v>
      </c>
      <c r="BI82" s="14">
        <v>9.0</v>
      </c>
      <c r="BJ82" s="14" t="s">
        <v>351</v>
      </c>
      <c r="BK82" s="14" t="s">
        <v>122</v>
      </c>
      <c r="BL82" s="14" t="s">
        <v>352</v>
      </c>
      <c r="BM82" s="14" t="s">
        <v>8792</v>
      </c>
      <c r="BN82" s="14" t="s">
        <v>99</v>
      </c>
      <c r="BO82" s="14" t="s">
        <v>99</v>
      </c>
      <c r="BP82" s="14" t="s">
        <v>99</v>
      </c>
      <c r="BQ82" s="14" t="s">
        <v>99</v>
      </c>
      <c r="BR82" s="14" t="s">
        <v>124</v>
      </c>
      <c r="BS82" s="14" t="s">
        <v>8793</v>
      </c>
      <c r="BT82" s="14" t="str">
        <f>HYPERLINK("https%3A%2F%2Fwww.webofscience.com%2Fwos%2Fwoscc%2Ffull-record%2FWOS:000230357900006","View Full Record in Web of Science")</f>
        <v>View Full Record in Web of Science</v>
      </c>
    </row>
    <row r="83" ht="12.75" customHeight="1">
      <c r="A83" s="14" t="s">
        <v>97</v>
      </c>
      <c r="B83" s="14" t="s">
        <v>8794</v>
      </c>
      <c r="C83" s="14" t="s">
        <v>99</v>
      </c>
      <c r="D83" s="14" t="s">
        <v>99</v>
      </c>
      <c r="E83" s="14" t="s">
        <v>99</v>
      </c>
      <c r="F83" s="14" t="s">
        <v>8794</v>
      </c>
      <c r="G83" s="14" t="s">
        <v>99</v>
      </c>
      <c r="H83" s="14" t="s">
        <v>99</v>
      </c>
      <c r="I83" s="14" t="s">
        <v>8795</v>
      </c>
      <c r="J83" s="14" t="s">
        <v>328</v>
      </c>
      <c r="K83" s="14" t="s">
        <v>99</v>
      </c>
      <c r="L83" s="14" t="s">
        <v>99</v>
      </c>
      <c r="M83" s="14" t="s">
        <v>103</v>
      </c>
      <c r="N83" s="14" t="s">
        <v>104</v>
      </c>
      <c r="O83" s="14" t="s">
        <v>99</v>
      </c>
      <c r="P83" s="14" t="s">
        <v>99</v>
      </c>
      <c r="Q83" s="14" t="s">
        <v>99</v>
      </c>
      <c r="R83" s="14" t="s">
        <v>99</v>
      </c>
      <c r="S83" s="14" t="s">
        <v>99</v>
      </c>
      <c r="T83" s="14" t="s">
        <v>8796</v>
      </c>
      <c r="U83" s="14" t="s">
        <v>8797</v>
      </c>
      <c r="V83" s="14" t="s">
        <v>8798</v>
      </c>
      <c r="W83" s="14" t="s">
        <v>8799</v>
      </c>
      <c r="X83" s="14" t="s">
        <v>8800</v>
      </c>
      <c r="Y83" s="14" t="s">
        <v>8801</v>
      </c>
      <c r="Z83" s="14" t="s">
        <v>8802</v>
      </c>
      <c r="AA83" s="14" t="s">
        <v>8803</v>
      </c>
      <c r="AB83" s="14" t="s">
        <v>8804</v>
      </c>
      <c r="AC83" s="14" t="s">
        <v>99</v>
      </c>
      <c r="AD83" s="14" t="s">
        <v>99</v>
      </c>
      <c r="AE83" s="14" t="s">
        <v>99</v>
      </c>
      <c r="AF83" s="14" t="s">
        <v>99</v>
      </c>
      <c r="AG83" s="14">
        <v>69.0</v>
      </c>
      <c r="AH83" s="14">
        <v>104.0</v>
      </c>
      <c r="AI83" s="14">
        <v>124.0</v>
      </c>
      <c r="AJ83" s="14">
        <v>1.0</v>
      </c>
      <c r="AK83" s="14">
        <v>61.0</v>
      </c>
      <c r="AL83" s="14" t="s">
        <v>341</v>
      </c>
      <c r="AM83" s="14" t="s">
        <v>342</v>
      </c>
      <c r="AN83" s="14" t="s">
        <v>343</v>
      </c>
      <c r="AO83" s="14" t="s">
        <v>344</v>
      </c>
      <c r="AP83" s="14" t="s">
        <v>345</v>
      </c>
      <c r="AQ83" s="14" t="s">
        <v>99</v>
      </c>
      <c r="AR83" s="14" t="s">
        <v>346</v>
      </c>
      <c r="AS83" s="14" t="s">
        <v>347</v>
      </c>
      <c r="AT83" s="14" t="s">
        <v>421</v>
      </c>
      <c r="AU83" s="14">
        <v>2005.0</v>
      </c>
      <c r="AV83" s="14">
        <v>11.0</v>
      </c>
      <c r="AW83" s="14">
        <v>9.0</v>
      </c>
      <c r="AX83" s="14" t="s">
        <v>99</v>
      </c>
      <c r="AY83" s="14" t="s">
        <v>99</v>
      </c>
      <c r="AZ83" s="14" t="s">
        <v>99</v>
      </c>
      <c r="BA83" s="14" t="s">
        <v>99</v>
      </c>
      <c r="BB83" s="14">
        <v>1452.0</v>
      </c>
      <c r="BC83" s="14">
        <v>1468.0</v>
      </c>
      <c r="BD83" s="14" t="s">
        <v>99</v>
      </c>
      <c r="BE83" s="14" t="s">
        <v>8805</v>
      </c>
      <c r="BF83" s="15" t="str">
        <f>HYPERLINK("http://dx.doi.org/10.1111/j.1365-2486.2005.00997.x","http://dx.doi.org/10.1111/j.1365-2486.2005.00997.x")</f>
        <v>http://dx.doi.org/10.1111/j.1365-2486.2005.00997.x</v>
      </c>
      <c r="BG83" s="14" t="s">
        <v>99</v>
      </c>
      <c r="BH83" s="14" t="s">
        <v>99</v>
      </c>
      <c r="BI83" s="14">
        <v>17.0</v>
      </c>
      <c r="BJ83" s="14" t="s">
        <v>351</v>
      </c>
      <c r="BK83" s="14" t="s">
        <v>122</v>
      </c>
      <c r="BL83" s="14" t="s">
        <v>352</v>
      </c>
      <c r="BM83" s="14" t="s">
        <v>8806</v>
      </c>
      <c r="BN83" s="14" t="s">
        <v>99</v>
      </c>
      <c r="BO83" s="14" t="s">
        <v>99</v>
      </c>
      <c r="BP83" s="14" t="s">
        <v>99</v>
      </c>
      <c r="BQ83" s="14" t="s">
        <v>99</v>
      </c>
      <c r="BR83" s="14" t="s">
        <v>124</v>
      </c>
      <c r="BS83" s="14" t="s">
        <v>8807</v>
      </c>
      <c r="BT83" s="14" t="str">
        <f>HYPERLINK("https%3A%2F%2Fwww.webofscience.com%2Fwos%2Fwoscc%2Ffull-record%2FWOS:000231396700005","View Full Record in Web of Science")</f>
        <v>View Full Record in Web of Science</v>
      </c>
    </row>
    <row r="84" ht="12.75" customHeight="1">
      <c r="A84" s="14" t="s">
        <v>97</v>
      </c>
      <c r="B84" s="14" t="s">
        <v>8808</v>
      </c>
      <c r="C84" s="14" t="s">
        <v>99</v>
      </c>
      <c r="D84" s="14" t="s">
        <v>99</v>
      </c>
      <c r="E84" s="14" t="s">
        <v>99</v>
      </c>
      <c r="F84" s="14" t="s">
        <v>8808</v>
      </c>
      <c r="G84" s="14" t="s">
        <v>99</v>
      </c>
      <c r="H84" s="14" t="s">
        <v>99</v>
      </c>
      <c r="I84" s="14" t="s">
        <v>8809</v>
      </c>
      <c r="J84" s="14" t="s">
        <v>3413</v>
      </c>
      <c r="K84" s="14" t="s">
        <v>99</v>
      </c>
      <c r="L84" s="14" t="s">
        <v>99</v>
      </c>
      <c r="M84" s="14" t="s">
        <v>103</v>
      </c>
      <c r="N84" s="14" t="s">
        <v>104</v>
      </c>
      <c r="O84" s="14" t="s">
        <v>99</v>
      </c>
      <c r="P84" s="14" t="s">
        <v>99</v>
      </c>
      <c r="Q84" s="14" t="s">
        <v>99</v>
      </c>
      <c r="R84" s="14" t="s">
        <v>99</v>
      </c>
      <c r="S84" s="14" t="s">
        <v>99</v>
      </c>
      <c r="T84" s="14" t="s">
        <v>8810</v>
      </c>
      <c r="U84" s="14" t="s">
        <v>8811</v>
      </c>
      <c r="V84" s="14" t="s">
        <v>8812</v>
      </c>
      <c r="W84" s="14" t="s">
        <v>8813</v>
      </c>
      <c r="X84" s="14" t="s">
        <v>8814</v>
      </c>
      <c r="Y84" s="14" t="s">
        <v>8815</v>
      </c>
      <c r="Z84" s="14" t="s">
        <v>8816</v>
      </c>
      <c r="AA84" s="14" t="s">
        <v>8817</v>
      </c>
      <c r="AB84" s="14" t="s">
        <v>8818</v>
      </c>
      <c r="AC84" s="14" t="s">
        <v>99</v>
      </c>
      <c r="AD84" s="14" t="s">
        <v>99</v>
      </c>
      <c r="AE84" s="14" t="s">
        <v>99</v>
      </c>
      <c r="AF84" s="14" t="s">
        <v>99</v>
      </c>
      <c r="AG84" s="14">
        <v>77.0</v>
      </c>
      <c r="AH84" s="14">
        <v>419.0</v>
      </c>
      <c r="AI84" s="14">
        <v>459.0</v>
      </c>
      <c r="AJ84" s="14">
        <v>2.0</v>
      </c>
      <c r="AK84" s="14">
        <v>177.0</v>
      </c>
      <c r="AL84" s="14" t="s">
        <v>1033</v>
      </c>
      <c r="AM84" s="14" t="s">
        <v>442</v>
      </c>
      <c r="AN84" s="14" t="s">
        <v>1034</v>
      </c>
      <c r="AO84" s="14" t="s">
        <v>3425</v>
      </c>
      <c r="AP84" s="14" t="s">
        <v>99</v>
      </c>
      <c r="AQ84" s="14" t="s">
        <v>99</v>
      </c>
      <c r="AR84" s="14" t="s">
        <v>3427</v>
      </c>
      <c r="AS84" s="14" t="s">
        <v>3428</v>
      </c>
      <c r="AT84" s="14" t="s">
        <v>8819</v>
      </c>
      <c r="AU84" s="14">
        <v>2005.0</v>
      </c>
      <c r="AV84" s="14">
        <v>186.0</v>
      </c>
      <c r="AW84" s="14">
        <v>2.0</v>
      </c>
      <c r="AX84" s="14" t="s">
        <v>99</v>
      </c>
      <c r="AY84" s="14" t="s">
        <v>99</v>
      </c>
      <c r="AZ84" s="14" t="s">
        <v>99</v>
      </c>
      <c r="BA84" s="14" t="s">
        <v>99</v>
      </c>
      <c r="BB84" s="14">
        <v>250.0</v>
      </c>
      <c r="BC84" s="14">
        <v>269.0</v>
      </c>
      <c r="BD84" s="14" t="s">
        <v>99</v>
      </c>
      <c r="BE84" s="14" t="s">
        <v>8820</v>
      </c>
      <c r="BF84" s="15" t="str">
        <f>HYPERLINK("http://dx.doi.org/10.1016/j.ecolmodel.2005.01.030","http://dx.doi.org/10.1016/j.ecolmodel.2005.01.030")</f>
        <v>http://dx.doi.org/10.1016/j.ecolmodel.2005.01.030</v>
      </c>
      <c r="BG84" s="14" t="s">
        <v>99</v>
      </c>
      <c r="BH84" s="14" t="s">
        <v>99</v>
      </c>
      <c r="BI84" s="14">
        <v>20.0</v>
      </c>
      <c r="BJ84" s="14" t="s">
        <v>259</v>
      </c>
      <c r="BK84" s="14" t="s">
        <v>122</v>
      </c>
      <c r="BL84" s="14" t="s">
        <v>260</v>
      </c>
      <c r="BM84" s="14" t="s">
        <v>8821</v>
      </c>
      <c r="BN84" s="14" t="s">
        <v>99</v>
      </c>
      <c r="BO84" s="14" t="s">
        <v>99</v>
      </c>
      <c r="BP84" s="14" t="s">
        <v>99</v>
      </c>
      <c r="BQ84" s="14" t="s">
        <v>99</v>
      </c>
      <c r="BR84" s="14" t="s">
        <v>124</v>
      </c>
      <c r="BS84" s="14" t="s">
        <v>8822</v>
      </c>
      <c r="BT84" s="14" t="str">
        <f>HYPERLINK("https%3A%2F%2Fwww.webofscience.com%2Fwos%2Fwoscc%2Ffull-record%2FWOS:000230636400008","View Full Record in Web of Science")</f>
        <v>View Full Record in Web of Science</v>
      </c>
    </row>
    <row r="85" ht="12.75" customHeight="1">
      <c r="A85" s="14" t="s">
        <v>97</v>
      </c>
      <c r="B85" s="14" t="s">
        <v>8859</v>
      </c>
      <c r="C85" s="14" t="s">
        <v>99</v>
      </c>
      <c r="D85" s="14" t="s">
        <v>99</v>
      </c>
      <c r="E85" s="14" t="s">
        <v>99</v>
      </c>
      <c r="F85" s="14" t="s">
        <v>8859</v>
      </c>
      <c r="G85" s="14" t="s">
        <v>99</v>
      </c>
      <c r="H85" s="14" t="s">
        <v>99</v>
      </c>
      <c r="I85" s="14" t="s">
        <v>8860</v>
      </c>
      <c r="J85" s="14" t="s">
        <v>726</v>
      </c>
      <c r="K85" s="14" t="s">
        <v>99</v>
      </c>
      <c r="L85" s="14" t="s">
        <v>99</v>
      </c>
      <c r="M85" s="14" t="s">
        <v>103</v>
      </c>
      <c r="N85" s="14" t="s">
        <v>104</v>
      </c>
      <c r="O85" s="14" t="s">
        <v>99</v>
      </c>
      <c r="P85" s="14" t="s">
        <v>99</v>
      </c>
      <c r="Q85" s="14" t="s">
        <v>99</v>
      </c>
      <c r="R85" s="14" t="s">
        <v>99</v>
      </c>
      <c r="S85" s="14" t="s">
        <v>99</v>
      </c>
      <c r="T85" s="14" t="s">
        <v>8861</v>
      </c>
      <c r="U85" s="14" t="s">
        <v>8862</v>
      </c>
      <c r="V85" s="14" t="s">
        <v>8863</v>
      </c>
      <c r="W85" s="14" t="s">
        <v>8864</v>
      </c>
      <c r="X85" s="14" t="s">
        <v>8865</v>
      </c>
      <c r="Y85" s="14" t="s">
        <v>8866</v>
      </c>
      <c r="Z85" s="14" t="s">
        <v>8867</v>
      </c>
      <c r="AA85" s="14" t="s">
        <v>8868</v>
      </c>
      <c r="AB85" s="14" t="s">
        <v>8869</v>
      </c>
      <c r="AC85" s="14" t="s">
        <v>99</v>
      </c>
      <c r="AD85" s="14" t="s">
        <v>99</v>
      </c>
      <c r="AE85" s="14" t="s">
        <v>99</v>
      </c>
      <c r="AF85" s="14" t="s">
        <v>99</v>
      </c>
      <c r="AG85" s="14">
        <v>43.0</v>
      </c>
      <c r="AH85" s="14">
        <v>198.0</v>
      </c>
      <c r="AI85" s="14">
        <v>246.0</v>
      </c>
      <c r="AJ85" s="14">
        <v>2.0</v>
      </c>
      <c r="AK85" s="14">
        <v>182.0</v>
      </c>
      <c r="AL85" s="14" t="s">
        <v>1822</v>
      </c>
      <c r="AM85" s="14" t="s">
        <v>6591</v>
      </c>
      <c r="AN85" s="14" t="s">
        <v>6592</v>
      </c>
      <c r="AO85" s="14" t="s">
        <v>739</v>
      </c>
      <c r="AP85" s="14" t="s">
        <v>99</v>
      </c>
      <c r="AQ85" s="14" t="s">
        <v>99</v>
      </c>
      <c r="AR85" s="14" t="s">
        <v>741</v>
      </c>
      <c r="AS85" s="14" t="s">
        <v>742</v>
      </c>
      <c r="AT85" s="14" t="s">
        <v>525</v>
      </c>
      <c r="AU85" s="14">
        <v>2005.0</v>
      </c>
      <c r="AV85" s="14">
        <v>11.0</v>
      </c>
      <c r="AW85" s="14">
        <v>4.0</v>
      </c>
      <c r="AX85" s="14" t="s">
        <v>99</v>
      </c>
      <c r="AY85" s="14" t="s">
        <v>99</v>
      </c>
      <c r="AZ85" s="14" t="s">
        <v>99</v>
      </c>
      <c r="BA85" s="14" t="s">
        <v>99</v>
      </c>
      <c r="BB85" s="14">
        <v>299.0</v>
      </c>
      <c r="BC85" s="14">
        <v>310.0</v>
      </c>
      <c r="BD85" s="14" t="s">
        <v>99</v>
      </c>
      <c r="BE85" s="14" t="s">
        <v>8870</v>
      </c>
      <c r="BF85" s="15" t="str">
        <f>HYPERLINK("http://dx.doi.org/10.1111/j.1366-9516.2005.00153.x","http://dx.doi.org/10.1111/j.1366-9516.2005.00153.x")</f>
        <v>http://dx.doi.org/10.1111/j.1366-9516.2005.00153.x</v>
      </c>
      <c r="BG85" s="14" t="s">
        <v>99</v>
      </c>
      <c r="BH85" s="14" t="s">
        <v>99</v>
      </c>
      <c r="BI85" s="14">
        <v>12.0</v>
      </c>
      <c r="BJ85" s="14" t="s">
        <v>550</v>
      </c>
      <c r="BK85" s="14" t="s">
        <v>122</v>
      </c>
      <c r="BL85" s="14" t="s">
        <v>352</v>
      </c>
      <c r="BM85" s="14" t="s">
        <v>8871</v>
      </c>
      <c r="BN85" s="14" t="s">
        <v>99</v>
      </c>
      <c r="BO85" s="14" t="s">
        <v>354</v>
      </c>
      <c r="BP85" s="14" t="s">
        <v>99</v>
      </c>
      <c r="BQ85" s="14" t="s">
        <v>99</v>
      </c>
      <c r="BR85" s="14" t="s">
        <v>124</v>
      </c>
      <c r="BS85" s="14" t="s">
        <v>8872</v>
      </c>
      <c r="BT85" s="14" t="str">
        <f>HYPERLINK("https%3A%2F%2Fwww.webofscience.com%2Fwos%2Fwoscc%2Ffull-record%2FWOS:000230784400004","View Full Record in Web of Science")</f>
        <v>View Full Record in Web of Science</v>
      </c>
    </row>
    <row r="86" ht="12.75" customHeight="1">
      <c r="A86" s="14" t="s">
        <v>97</v>
      </c>
      <c r="B86" s="14" t="s">
        <v>8873</v>
      </c>
      <c r="C86" s="14" t="s">
        <v>99</v>
      </c>
      <c r="D86" s="14" t="s">
        <v>99</v>
      </c>
      <c r="E86" s="14" t="s">
        <v>99</v>
      </c>
      <c r="F86" s="14" t="s">
        <v>8873</v>
      </c>
      <c r="G86" s="14" t="s">
        <v>99</v>
      </c>
      <c r="H86" s="14" t="s">
        <v>99</v>
      </c>
      <c r="I86" s="14" t="s">
        <v>8874</v>
      </c>
      <c r="J86" s="14" t="s">
        <v>776</v>
      </c>
      <c r="K86" s="14" t="s">
        <v>99</v>
      </c>
      <c r="L86" s="14" t="s">
        <v>99</v>
      </c>
      <c r="M86" s="14" t="s">
        <v>103</v>
      </c>
      <c r="N86" s="14" t="s">
        <v>104</v>
      </c>
      <c r="O86" s="14" t="s">
        <v>99</v>
      </c>
      <c r="P86" s="14" t="s">
        <v>99</v>
      </c>
      <c r="Q86" s="14" t="s">
        <v>99</v>
      </c>
      <c r="R86" s="14" t="s">
        <v>99</v>
      </c>
      <c r="S86" s="14" t="s">
        <v>99</v>
      </c>
      <c r="T86" s="14" t="s">
        <v>8875</v>
      </c>
      <c r="U86" s="14" t="s">
        <v>8876</v>
      </c>
      <c r="V86" s="14" t="s">
        <v>8877</v>
      </c>
      <c r="W86" s="14" t="s">
        <v>8878</v>
      </c>
      <c r="X86" s="14" t="s">
        <v>8879</v>
      </c>
      <c r="Y86" s="14" t="s">
        <v>8880</v>
      </c>
      <c r="Z86" s="14" t="s">
        <v>8681</v>
      </c>
      <c r="AA86" s="14" t="s">
        <v>8881</v>
      </c>
      <c r="AB86" s="14" t="s">
        <v>8683</v>
      </c>
      <c r="AC86" s="14" t="s">
        <v>99</v>
      </c>
      <c r="AD86" s="14" t="s">
        <v>99</v>
      </c>
      <c r="AE86" s="14" t="s">
        <v>99</v>
      </c>
      <c r="AF86" s="14" t="s">
        <v>99</v>
      </c>
      <c r="AG86" s="14">
        <v>40.0</v>
      </c>
      <c r="AH86" s="14">
        <v>1873.0</v>
      </c>
      <c r="AI86" s="14">
        <v>2174.0</v>
      </c>
      <c r="AJ86" s="14">
        <v>9.0</v>
      </c>
      <c r="AK86" s="14">
        <v>913.0</v>
      </c>
      <c r="AL86" s="14" t="s">
        <v>788</v>
      </c>
      <c r="AM86" s="14" t="s">
        <v>789</v>
      </c>
      <c r="AN86" s="14" t="s">
        <v>790</v>
      </c>
      <c r="AO86" s="14" t="s">
        <v>791</v>
      </c>
      <c r="AP86" s="14" t="s">
        <v>792</v>
      </c>
      <c r="AQ86" s="14" t="s">
        <v>99</v>
      </c>
      <c r="AR86" s="14" t="s">
        <v>793</v>
      </c>
      <c r="AS86" s="14" t="s">
        <v>794</v>
      </c>
      <c r="AT86" s="14" t="s">
        <v>1328</v>
      </c>
      <c r="AU86" s="14">
        <v>2005.0</v>
      </c>
      <c r="AV86" s="14">
        <v>102.0</v>
      </c>
      <c r="AW86" s="14">
        <v>23.0</v>
      </c>
      <c r="AX86" s="14" t="s">
        <v>99</v>
      </c>
      <c r="AY86" s="14" t="s">
        <v>99</v>
      </c>
      <c r="AZ86" s="14" t="s">
        <v>99</v>
      </c>
      <c r="BA86" s="14" t="s">
        <v>99</v>
      </c>
      <c r="BB86" s="14">
        <v>8245.0</v>
      </c>
      <c r="BC86" s="14">
        <v>8250.0</v>
      </c>
      <c r="BD86" s="14" t="s">
        <v>99</v>
      </c>
      <c r="BE86" s="14" t="s">
        <v>8882</v>
      </c>
      <c r="BF86" s="15" t="str">
        <f>HYPERLINK("http://dx.doi.org/10.1073/pnas.0409902102","http://dx.doi.org/10.1073/pnas.0409902102")</f>
        <v>http://dx.doi.org/10.1073/pnas.0409902102</v>
      </c>
      <c r="BG86" s="14" t="s">
        <v>99</v>
      </c>
      <c r="BH86" s="14" t="s">
        <v>99</v>
      </c>
      <c r="BI86" s="14">
        <v>6.0</v>
      </c>
      <c r="BJ86" s="14" t="s">
        <v>799</v>
      </c>
      <c r="BK86" s="14" t="s">
        <v>122</v>
      </c>
      <c r="BL86" s="14" t="s">
        <v>801</v>
      </c>
      <c r="BM86" s="14" t="s">
        <v>8883</v>
      </c>
      <c r="BN86" s="14">
        <v>1.5919825E7</v>
      </c>
      <c r="BO86" s="14" t="s">
        <v>425</v>
      </c>
      <c r="BP86" s="14" t="s">
        <v>99</v>
      </c>
      <c r="BQ86" s="14" t="s">
        <v>99</v>
      </c>
      <c r="BR86" s="14" t="s">
        <v>124</v>
      </c>
      <c r="BS86" s="14" t="s">
        <v>8884</v>
      </c>
      <c r="BT86" s="14" t="str">
        <f>HYPERLINK("https%3A%2F%2Fwww.webofscience.com%2Fwos%2Fwoscc%2Ffull-record%2FWOS:000229650500032","View Full Record in Web of Science")</f>
        <v>View Full Record in Web of Science</v>
      </c>
    </row>
    <row r="87" ht="12.75" customHeight="1">
      <c r="A87" s="14" t="s">
        <v>97</v>
      </c>
      <c r="B87" s="14" t="s">
        <v>8885</v>
      </c>
      <c r="C87" s="14" t="s">
        <v>99</v>
      </c>
      <c r="D87" s="14" t="s">
        <v>99</v>
      </c>
      <c r="E87" s="14" t="s">
        <v>99</v>
      </c>
      <c r="F87" s="14" t="s">
        <v>8885</v>
      </c>
      <c r="G87" s="14" t="s">
        <v>99</v>
      </c>
      <c r="H87" s="14" t="s">
        <v>99</v>
      </c>
      <c r="I87" s="14" t="s">
        <v>8886</v>
      </c>
      <c r="J87" s="14" t="s">
        <v>6455</v>
      </c>
      <c r="K87" s="14" t="s">
        <v>99</v>
      </c>
      <c r="L87" s="14" t="s">
        <v>99</v>
      </c>
      <c r="M87" s="14" t="s">
        <v>103</v>
      </c>
      <c r="N87" s="14" t="s">
        <v>104</v>
      </c>
      <c r="O87" s="14" t="s">
        <v>99</v>
      </c>
      <c r="P87" s="14" t="s">
        <v>99</v>
      </c>
      <c r="Q87" s="14" t="s">
        <v>99</v>
      </c>
      <c r="R87" s="14" t="s">
        <v>99</v>
      </c>
      <c r="S87" s="14" t="s">
        <v>99</v>
      </c>
      <c r="T87" s="14" t="s">
        <v>8887</v>
      </c>
      <c r="U87" s="14" t="s">
        <v>8888</v>
      </c>
      <c r="V87" s="14" t="s">
        <v>8889</v>
      </c>
      <c r="W87" s="14" t="s">
        <v>8890</v>
      </c>
      <c r="X87" s="14" t="s">
        <v>8891</v>
      </c>
      <c r="Y87" s="14" t="s">
        <v>8892</v>
      </c>
      <c r="Z87" s="14" t="s">
        <v>8893</v>
      </c>
      <c r="AA87" s="14" t="s">
        <v>8894</v>
      </c>
      <c r="AB87" s="14" t="s">
        <v>8895</v>
      </c>
      <c r="AC87" s="14" t="s">
        <v>99</v>
      </c>
      <c r="AD87" s="14" t="s">
        <v>99</v>
      </c>
      <c r="AE87" s="14" t="s">
        <v>99</v>
      </c>
      <c r="AF87" s="14" t="s">
        <v>99</v>
      </c>
      <c r="AG87" s="14">
        <v>51.0</v>
      </c>
      <c r="AH87" s="14">
        <v>45.0</v>
      </c>
      <c r="AI87" s="14">
        <v>61.0</v>
      </c>
      <c r="AJ87" s="14">
        <v>2.0</v>
      </c>
      <c r="AK87" s="14">
        <v>35.0</v>
      </c>
      <c r="AL87" s="14" t="s">
        <v>341</v>
      </c>
      <c r="AM87" s="14" t="s">
        <v>342</v>
      </c>
      <c r="AN87" s="14" t="s">
        <v>343</v>
      </c>
      <c r="AO87" s="14" t="s">
        <v>6468</v>
      </c>
      <c r="AP87" s="14" t="s">
        <v>6469</v>
      </c>
      <c r="AQ87" s="14" t="s">
        <v>99</v>
      </c>
      <c r="AR87" s="14" t="s">
        <v>6455</v>
      </c>
      <c r="AS87" s="14" t="s">
        <v>6470</v>
      </c>
      <c r="AT87" s="14" t="s">
        <v>616</v>
      </c>
      <c r="AU87" s="14">
        <v>2005.0</v>
      </c>
      <c r="AV87" s="14">
        <v>37.0</v>
      </c>
      <c r="AW87" s="14">
        <v>2.0</v>
      </c>
      <c r="AX87" s="14" t="s">
        <v>99</v>
      </c>
      <c r="AY87" s="14" t="s">
        <v>99</v>
      </c>
      <c r="AZ87" s="14" t="s">
        <v>99</v>
      </c>
      <c r="BA87" s="14" t="s">
        <v>99</v>
      </c>
      <c r="BB87" s="14">
        <v>202.0</v>
      </c>
      <c r="BC87" s="14">
        <v>208.0</v>
      </c>
      <c r="BD87" s="14" t="s">
        <v>99</v>
      </c>
      <c r="BE87" s="14" t="s">
        <v>8896</v>
      </c>
      <c r="BF87" s="15" t="str">
        <f>HYPERLINK("http://dx.doi.org/10.1111/j.1744-7429.2005.00027.x","http://dx.doi.org/10.1111/j.1744-7429.2005.00027.x")</f>
        <v>http://dx.doi.org/10.1111/j.1744-7429.2005.00027.x</v>
      </c>
      <c r="BG87" s="14" t="s">
        <v>99</v>
      </c>
      <c r="BH87" s="14" t="s">
        <v>99</v>
      </c>
      <c r="BI87" s="14">
        <v>7.0</v>
      </c>
      <c r="BJ87" s="14" t="s">
        <v>259</v>
      </c>
      <c r="BK87" s="14" t="s">
        <v>122</v>
      </c>
      <c r="BL87" s="14" t="s">
        <v>260</v>
      </c>
      <c r="BM87" s="14" t="s">
        <v>8897</v>
      </c>
      <c r="BN87" s="14" t="s">
        <v>99</v>
      </c>
      <c r="BO87" s="14" t="s">
        <v>99</v>
      </c>
      <c r="BP87" s="14" t="s">
        <v>99</v>
      </c>
      <c r="BQ87" s="14" t="s">
        <v>99</v>
      </c>
      <c r="BR87" s="14" t="s">
        <v>124</v>
      </c>
      <c r="BS87" s="14" t="s">
        <v>8898</v>
      </c>
      <c r="BT87" s="14" t="str">
        <f>HYPERLINK("https%3A%2F%2Fwww.webofscience.com%2Fwos%2Fwoscc%2Ffull-record%2FWOS:000229355500007","View Full Record in Web of Science")</f>
        <v>View Full Record in Web of Science</v>
      </c>
    </row>
    <row r="88" ht="12.75" customHeight="1">
      <c r="A88" s="14" t="s">
        <v>97</v>
      </c>
      <c r="B88" s="14" t="s">
        <v>9066</v>
      </c>
      <c r="C88" s="14" t="s">
        <v>99</v>
      </c>
      <c r="D88" s="14" t="s">
        <v>99</v>
      </c>
      <c r="E88" s="14" t="s">
        <v>99</v>
      </c>
      <c r="F88" s="14" t="s">
        <v>9066</v>
      </c>
      <c r="G88" s="14" t="s">
        <v>99</v>
      </c>
      <c r="H88" s="14" t="s">
        <v>99</v>
      </c>
      <c r="I88" s="14" t="s">
        <v>9067</v>
      </c>
      <c r="J88" s="14" t="s">
        <v>9068</v>
      </c>
      <c r="K88" s="14" t="s">
        <v>99</v>
      </c>
      <c r="L88" s="14" t="s">
        <v>99</v>
      </c>
      <c r="M88" s="14" t="s">
        <v>103</v>
      </c>
      <c r="N88" s="14" t="s">
        <v>104</v>
      </c>
      <c r="O88" s="14" t="s">
        <v>99</v>
      </c>
      <c r="P88" s="14" t="s">
        <v>99</v>
      </c>
      <c r="Q88" s="14" t="s">
        <v>99</v>
      </c>
      <c r="R88" s="14" t="s">
        <v>99</v>
      </c>
      <c r="S88" s="14" t="s">
        <v>99</v>
      </c>
      <c r="T88" s="14" t="s">
        <v>99</v>
      </c>
      <c r="U88" s="14" t="s">
        <v>9069</v>
      </c>
      <c r="V88" s="14" t="s">
        <v>9070</v>
      </c>
      <c r="W88" s="14" t="s">
        <v>9071</v>
      </c>
      <c r="X88" s="14" t="s">
        <v>9072</v>
      </c>
      <c r="Y88" s="14" t="s">
        <v>9073</v>
      </c>
      <c r="Z88" s="14" t="s">
        <v>9074</v>
      </c>
      <c r="AA88" s="14" t="s">
        <v>9075</v>
      </c>
      <c r="AB88" s="14" t="s">
        <v>9076</v>
      </c>
      <c r="AC88" s="14" t="s">
        <v>99</v>
      </c>
      <c r="AD88" s="14" t="s">
        <v>99</v>
      </c>
      <c r="AE88" s="14" t="s">
        <v>99</v>
      </c>
      <c r="AF88" s="14" t="s">
        <v>99</v>
      </c>
      <c r="AG88" s="14">
        <v>89.0</v>
      </c>
      <c r="AH88" s="14">
        <v>66.0</v>
      </c>
      <c r="AI88" s="14">
        <v>80.0</v>
      </c>
      <c r="AJ88" s="14">
        <v>0.0</v>
      </c>
      <c r="AK88" s="14">
        <v>79.0</v>
      </c>
      <c r="AL88" s="14" t="s">
        <v>4621</v>
      </c>
      <c r="AM88" s="14" t="s">
        <v>4622</v>
      </c>
      <c r="AN88" s="14" t="s">
        <v>4623</v>
      </c>
      <c r="AO88" s="14" t="s">
        <v>9077</v>
      </c>
      <c r="AP88" s="14" t="s">
        <v>9078</v>
      </c>
      <c r="AQ88" s="14" t="s">
        <v>99</v>
      </c>
      <c r="AR88" s="14" t="s">
        <v>9068</v>
      </c>
      <c r="AS88" s="14" t="s">
        <v>9079</v>
      </c>
      <c r="AT88" s="14" t="s">
        <v>1058</v>
      </c>
      <c r="AU88" s="14">
        <v>2004.0</v>
      </c>
      <c r="AV88" s="14">
        <v>75.0</v>
      </c>
      <c r="AW88" s="14">
        <v>4.0</v>
      </c>
      <c r="AX88" s="14" t="s">
        <v>99</v>
      </c>
      <c r="AY88" s="14" t="s">
        <v>99</v>
      </c>
      <c r="AZ88" s="14" t="s">
        <v>99</v>
      </c>
      <c r="BA88" s="14" t="s">
        <v>99</v>
      </c>
      <c r="BB88" s="14">
        <v>295.0</v>
      </c>
      <c r="BC88" s="14">
        <v>308.0</v>
      </c>
      <c r="BD88" s="14" t="s">
        <v>99</v>
      </c>
      <c r="BE88" s="14" t="s">
        <v>9080</v>
      </c>
      <c r="BF88" s="15" t="str">
        <f>HYPERLINK("http://dx.doi.org/10.2989/00306520409485458","http://dx.doi.org/10.2989/00306520409485458")</f>
        <v>http://dx.doi.org/10.2989/00306520409485458</v>
      </c>
      <c r="BG88" s="14" t="s">
        <v>99</v>
      </c>
      <c r="BH88" s="14" t="s">
        <v>99</v>
      </c>
      <c r="BI88" s="14">
        <v>14.0</v>
      </c>
      <c r="BJ88" s="14" t="s">
        <v>1183</v>
      </c>
      <c r="BK88" s="14" t="s">
        <v>122</v>
      </c>
      <c r="BL88" s="14" t="s">
        <v>121</v>
      </c>
      <c r="BM88" s="14" t="s">
        <v>9081</v>
      </c>
      <c r="BN88" s="14" t="s">
        <v>99</v>
      </c>
      <c r="BO88" s="14" t="s">
        <v>99</v>
      </c>
      <c r="BP88" s="14" t="s">
        <v>99</v>
      </c>
      <c r="BQ88" s="14" t="s">
        <v>99</v>
      </c>
      <c r="BR88" s="14" t="s">
        <v>124</v>
      </c>
      <c r="BS88" s="14" t="s">
        <v>9082</v>
      </c>
      <c r="BT88" s="14" t="str">
        <f>HYPERLINK("https%3A%2F%2Fwww.webofscience.com%2Fwos%2Fwoscc%2Ffull-record%2FWOS:000226678100020","View Full Record in Web of Science")</f>
        <v>View Full Record in Web of Science</v>
      </c>
    </row>
    <row r="89" ht="12.75" customHeight="1">
      <c r="A89" s="14" t="s">
        <v>97</v>
      </c>
      <c r="B89" s="14" t="s">
        <v>9101</v>
      </c>
      <c r="C89" s="14" t="s">
        <v>99</v>
      </c>
      <c r="D89" s="14" t="s">
        <v>99</v>
      </c>
      <c r="E89" s="14" t="s">
        <v>99</v>
      </c>
      <c r="F89" s="14" t="s">
        <v>9101</v>
      </c>
      <c r="G89" s="14" t="s">
        <v>99</v>
      </c>
      <c r="H89" s="14" t="s">
        <v>99</v>
      </c>
      <c r="I89" s="14" t="s">
        <v>9102</v>
      </c>
      <c r="J89" s="14" t="s">
        <v>851</v>
      </c>
      <c r="K89" s="14" t="s">
        <v>99</v>
      </c>
      <c r="L89" s="14" t="s">
        <v>99</v>
      </c>
      <c r="M89" s="14" t="s">
        <v>103</v>
      </c>
      <c r="N89" s="14" t="s">
        <v>104</v>
      </c>
      <c r="O89" s="14" t="s">
        <v>99</v>
      </c>
      <c r="P89" s="14" t="s">
        <v>99</v>
      </c>
      <c r="Q89" s="14" t="s">
        <v>99</v>
      </c>
      <c r="R89" s="14" t="s">
        <v>99</v>
      </c>
      <c r="S89" s="14" t="s">
        <v>99</v>
      </c>
      <c r="T89" s="14" t="s">
        <v>9103</v>
      </c>
      <c r="U89" s="14" t="s">
        <v>9104</v>
      </c>
      <c r="V89" s="14" t="s">
        <v>9105</v>
      </c>
      <c r="W89" s="14" t="s">
        <v>9106</v>
      </c>
      <c r="X89" s="14" t="s">
        <v>9107</v>
      </c>
      <c r="Y89" s="14" t="s">
        <v>9108</v>
      </c>
      <c r="Z89" s="14" t="s">
        <v>9109</v>
      </c>
      <c r="AA89" s="14" t="s">
        <v>9110</v>
      </c>
      <c r="AB89" s="14" t="s">
        <v>9111</v>
      </c>
      <c r="AC89" s="14" t="s">
        <v>99</v>
      </c>
      <c r="AD89" s="14" t="s">
        <v>99</v>
      </c>
      <c r="AE89" s="14" t="s">
        <v>99</v>
      </c>
      <c r="AF89" s="14" t="s">
        <v>99</v>
      </c>
      <c r="AG89" s="14">
        <v>56.0</v>
      </c>
      <c r="AH89" s="14">
        <v>92.0</v>
      </c>
      <c r="AI89" s="14">
        <v>110.0</v>
      </c>
      <c r="AJ89" s="14">
        <v>0.0</v>
      </c>
      <c r="AK89" s="14">
        <v>108.0</v>
      </c>
      <c r="AL89" s="14" t="s">
        <v>341</v>
      </c>
      <c r="AM89" s="14" t="s">
        <v>342</v>
      </c>
      <c r="AN89" s="14" t="s">
        <v>343</v>
      </c>
      <c r="AO89" s="14" t="s">
        <v>864</v>
      </c>
      <c r="AP89" s="14" t="s">
        <v>865</v>
      </c>
      <c r="AQ89" s="14" t="s">
        <v>99</v>
      </c>
      <c r="AR89" s="14" t="s">
        <v>866</v>
      </c>
      <c r="AS89" s="14" t="s">
        <v>867</v>
      </c>
      <c r="AT89" s="14" t="s">
        <v>348</v>
      </c>
      <c r="AU89" s="14">
        <v>2004.0</v>
      </c>
      <c r="AV89" s="14">
        <v>13.0</v>
      </c>
      <c r="AW89" s="14">
        <v>6.0</v>
      </c>
      <c r="AX89" s="14" t="s">
        <v>99</v>
      </c>
      <c r="AY89" s="14" t="s">
        <v>99</v>
      </c>
      <c r="AZ89" s="14" t="s">
        <v>99</v>
      </c>
      <c r="BA89" s="14" t="s">
        <v>99</v>
      </c>
      <c r="BB89" s="14">
        <v>553.0</v>
      </c>
      <c r="BC89" s="14">
        <v>565.0</v>
      </c>
      <c r="BD89" s="14" t="s">
        <v>99</v>
      </c>
      <c r="BE89" s="14" t="s">
        <v>9112</v>
      </c>
      <c r="BF89" s="15" t="str">
        <f>HYPERLINK("http://dx.doi.org/10.1111/j.1466-822X.2004.00105.x","http://dx.doi.org/10.1111/j.1466-822X.2004.00105.x")</f>
        <v>http://dx.doi.org/10.1111/j.1466-822X.2004.00105.x</v>
      </c>
      <c r="BG89" s="14" t="s">
        <v>99</v>
      </c>
      <c r="BH89" s="14" t="s">
        <v>99</v>
      </c>
      <c r="BI89" s="14">
        <v>13.0</v>
      </c>
      <c r="BJ89" s="14" t="s">
        <v>869</v>
      </c>
      <c r="BK89" s="14" t="s">
        <v>122</v>
      </c>
      <c r="BL89" s="14" t="s">
        <v>870</v>
      </c>
      <c r="BM89" s="14" t="s">
        <v>9113</v>
      </c>
      <c r="BN89" s="14" t="s">
        <v>99</v>
      </c>
      <c r="BO89" s="14" t="s">
        <v>99</v>
      </c>
      <c r="BP89" s="14" t="s">
        <v>99</v>
      </c>
      <c r="BQ89" s="14" t="s">
        <v>99</v>
      </c>
      <c r="BR89" s="14" t="s">
        <v>124</v>
      </c>
      <c r="BS89" s="14" t="s">
        <v>9114</v>
      </c>
      <c r="BT89" s="14" t="str">
        <f>HYPERLINK("https%3A%2F%2Fwww.webofscience.com%2Fwos%2Fwoscc%2Ffull-record%2FWOS:000224648000008","View Full Record in Web of Science")</f>
        <v>View Full Record in Web of Science</v>
      </c>
    </row>
    <row r="90" ht="12.75" customHeight="1">
      <c r="A90" s="14" t="s">
        <v>97</v>
      </c>
      <c r="B90" s="14" t="s">
        <v>9126</v>
      </c>
      <c r="C90" s="14" t="s">
        <v>99</v>
      </c>
      <c r="D90" s="14" t="s">
        <v>99</v>
      </c>
      <c r="E90" s="14" t="s">
        <v>99</v>
      </c>
      <c r="F90" s="14" t="s">
        <v>9126</v>
      </c>
      <c r="G90" s="14" t="s">
        <v>99</v>
      </c>
      <c r="H90" s="14" t="s">
        <v>99</v>
      </c>
      <c r="I90" s="14" t="s">
        <v>9127</v>
      </c>
      <c r="J90" s="14" t="s">
        <v>9128</v>
      </c>
      <c r="K90" s="14" t="s">
        <v>99</v>
      </c>
      <c r="L90" s="14" t="s">
        <v>99</v>
      </c>
      <c r="M90" s="14" t="s">
        <v>103</v>
      </c>
      <c r="N90" s="14" t="s">
        <v>104</v>
      </c>
      <c r="O90" s="14" t="s">
        <v>99</v>
      </c>
      <c r="P90" s="14" t="s">
        <v>99</v>
      </c>
      <c r="Q90" s="14" t="s">
        <v>99</v>
      </c>
      <c r="R90" s="14" t="s">
        <v>99</v>
      </c>
      <c r="S90" s="14" t="s">
        <v>99</v>
      </c>
      <c r="T90" s="14" t="s">
        <v>9129</v>
      </c>
      <c r="U90" s="14" t="s">
        <v>9130</v>
      </c>
      <c r="V90" s="14" t="s">
        <v>9131</v>
      </c>
      <c r="W90" s="14" t="s">
        <v>9132</v>
      </c>
      <c r="X90" s="14" t="s">
        <v>9133</v>
      </c>
      <c r="Y90" s="14" t="s">
        <v>9134</v>
      </c>
      <c r="Z90" s="14" t="s">
        <v>9135</v>
      </c>
      <c r="AA90" s="14" t="s">
        <v>9136</v>
      </c>
      <c r="AB90" s="14" t="s">
        <v>9137</v>
      </c>
      <c r="AC90" s="14" t="s">
        <v>99</v>
      </c>
      <c r="AD90" s="14" t="s">
        <v>99</v>
      </c>
      <c r="AE90" s="14" t="s">
        <v>99</v>
      </c>
      <c r="AF90" s="14" t="s">
        <v>99</v>
      </c>
      <c r="AG90" s="14">
        <v>30.0</v>
      </c>
      <c r="AH90" s="14">
        <v>292.0</v>
      </c>
      <c r="AI90" s="14">
        <v>330.0</v>
      </c>
      <c r="AJ90" s="14">
        <v>1.0</v>
      </c>
      <c r="AK90" s="14">
        <v>109.0</v>
      </c>
      <c r="AL90" s="14" t="s">
        <v>341</v>
      </c>
      <c r="AM90" s="14" t="s">
        <v>342</v>
      </c>
      <c r="AN90" s="14" t="s">
        <v>343</v>
      </c>
      <c r="AO90" s="14" t="s">
        <v>9138</v>
      </c>
      <c r="AP90" s="14" t="s">
        <v>9139</v>
      </c>
      <c r="AQ90" s="14" t="s">
        <v>99</v>
      </c>
      <c r="AR90" s="14" t="s">
        <v>9140</v>
      </c>
      <c r="AS90" s="14" t="s">
        <v>9141</v>
      </c>
      <c r="AT90" s="14" t="s">
        <v>2372</v>
      </c>
      <c r="AU90" s="14">
        <v>2004.0</v>
      </c>
      <c r="AV90" s="14">
        <v>18.0</v>
      </c>
      <c r="AW90" s="14">
        <v>5.0</v>
      </c>
      <c r="AX90" s="14" t="s">
        <v>99</v>
      </c>
      <c r="AY90" s="14" t="s">
        <v>99</v>
      </c>
      <c r="AZ90" s="14" t="s">
        <v>99</v>
      </c>
      <c r="BA90" s="14" t="s">
        <v>99</v>
      </c>
      <c r="BB90" s="14">
        <v>625.0</v>
      </c>
      <c r="BC90" s="14">
        <v>630.0</v>
      </c>
      <c r="BD90" s="14" t="s">
        <v>99</v>
      </c>
      <c r="BE90" s="14" t="s">
        <v>9142</v>
      </c>
      <c r="BF90" s="15" t="str">
        <f>HYPERLINK("http://dx.doi.org/10.1111/j.0269-8463.2004.00903.x","http://dx.doi.org/10.1111/j.0269-8463.2004.00903.x")</f>
        <v>http://dx.doi.org/10.1111/j.0269-8463.2004.00903.x</v>
      </c>
      <c r="BG90" s="14" t="s">
        <v>99</v>
      </c>
      <c r="BH90" s="14" t="s">
        <v>99</v>
      </c>
      <c r="BI90" s="14">
        <v>6.0</v>
      </c>
      <c r="BJ90" s="14" t="s">
        <v>259</v>
      </c>
      <c r="BK90" s="14" t="s">
        <v>122</v>
      </c>
      <c r="BL90" s="14" t="s">
        <v>260</v>
      </c>
      <c r="BM90" s="14" t="s">
        <v>9143</v>
      </c>
      <c r="BN90" s="14" t="s">
        <v>99</v>
      </c>
      <c r="BO90" s="14" t="s">
        <v>6574</v>
      </c>
      <c r="BP90" s="14" t="s">
        <v>99</v>
      </c>
      <c r="BQ90" s="14" t="s">
        <v>99</v>
      </c>
      <c r="BR90" s="14" t="s">
        <v>124</v>
      </c>
      <c r="BS90" s="14" t="s">
        <v>9144</v>
      </c>
      <c r="BT90" s="14" t="str">
        <f>HYPERLINK("https%3A%2F%2Fwww.webofscience.com%2Fwos%2Fwoscc%2Ffull-record%2FWOS:000224000900001","View Full Record in Web of Science")</f>
        <v>View Full Record in Web of Science</v>
      </c>
    </row>
    <row r="91" ht="12.75" customHeight="1">
      <c r="A91" s="14" t="s">
        <v>97</v>
      </c>
      <c r="B91" s="14" t="s">
        <v>9157</v>
      </c>
      <c r="C91" s="14" t="s">
        <v>99</v>
      </c>
      <c r="D91" s="14" t="s">
        <v>99</v>
      </c>
      <c r="E91" s="14" t="s">
        <v>99</v>
      </c>
      <c r="F91" s="14" t="s">
        <v>9157</v>
      </c>
      <c r="G91" s="14" t="s">
        <v>99</v>
      </c>
      <c r="H91" s="14" t="s">
        <v>99</v>
      </c>
      <c r="I91" s="14" t="s">
        <v>9158</v>
      </c>
      <c r="J91" s="14" t="s">
        <v>328</v>
      </c>
      <c r="K91" s="14" t="s">
        <v>99</v>
      </c>
      <c r="L91" s="14" t="s">
        <v>99</v>
      </c>
      <c r="M91" s="14" t="s">
        <v>103</v>
      </c>
      <c r="N91" s="14" t="s">
        <v>104</v>
      </c>
      <c r="O91" s="14" t="s">
        <v>99</v>
      </c>
      <c r="P91" s="14" t="s">
        <v>99</v>
      </c>
      <c r="Q91" s="14" t="s">
        <v>99</v>
      </c>
      <c r="R91" s="14" t="s">
        <v>99</v>
      </c>
      <c r="S91" s="14" t="s">
        <v>99</v>
      </c>
      <c r="T91" s="14" t="s">
        <v>9159</v>
      </c>
      <c r="U91" s="14" t="s">
        <v>9160</v>
      </c>
      <c r="V91" s="14" t="s">
        <v>9161</v>
      </c>
      <c r="W91" s="14" t="s">
        <v>9162</v>
      </c>
      <c r="X91" s="14" t="s">
        <v>9163</v>
      </c>
      <c r="Y91" s="14" t="s">
        <v>9164</v>
      </c>
      <c r="Z91" s="14" t="s">
        <v>9165</v>
      </c>
      <c r="AA91" s="14" t="s">
        <v>9166</v>
      </c>
      <c r="AB91" s="14" t="s">
        <v>9167</v>
      </c>
      <c r="AC91" s="14" t="s">
        <v>99</v>
      </c>
      <c r="AD91" s="14" t="s">
        <v>99</v>
      </c>
      <c r="AE91" s="14" t="s">
        <v>99</v>
      </c>
      <c r="AF91" s="14" t="s">
        <v>99</v>
      </c>
      <c r="AG91" s="14">
        <v>69.0</v>
      </c>
      <c r="AH91" s="14">
        <v>551.0</v>
      </c>
      <c r="AI91" s="14">
        <v>646.0</v>
      </c>
      <c r="AJ91" s="14">
        <v>3.0</v>
      </c>
      <c r="AK91" s="14">
        <v>202.0</v>
      </c>
      <c r="AL91" s="14" t="s">
        <v>341</v>
      </c>
      <c r="AM91" s="14" t="s">
        <v>342</v>
      </c>
      <c r="AN91" s="14" t="s">
        <v>343</v>
      </c>
      <c r="AO91" s="14" t="s">
        <v>344</v>
      </c>
      <c r="AP91" s="14" t="s">
        <v>345</v>
      </c>
      <c r="AQ91" s="14" t="s">
        <v>99</v>
      </c>
      <c r="AR91" s="14" t="s">
        <v>346</v>
      </c>
      <c r="AS91" s="14" t="s">
        <v>347</v>
      </c>
      <c r="AT91" s="14" t="s">
        <v>421</v>
      </c>
      <c r="AU91" s="14">
        <v>2004.0</v>
      </c>
      <c r="AV91" s="14">
        <v>10.0</v>
      </c>
      <c r="AW91" s="14">
        <v>9.0</v>
      </c>
      <c r="AX91" s="14" t="s">
        <v>99</v>
      </c>
      <c r="AY91" s="14" t="s">
        <v>99</v>
      </c>
      <c r="AZ91" s="14" t="s">
        <v>99</v>
      </c>
      <c r="BA91" s="14" t="s">
        <v>99</v>
      </c>
      <c r="BB91" s="14">
        <v>1618.0</v>
      </c>
      <c r="BC91" s="14">
        <v>1626.0</v>
      </c>
      <c r="BD91" s="14" t="s">
        <v>99</v>
      </c>
      <c r="BE91" s="14" t="s">
        <v>9168</v>
      </c>
      <c r="BF91" s="15" t="str">
        <f>HYPERLINK("http://dx.doi.org/10.1111/j.1365-2486.2004.00828.x","http://dx.doi.org/10.1111/j.1365-2486.2004.00828.x")</f>
        <v>http://dx.doi.org/10.1111/j.1365-2486.2004.00828.x</v>
      </c>
      <c r="BG91" s="14" t="s">
        <v>99</v>
      </c>
      <c r="BH91" s="14" t="s">
        <v>99</v>
      </c>
      <c r="BI91" s="14">
        <v>9.0</v>
      </c>
      <c r="BJ91" s="14" t="s">
        <v>351</v>
      </c>
      <c r="BK91" s="14" t="s">
        <v>122</v>
      </c>
      <c r="BL91" s="14" t="s">
        <v>352</v>
      </c>
      <c r="BM91" s="14" t="s">
        <v>9169</v>
      </c>
      <c r="BN91" s="14" t="s">
        <v>99</v>
      </c>
      <c r="BO91" s="14" t="s">
        <v>99</v>
      </c>
      <c r="BP91" s="14" t="s">
        <v>99</v>
      </c>
      <c r="BQ91" s="14" t="s">
        <v>99</v>
      </c>
      <c r="BR91" s="14" t="s">
        <v>124</v>
      </c>
      <c r="BS91" s="14" t="s">
        <v>9170</v>
      </c>
      <c r="BT91" s="14" t="str">
        <f>HYPERLINK("https%3A%2F%2Fwww.webofscience.com%2Fwos%2Fwoscc%2Ffull-record%2FWOS:000223817000017","View Full Record in Web of Science")</f>
        <v>View Full Record in Web of Science</v>
      </c>
    </row>
    <row r="92" ht="12.75" customHeight="1">
      <c r="A92" s="14" t="s">
        <v>97</v>
      </c>
      <c r="B92" s="14" t="s">
        <v>9198</v>
      </c>
      <c r="C92" s="14" t="s">
        <v>99</v>
      </c>
      <c r="D92" s="14" t="s">
        <v>99</v>
      </c>
      <c r="E92" s="14" t="s">
        <v>99</v>
      </c>
      <c r="F92" s="14" t="s">
        <v>9198</v>
      </c>
      <c r="G92" s="14" t="s">
        <v>99</v>
      </c>
      <c r="H92" s="14" t="s">
        <v>99</v>
      </c>
      <c r="I92" s="14" t="s">
        <v>9199</v>
      </c>
      <c r="J92" s="14" t="s">
        <v>3413</v>
      </c>
      <c r="K92" s="14" t="s">
        <v>99</v>
      </c>
      <c r="L92" s="14" t="s">
        <v>99</v>
      </c>
      <c r="M92" s="14" t="s">
        <v>103</v>
      </c>
      <c r="N92" s="14" t="s">
        <v>104</v>
      </c>
      <c r="O92" s="14" t="s">
        <v>99</v>
      </c>
      <c r="P92" s="14" t="s">
        <v>99</v>
      </c>
      <c r="Q92" s="14" t="s">
        <v>99</v>
      </c>
      <c r="R92" s="14" t="s">
        <v>99</v>
      </c>
      <c r="S92" s="14" t="s">
        <v>99</v>
      </c>
      <c r="T92" s="14" t="s">
        <v>9200</v>
      </c>
      <c r="U92" s="14" t="s">
        <v>9201</v>
      </c>
      <c r="V92" s="14" t="s">
        <v>9202</v>
      </c>
      <c r="W92" s="14" t="s">
        <v>9203</v>
      </c>
      <c r="X92" s="14" t="s">
        <v>7201</v>
      </c>
      <c r="Y92" s="14" t="s">
        <v>9204</v>
      </c>
      <c r="Z92" s="14" t="s">
        <v>9205</v>
      </c>
      <c r="AA92" s="14" t="s">
        <v>99</v>
      </c>
      <c r="AB92" s="14" t="s">
        <v>9206</v>
      </c>
      <c r="AC92" s="14" t="s">
        <v>99</v>
      </c>
      <c r="AD92" s="14" t="s">
        <v>99</v>
      </c>
      <c r="AE92" s="14" t="s">
        <v>99</v>
      </c>
      <c r="AF92" s="14" t="s">
        <v>99</v>
      </c>
      <c r="AG92" s="14">
        <v>49.0</v>
      </c>
      <c r="AH92" s="14">
        <v>47.0</v>
      </c>
      <c r="AI92" s="14">
        <v>60.0</v>
      </c>
      <c r="AJ92" s="14">
        <v>2.0</v>
      </c>
      <c r="AK92" s="14">
        <v>70.0</v>
      </c>
      <c r="AL92" s="14" t="s">
        <v>1033</v>
      </c>
      <c r="AM92" s="14" t="s">
        <v>442</v>
      </c>
      <c r="AN92" s="14" t="s">
        <v>1034</v>
      </c>
      <c r="AO92" s="14" t="s">
        <v>3425</v>
      </c>
      <c r="AP92" s="14" t="s">
        <v>99</v>
      </c>
      <c r="AQ92" s="14" t="s">
        <v>99</v>
      </c>
      <c r="AR92" s="14" t="s">
        <v>3427</v>
      </c>
      <c r="AS92" s="14" t="s">
        <v>3428</v>
      </c>
      <c r="AT92" s="14" t="s">
        <v>3233</v>
      </c>
      <c r="AU92" s="14">
        <v>2004.0</v>
      </c>
      <c r="AV92" s="14">
        <v>174.0</v>
      </c>
      <c r="AW92" s="14">
        <v>4.0</v>
      </c>
      <c r="AX92" s="14" t="s">
        <v>99</v>
      </c>
      <c r="AY92" s="14" t="s">
        <v>99</v>
      </c>
      <c r="AZ92" s="14" t="s">
        <v>99</v>
      </c>
      <c r="BA92" s="14" t="s">
        <v>99</v>
      </c>
      <c r="BB92" s="14">
        <v>347.0</v>
      </c>
      <c r="BC92" s="14">
        <v>357.0</v>
      </c>
      <c r="BD92" s="14" t="s">
        <v>99</v>
      </c>
      <c r="BE92" s="14" t="s">
        <v>9207</v>
      </c>
      <c r="BF92" s="15" t="str">
        <f>HYPERLINK("http://dx.doi.org/10.1016/j.ecolmodel.2003.07.012","http://dx.doi.org/10.1016/j.ecolmodel.2003.07.012")</f>
        <v>http://dx.doi.org/10.1016/j.ecolmodel.2003.07.012</v>
      </c>
      <c r="BG92" s="14" t="s">
        <v>99</v>
      </c>
      <c r="BH92" s="14" t="s">
        <v>99</v>
      </c>
      <c r="BI92" s="14">
        <v>11.0</v>
      </c>
      <c r="BJ92" s="14" t="s">
        <v>259</v>
      </c>
      <c r="BK92" s="14" t="s">
        <v>122</v>
      </c>
      <c r="BL92" s="14" t="s">
        <v>260</v>
      </c>
      <c r="BM92" s="14" t="s">
        <v>9208</v>
      </c>
      <c r="BN92" s="14" t="s">
        <v>99</v>
      </c>
      <c r="BO92" s="14" t="s">
        <v>99</v>
      </c>
      <c r="BP92" s="14" t="s">
        <v>99</v>
      </c>
      <c r="BQ92" s="14" t="s">
        <v>99</v>
      </c>
      <c r="BR92" s="14" t="s">
        <v>124</v>
      </c>
      <c r="BS92" s="14" t="s">
        <v>9209</v>
      </c>
      <c r="BT92" s="14" t="str">
        <f>HYPERLINK("https%3A%2F%2Fwww.webofscience.com%2Fwos%2Fwoscc%2Ffull-record%2FWOS:000221284100002","View Full Record in Web of Science")</f>
        <v>View Full Record in Web of Science</v>
      </c>
    </row>
    <row r="93" ht="12.75" customHeight="1">
      <c r="A93" s="14" t="s">
        <v>97</v>
      </c>
      <c r="B93" s="14" t="s">
        <v>9210</v>
      </c>
      <c r="C93" s="14" t="s">
        <v>99</v>
      </c>
      <c r="D93" s="14" t="s">
        <v>99</v>
      </c>
      <c r="E93" s="14" t="s">
        <v>99</v>
      </c>
      <c r="F93" s="14" t="s">
        <v>9210</v>
      </c>
      <c r="G93" s="14" t="s">
        <v>99</v>
      </c>
      <c r="H93" s="14" t="s">
        <v>99</v>
      </c>
      <c r="I93" s="14" t="s">
        <v>9211</v>
      </c>
      <c r="J93" s="14" t="s">
        <v>9212</v>
      </c>
      <c r="K93" s="14" t="s">
        <v>99</v>
      </c>
      <c r="L93" s="14" t="s">
        <v>99</v>
      </c>
      <c r="M93" s="14" t="s">
        <v>103</v>
      </c>
      <c r="N93" s="14" t="s">
        <v>104</v>
      </c>
      <c r="O93" s="14" t="s">
        <v>99</v>
      </c>
      <c r="P93" s="14" t="s">
        <v>99</v>
      </c>
      <c r="Q93" s="14" t="s">
        <v>99</v>
      </c>
      <c r="R93" s="14" t="s">
        <v>99</v>
      </c>
      <c r="S93" s="14" t="s">
        <v>99</v>
      </c>
      <c r="T93" s="14" t="s">
        <v>99</v>
      </c>
      <c r="U93" s="14" t="s">
        <v>9213</v>
      </c>
      <c r="V93" s="14" t="s">
        <v>9214</v>
      </c>
      <c r="W93" s="14" t="s">
        <v>9215</v>
      </c>
      <c r="X93" s="14" t="s">
        <v>9216</v>
      </c>
      <c r="Y93" s="14" t="s">
        <v>9217</v>
      </c>
      <c r="Z93" s="14" t="s">
        <v>7872</v>
      </c>
      <c r="AA93" s="14" t="s">
        <v>9218</v>
      </c>
      <c r="AB93" s="14" t="s">
        <v>9219</v>
      </c>
      <c r="AC93" s="14" t="s">
        <v>99</v>
      </c>
      <c r="AD93" s="14" t="s">
        <v>99</v>
      </c>
      <c r="AE93" s="14" t="s">
        <v>99</v>
      </c>
      <c r="AF93" s="14" t="s">
        <v>99</v>
      </c>
      <c r="AG93" s="14">
        <v>55.0</v>
      </c>
      <c r="AH93" s="14">
        <v>48.0</v>
      </c>
      <c r="AI93" s="14">
        <v>61.0</v>
      </c>
      <c r="AJ93" s="14">
        <v>1.0</v>
      </c>
      <c r="AK93" s="14">
        <v>29.0</v>
      </c>
      <c r="AL93" s="14" t="s">
        <v>8747</v>
      </c>
      <c r="AM93" s="14" t="s">
        <v>8709</v>
      </c>
      <c r="AN93" s="14" t="s">
        <v>8748</v>
      </c>
      <c r="AO93" s="14" t="s">
        <v>9220</v>
      </c>
      <c r="AP93" s="14" t="s">
        <v>9221</v>
      </c>
      <c r="AQ93" s="14" t="s">
        <v>99</v>
      </c>
      <c r="AR93" s="14" t="s">
        <v>9222</v>
      </c>
      <c r="AS93" s="14" t="s">
        <v>9223</v>
      </c>
      <c r="AT93" s="14" t="s">
        <v>616</v>
      </c>
      <c r="AU93" s="14">
        <v>2004.0</v>
      </c>
      <c r="AV93" s="14">
        <v>82.0</v>
      </c>
      <c r="AW93" s="14">
        <v>6.0</v>
      </c>
      <c r="AX93" s="14" t="s">
        <v>99</v>
      </c>
      <c r="AY93" s="14" t="s">
        <v>99</v>
      </c>
      <c r="AZ93" s="14" t="s">
        <v>99</v>
      </c>
      <c r="BA93" s="14" t="s">
        <v>99</v>
      </c>
      <c r="BB93" s="14">
        <v>851.0</v>
      </c>
      <c r="BC93" s="14">
        <v>858.0</v>
      </c>
      <c r="BD93" s="14" t="s">
        <v>99</v>
      </c>
      <c r="BE93" s="14" t="s">
        <v>9224</v>
      </c>
      <c r="BF93" s="15" t="str">
        <f>HYPERLINK("http://dx.doi.org/10.1139/Z04-064","http://dx.doi.org/10.1139/Z04-064")</f>
        <v>http://dx.doi.org/10.1139/Z04-064</v>
      </c>
      <c r="BG93" s="14" t="s">
        <v>99</v>
      </c>
      <c r="BH93" s="14" t="s">
        <v>99</v>
      </c>
      <c r="BI93" s="14">
        <v>8.0</v>
      </c>
      <c r="BJ93" s="14" t="s">
        <v>121</v>
      </c>
      <c r="BK93" s="14" t="s">
        <v>122</v>
      </c>
      <c r="BL93" s="14" t="s">
        <v>121</v>
      </c>
      <c r="BM93" s="14" t="s">
        <v>9225</v>
      </c>
      <c r="BN93" s="14" t="s">
        <v>99</v>
      </c>
      <c r="BO93" s="14" t="s">
        <v>425</v>
      </c>
      <c r="BP93" s="14" t="s">
        <v>99</v>
      </c>
      <c r="BQ93" s="14" t="s">
        <v>99</v>
      </c>
      <c r="BR93" s="14" t="s">
        <v>124</v>
      </c>
      <c r="BS93" s="14" t="s">
        <v>9226</v>
      </c>
      <c r="BT93" s="14" t="str">
        <f>HYPERLINK("https%3A%2F%2Fwww.webofscience.com%2Fwos%2Fwoscc%2Ffull-record%2FWOS:000223983200003","View Full Record in Web of Science")</f>
        <v>View Full Record in Web of Science</v>
      </c>
    </row>
    <row r="94" ht="12.75" customHeight="1">
      <c r="A94" s="14" t="s">
        <v>97</v>
      </c>
      <c r="B94" s="14" t="s">
        <v>9227</v>
      </c>
      <c r="C94" s="14" t="s">
        <v>99</v>
      </c>
      <c r="D94" s="14" t="s">
        <v>99</v>
      </c>
      <c r="E94" s="14" t="s">
        <v>99</v>
      </c>
      <c r="F94" s="14" t="s">
        <v>9227</v>
      </c>
      <c r="G94" s="14" t="s">
        <v>99</v>
      </c>
      <c r="H94" s="14" t="s">
        <v>99</v>
      </c>
      <c r="I94" s="14" t="s">
        <v>9228</v>
      </c>
      <c r="J94" s="14" t="s">
        <v>3355</v>
      </c>
      <c r="K94" s="14" t="s">
        <v>99</v>
      </c>
      <c r="L94" s="14" t="s">
        <v>99</v>
      </c>
      <c r="M94" s="14" t="s">
        <v>103</v>
      </c>
      <c r="N94" s="14" t="s">
        <v>104</v>
      </c>
      <c r="O94" s="14" t="s">
        <v>99</v>
      </c>
      <c r="P94" s="14" t="s">
        <v>99</v>
      </c>
      <c r="Q94" s="14" t="s">
        <v>99</v>
      </c>
      <c r="R94" s="14" t="s">
        <v>99</v>
      </c>
      <c r="S94" s="14" t="s">
        <v>99</v>
      </c>
      <c r="T94" s="14" t="s">
        <v>99</v>
      </c>
      <c r="U94" s="14" t="s">
        <v>9229</v>
      </c>
      <c r="V94" s="14" t="s">
        <v>9230</v>
      </c>
      <c r="W94" s="14" t="s">
        <v>9231</v>
      </c>
      <c r="X94" s="14" t="s">
        <v>9232</v>
      </c>
      <c r="Y94" s="14" t="s">
        <v>9233</v>
      </c>
      <c r="Z94" s="14" t="s">
        <v>9234</v>
      </c>
      <c r="AA94" s="14" t="s">
        <v>8355</v>
      </c>
      <c r="AB94" s="14" t="s">
        <v>8356</v>
      </c>
      <c r="AC94" s="14" t="s">
        <v>99</v>
      </c>
      <c r="AD94" s="14" t="s">
        <v>99</v>
      </c>
      <c r="AE94" s="14" t="s">
        <v>99</v>
      </c>
      <c r="AF94" s="14" t="s">
        <v>99</v>
      </c>
      <c r="AG94" s="14">
        <v>83.0</v>
      </c>
      <c r="AH94" s="14">
        <v>207.0</v>
      </c>
      <c r="AI94" s="14">
        <v>232.0</v>
      </c>
      <c r="AJ94" s="14">
        <v>0.0</v>
      </c>
      <c r="AK94" s="14">
        <v>94.0</v>
      </c>
      <c r="AL94" s="14" t="s">
        <v>341</v>
      </c>
      <c r="AM94" s="14" t="s">
        <v>342</v>
      </c>
      <c r="AN94" s="14" t="s">
        <v>343</v>
      </c>
      <c r="AO94" s="14" t="s">
        <v>3367</v>
      </c>
      <c r="AP94" s="14" t="s">
        <v>3368</v>
      </c>
      <c r="AQ94" s="14" t="s">
        <v>99</v>
      </c>
      <c r="AR94" s="14" t="s">
        <v>3355</v>
      </c>
      <c r="AS94" s="14" t="s">
        <v>3369</v>
      </c>
      <c r="AT94" s="14" t="s">
        <v>616</v>
      </c>
      <c r="AU94" s="14">
        <v>2004.0</v>
      </c>
      <c r="AV94" s="14">
        <v>27.0</v>
      </c>
      <c r="AW94" s="14">
        <v>3.0</v>
      </c>
      <c r="AX94" s="14" t="s">
        <v>99</v>
      </c>
      <c r="AY94" s="14" t="s">
        <v>99</v>
      </c>
      <c r="AZ94" s="14" t="s">
        <v>99</v>
      </c>
      <c r="BA94" s="14" t="s">
        <v>99</v>
      </c>
      <c r="BB94" s="14">
        <v>366.0</v>
      </c>
      <c r="BC94" s="14">
        <v>380.0</v>
      </c>
      <c r="BD94" s="14" t="s">
        <v>99</v>
      </c>
      <c r="BE94" s="14" t="s">
        <v>9235</v>
      </c>
      <c r="BF94" s="15" t="str">
        <f>HYPERLINK("http://dx.doi.org/10.1111/j.0906-7590.2004.03823.x","http://dx.doi.org/10.1111/j.0906-7590.2004.03823.x")</f>
        <v>http://dx.doi.org/10.1111/j.0906-7590.2004.03823.x</v>
      </c>
      <c r="BG94" s="14" t="s">
        <v>99</v>
      </c>
      <c r="BH94" s="14" t="s">
        <v>99</v>
      </c>
      <c r="BI94" s="14">
        <v>15.0</v>
      </c>
      <c r="BJ94" s="14" t="s">
        <v>550</v>
      </c>
      <c r="BK94" s="14" t="s">
        <v>122</v>
      </c>
      <c r="BL94" s="14" t="s">
        <v>352</v>
      </c>
      <c r="BM94" s="14" t="s">
        <v>9236</v>
      </c>
      <c r="BN94" s="14" t="s">
        <v>99</v>
      </c>
      <c r="BO94" s="14" t="s">
        <v>99</v>
      </c>
      <c r="BP94" s="14" t="s">
        <v>99</v>
      </c>
      <c r="BQ94" s="14" t="s">
        <v>99</v>
      </c>
      <c r="BR94" s="14" t="s">
        <v>124</v>
      </c>
      <c r="BS94" s="14" t="s">
        <v>9237</v>
      </c>
      <c r="BT94" s="14" t="str">
        <f>HYPERLINK("https%3A%2F%2Fwww.webofscience.com%2Fwos%2Fwoscc%2Ffull-record%2FWOS:000221421200010","View Full Record in Web of Science")</f>
        <v>View Full Record in Web of Science</v>
      </c>
    </row>
    <row r="95" ht="12.75" customHeight="1">
      <c r="A95" s="14" t="s">
        <v>97</v>
      </c>
      <c r="B95" s="14" t="s">
        <v>9294</v>
      </c>
      <c r="C95" s="14" t="s">
        <v>99</v>
      </c>
      <c r="D95" s="14" t="s">
        <v>99</v>
      </c>
      <c r="E95" s="14" t="s">
        <v>99</v>
      </c>
      <c r="F95" s="14" t="s">
        <v>9294</v>
      </c>
      <c r="G95" s="14" t="s">
        <v>99</v>
      </c>
      <c r="H95" s="14" t="s">
        <v>99</v>
      </c>
      <c r="I95" s="14" t="s">
        <v>9295</v>
      </c>
      <c r="J95" s="14" t="s">
        <v>900</v>
      </c>
      <c r="K95" s="14" t="s">
        <v>99</v>
      </c>
      <c r="L95" s="14" t="s">
        <v>99</v>
      </c>
      <c r="M95" s="14" t="s">
        <v>103</v>
      </c>
      <c r="N95" s="14" t="s">
        <v>104</v>
      </c>
      <c r="O95" s="14" t="s">
        <v>99</v>
      </c>
      <c r="P95" s="14" t="s">
        <v>99</v>
      </c>
      <c r="Q95" s="14" t="s">
        <v>99</v>
      </c>
      <c r="R95" s="14" t="s">
        <v>99</v>
      </c>
      <c r="S95" s="14" t="s">
        <v>99</v>
      </c>
      <c r="T95" s="14" t="s">
        <v>99</v>
      </c>
      <c r="U95" s="14" t="s">
        <v>9296</v>
      </c>
      <c r="V95" s="14" t="s">
        <v>9297</v>
      </c>
      <c r="W95" s="14" t="s">
        <v>9298</v>
      </c>
      <c r="X95" s="14" t="s">
        <v>9299</v>
      </c>
      <c r="Y95" s="14" t="s">
        <v>9300</v>
      </c>
      <c r="Z95" s="14" t="s">
        <v>9301</v>
      </c>
      <c r="AA95" s="14" t="s">
        <v>9302</v>
      </c>
      <c r="AB95" s="14" t="s">
        <v>9303</v>
      </c>
      <c r="AC95" s="14" t="s">
        <v>9304</v>
      </c>
      <c r="AD95" s="14" t="s">
        <v>9305</v>
      </c>
      <c r="AE95" s="14" t="s">
        <v>99</v>
      </c>
      <c r="AF95" s="14" t="s">
        <v>99</v>
      </c>
      <c r="AG95" s="14">
        <v>30.0</v>
      </c>
      <c r="AH95" s="14">
        <v>5476.0</v>
      </c>
      <c r="AI95" s="14">
        <v>6619.0</v>
      </c>
      <c r="AJ95" s="14">
        <v>46.0</v>
      </c>
      <c r="AK95" s="14">
        <v>6063.0</v>
      </c>
      <c r="AL95" s="14" t="s">
        <v>909</v>
      </c>
      <c r="AM95" s="14" t="s">
        <v>910</v>
      </c>
      <c r="AN95" s="14" t="s">
        <v>911</v>
      </c>
      <c r="AO95" s="14" t="s">
        <v>912</v>
      </c>
      <c r="AP95" s="14" t="s">
        <v>913</v>
      </c>
      <c r="AQ95" s="14" t="s">
        <v>99</v>
      </c>
      <c r="AR95" s="14" t="s">
        <v>900</v>
      </c>
      <c r="AS95" s="14" t="s">
        <v>914</v>
      </c>
      <c r="AT95" s="14" t="s">
        <v>9306</v>
      </c>
      <c r="AU95" s="14">
        <v>2004.0</v>
      </c>
      <c r="AV95" s="14">
        <v>427.0</v>
      </c>
      <c r="AW95" s="14">
        <v>6970.0</v>
      </c>
      <c r="AX95" s="14" t="s">
        <v>99</v>
      </c>
      <c r="AY95" s="14" t="s">
        <v>99</v>
      </c>
      <c r="AZ95" s="14" t="s">
        <v>99</v>
      </c>
      <c r="BA95" s="14" t="s">
        <v>99</v>
      </c>
      <c r="BB95" s="14">
        <v>145.0</v>
      </c>
      <c r="BC95" s="14">
        <v>148.0</v>
      </c>
      <c r="BD95" s="14" t="s">
        <v>99</v>
      </c>
      <c r="BE95" s="14" t="s">
        <v>9307</v>
      </c>
      <c r="BF95" s="15" t="str">
        <f>HYPERLINK("http://dx.doi.org/10.1038/nature02121","http://dx.doi.org/10.1038/nature02121")</f>
        <v>http://dx.doi.org/10.1038/nature02121</v>
      </c>
      <c r="BG95" s="14" t="s">
        <v>99</v>
      </c>
      <c r="BH95" s="14" t="s">
        <v>99</v>
      </c>
      <c r="BI95" s="14">
        <v>4.0</v>
      </c>
      <c r="BJ95" s="14" t="s">
        <v>799</v>
      </c>
      <c r="BK95" s="14" t="s">
        <v>122</v>
      </c>
      <c r="BL95" s="14" t="s">
        <v>801</v>
      </c>
      <c r="BM95" s="14" t="s">
        <v>9308</v>
      </c>
      <c r="BN95" s="14">
        <v>1.4712274E7</v>
      </c>
      <c r="BO95" s="14" t="s">
        <v>238</v>
      </c>
      <c r="BP95" s="14" t="s">
        <v>99</v>
      </c>
      <c r="BQ95" s="14" t="s">
        <v>99</v>
      </c>
      <c r="BR95" s="14" t="s">
        <v>124</v>
      </c>
      <c r="BS95" s="14" t="s">
        <v>9309</v>
      </c>
      <c r="BT95" s="14" t="str">
        <f>HYPERLINK("https%3A%2F%2Fwww.webofscience.com%2Fwos%2Fwoscc%2Ffull-record%2FWOS:000187863900033","View Full Record in Web of Science")</f>
        <v>View Full Record in Web of Science</v>
      </c>
    </row>
    <row r="96" ht="12.75" customHeight="1">
      <c r="A96" s="14" t="s">
        <v>97</v>
      </c>
      <c r="B96" s="14" t="s">
        <v>9360</v>
      </c>
      <c r="C96" s="14" t="s">
        <v>99</v>
      </c>
      <c r="D96" s="14" t="s">
        <v>99</v>
      </c>
      <c r="E96" s="14" t="s">
        <v>99</v>
      </c>
      <c r="F96" s="14" t="s">
        <v>9360</v>
      </c>
      <c r="G96" s="14" t="s">
        <v>99</v>
      </c>
      <c r="H96" s="14" t="s">
        <v>99</v>
      </c>
      <c r="I96" s="14" t="s">
        <v>9361</v>
      </c>
      <c r="J96" s="14" t="s">
        <v>4070</v>
      </c>
      <c r="K96" s="14" t="s">
        <v>99</v>
      </c>
      <c r="L96" s="14" t="s">
        <v>99</v>
      </c>
      <c r="M96" s="14" t="s">
        <v>103</v>
      </c>
      <c r="N96" s="14" t="s">
        <v>104</v>
      </c>
      <c r="O96" s="14" t="s">
        <v>99</v>
      </c>
      <c r="P96" s="14" t="s">
        <v>99</v>
      </c>
      <c r="Q96" s="14" t="s">
        <v>99</v>
      </c>
      <c r="R96" s="14" t="s">
        <v>99</v>
      </c>
      <c r="S96" s="14" t="s">
        <v>99</v>
      </c>
      <c r="T96" s="14" t="s">
        <v>9362</v>
      </c>
      <c r="U96" s="14" t="s">
        <v>9363</v>
      </c>
      <c r="V96" s="14" t="s">
        <v>9364</v>
      </c>
      <c r="W96" s="14" t="s">
        <v>9365</v>
      </c>
      <c r="X96" s="14" t="s">
        <v>7201</v>
      </c>
      <c r="Y96" s="14" t="s">
        <v>9366</v>
      </c>
      <c r="Z96" s="14" t="s">
        <v>9367</v>
      </c>
      <c r="AA96" s="14" t="s">
        <v>9368</v>
      </c>
      <c r="AB96" s="14" t="s">
        <v>9369</v>
      </c>
      <c r="AC96" s="14" t="s">
        <v>99</v>
      </c>
      <c r="AD96" s="14" t="s">
        <v>99</v>
      </c>
      <c r="AE96" s="14" t="s">
        <v>99</v>
      </c>
      <c r="AF96" s="14" t="s">
        <v>99</v>
      </c>
      <c r="AG96" s="14">
        <v>38.0</v>
      </c>
      <c r="AH96" s="14">
        <v>391.0</v>
      </c>
      <c r="AI96" s="14">
        <v>472.0</v>
      </c>
      <c r="AJ96" s="14">
        <v>0.0</v>
      </c>
      <c r="AK96" s="14">
        <v>245.0</v>
      </c>
      <c r="AL96" s="14" t="s">
        <v>1544</v>
      </c>
      <c r="AM96" s="14" t="s">
        <v>274</v>
      </c>
      <c r="AN96" s="14" t="s">
        <v>1545</v>
      </c>
      <c r="AO96" s="14" t="s">
        <v>4079</v>
      </c>
      <c r="AP96" s="14" t="s">
        <v>99</v>
      </c>
      <c r="AQ96" s="14" t="s">
        <v>99</v>
      </c>
      <c r="AR96" s="14" t="s">
        <v>4081</v>
      </c>
      <c r="AS96" s="14" t="s">
        <v>4082</v>
      </c>
      <c r="AT96" s="14" t="s">
        <v>9370</v>
      </c>
      <c r="AU96" s="14">
        <v>2003.0</v>
      </c>
      <c r="AV96" s="14">
        <v>270.0</v>
      </c>
      <c r="AW96" s="14">
        <v>1527.0</v>
      </c>
      <c r="AX96" s="14" t="s">
        <v>99</v>
      </c>
      <c r="AY96" s="14" t="s">
        <v>99</v>
      </c>
      <c r="AZ96" s="14" t="s">
        <v>99</v>
      </c>
      <c r="BA96" s="14" t="s">
        <v>99</v>
      </c>
      <c r="BB96" s="14">
        <v>1887.0</v>
      </c>
      <c r="BC96" s="14">
        <v>1892.0</v>
      </c>
      <c r="BD96" s="14" t="s">
        <v>99</v>
      </c>
      <c r="BE96" s="14" t="s">
        <v>9371</v>
      </c>
      <c r="BF96" s="15" t="str">
        <f>HYPERLINK("http://dx.doi.org/10.1098/rspb.2003.2464","http://dx.doi.org/10.1098/rspb.2003.2464")</f>
        <v>http://dx.doi.org/10.1098/rspb.2003.2464</v>
      </c>
      <c r="BG96" s="14" t="s">
        <v>99</v>
      </c>
      <c r="BH96" s="14" t="s">
        <v>99</v>
      </c>
      <c r="BI96" s="14">
        <v>6.0</v>
      </c>
      <c r="BJ96" s="14" t="s">
        <v>1552</v>
      </c>
      <c r="BK96" s="14" t="s">
        <v>122</v>
      </c>
      <c r="BL96" s="14" t="s">
        <v>1553</v>
      </c>
      <c r="BM96" s="14" t="s">
        <v>9372</v>
      </c>
      <c r="BN96" s="14">
        <v>1.4561301E7</v>
      </c>
      <c r="BO96" s="14" t="s">
        <v>425</v>
      </c>
      <c r="BP96" s="14" t="s">
        <v>99</v>
      </c>
      <c r="BQ96" s="14" t="s">
        <v>99</v>
      </c>
      <c r="BR96" s="14" t="s">
        <v>124</v>
      </c>
      <c r="BS96" s="14" t="s">
        <v>9373</v>
      </c>
      <c r="BT96" s="14" t="str">
        <f>HYPERLINK("https%3A%2F%2Fwww.webofscience.com%2Fwos%2Fwoscc%2Ffull-record%2FWOS:000185482500003","View Full Record in Web of Science")</f>
        <v>View Full Record in Web of Science</v>
      </c>
    </row>
    <row r="97" ht="12.75" customHeight="1">
      <c r="A97" s="14" t="s">
        <v>97</v>
      </c>
      <c r="B97" s="14" t="s">
        <v>9397</v>
      </c>
      <c r="C97" s="14" t="s">
        <v>99</v>
      </c>
      <c r="D97" s="14" t="s">
        <v>99</v>
      </c>
      <c r="E97" s="14" t="s">
        <v>99</v>
      </c>
      <c r="F97" s="14" t="s">
        <v>9397</v>
      </c>
      <c r="G97" s="14" t="s">
        <v>99</v>
      </c>
      <c r="H97" s="14" t="s">
        <v>99</v>
      </c>
      <c r="I97" s="14" t="s">
        <v>9398</v>
      </c>
      <c r="J97" s="14" t="s">
        <v>2357</v>
      </c>
      <c r="K97" s="14" t="s">
        <v>99</v>
      </c>
      <c r="L97" s="14" t="s">
        <v>99</v>
      </c>
      <c r="M97" s="14" t="s">
        <v>103</v>
      </c>
      <c r="N97" s="14" t="s">
        <v>104</v>
      </c>
      <c r="O97" s="14" t="s">
        <v>99</v>
      </c>
      <c r="P97" s="14" t="s">
        <v>99</v>
      </c>
      <c r="Q97" s="14" t="s">
        <v>99</v>
      </c>
      <c r="R97" s="14" t="s">
        <v>99</v>
      </c>
      <c r="S97" s="14" t="s">
        <v>99</v>
      </c>
      <c r="T97" s="14" t="s">
        <v>99</v>
      </c>
      <c r="U97" s="14" t="s">
        <v>9399</v>
      </c>
      <c r="V97" s="14" t="s">
        <v>9400</v>
      </c>
      <c r="W97" s="14" t="s">
        <v>9401</v>
      </c>
      <c r="X97" s="14" t="s">
        <v>9402</v>
      </c>
      <c r="Y97" s="14" t="s">
        <v>9403</v>
      </c>
      <c r="Z97" s="14" t="s">
        <v>99</v>
      </c>
      <c r="AA97" s="14" t="s">
        <v>99</v>
      </c>
      <c r="AB97" s="14" t="s">
        <v>99</v>
      </c>
      <c r="AC97" s="14" t="s">
        <v>99</v>
      </c>
      <c r="AD97" s="14" t="s">
        <v>99</v>
      </c>
      <c r="AE97" s="14" t="s">
        <v>99</v>
      </c>
      <c r="AF97" s="14" t="s">
        <v>99</v>
      </c>
      <c r="AG97" s="14">
        <v>26.0</v>
      </c>
      <c r="AH97" s="14">
        <v>236.0</v>
      </c>
      <c r="AI97" s="14">
        <v>277.0</v>
      </c>
      <c r="AJ97" s="14">
        <v>1.0</v>
      </c>
      <c r="AK97" s="14">
        <v>75.0</v>
      </c>
      <c r="AL97" s="14" t="s">
        <v>9352</v>
      </c>
      <c r="AM97" s="14" t="s">
        <v>1732</v>
      </c>
      <c r="AN97" s="14" t="s">
        <v>1733</v>
      </c>
      <c r="AO97" s="14" t="s">
        <v>2369</v>
      </c>
      <c r="AP97" s="14" t="s">
        <v>99</v>
      </c>
      <c r="AQ97" s="14" t="s">
        <v>99</v>
      </c>
      <c r="AR97" s="14" t="s">
        <v>2357</v>
      </c>
      <c r="AS97" s="14" t="s">
        <v>2371</v>
      </c>
      <c r="AT97" s="14" t="s">
        <v>474</v>
      </c>
      <c r="AU97" s="14">
        <v>2003.0</v>
      </c>
      <c r="AV97" s="14">
        <v>59.0</v>
      </c>
      <c r="AW97" s="14">
        <v>3.0</v>
      </c>
      <c r="AX97" s="14" t="s">
        <v>99</v>
      </c>
      <c r="AY97" s="14" t="s">
        <v>99</v>
      </c>
      <c r="AZ97" s="14" t="s">
        <v>99</v>
      </c>
      <c r="BA97" s="14" t="s">
        <v>99</v>
      </c>
      <c r="BB97" s="14">
        <v>389.0</v>
      </c>
      <c r="BC97" s="14">
        <v>409.0</v>
      </c>
      <c r="BD97" s="14" t="s">
        <v>99</v>
      </c>
      <c r="BE97" s="14" t="s">
        <v>9404</v>
      </c>
      <c r="BF97" s="15" t="str">
        <f>HYPERLINK("http://dx.doi.org/10.1023/A:1024847723344","http://dx.doi.org/10.1023/A:1024847723344")</f>
        <v>http://dx.doi.org/10.1023/A:1024847723344</v>
      </c>
      <c r="BG97" s="14" t="s">
        <v>99</v>
      </c>
      <c r="BH97" s="14" t="s">
        <v>99</v>
      </c>
      <c r="BI97" s="14">
        <v>21.0</v>
      </c>
      <c r="BJ97" s="14" t="s">
        <v>573</v>
      </c>
      <c r="BK97" s="14" t="s">
        <v>122</v>
      </c>
      <c r="BL97" s="14" t="s">
        <v>574</v>
      </c>
      <c r="BM97" s="14" t="s">
        <v>9405</v>
      </c>
      <c r="BN97" s="14" t="s">
        <v>99</v>
      </c>
      <c r="BO97" s="14" t="s">
        <v>99</v>
      </c>
      <c r="BP97" s="14" t="s">
        <v>99</v>
      </c>
      <c r="BQ97" s="14" t="s">
        <v>99</v>
      </c>
      <c r="BR97" s="14" t="s">
        <v>124</v>
      </c>
      <c r="BS97" s="14" t="s">
        <v>9406</v>
      </c>
      <c r="BT97" s="14" t="str">
        <f>HYPERLINK("https%3A%2F%2Fwww.webofscience.com%2Fwos%2Fwoscc%2Ffull-record%2FWOS:000184319800006","View Full Record in Web of Science")</f>
        <v>View Full Record in Web of Science</v>
      </c>
    </row>
    <row r="98" ht="12.75" customHeight="1">
      <c r="A98" s="14" t="s">
        <v>97</v>
      </c>
      <c r="B98" s="14" t="s">
        <v>9421</v>
      </c>
      <c r="C98" s="14" t="s">
        <v>99</v>
      </c>
      <c r="D98" s="14" t="s">
        <v>99</v>
      </c>
      <c r="E98" s="14" t="s">
        <v>99</v>
      </c>
      <c r="F98" s="14" t="s">
        <v>9421</v>
      </c>
      <c r="G98" s="14" t="s">
        <v>99</v>
      </c>
      <c r="H98" s="14" t="s">
        <v>99</v>
      </c>
      <c r="I98" s="14" t="s">
        <v>9422</v>
      </c>
      <c r="J98" s="14" t="s">
        <v>1102</v>
      </c>
      <c r="K98" s="14" t="s">
        <v>99</v>
      </c>
      <c r="L98" s="14" t="s">
        <v>99</v>
      </c>
      <c r="M98" s="14" t="s">
        <v>103</v>
      </c>
      <c r="N98" s="14" t="s">
        <v>104</v>
      </c>
      <c r="O98" s="14" t="s">
        <v>99</v>
      </c>
      <c r="P98" s="14" t="s">
        <v>99</v>
      </c>
      <c r="Q98" s="14" t="s">
        <v>99</v>
      </c>
      <c r="R98" s="14" t="s">
        <v>99</v>
      </c>
      <c r="S98" s="14" t="s">
        <v>99</v>
      </c>
      <c r="T98" s="14" t="s">
        <v>9423</v>
      </c>
      <c r="U98" s="14" t="s">
        <v>9424</v>
      </c>
      <c r="V98" s="14" t="s">
        <v>9425</v>
      </c>
      <c r="W98" s="14" t="s">
        <v>9426</v>
      </c>
      <c r="X98" s="14" t="s">
        <v>9427</v>
      </c>
      <c r="Y98" s="14" t="s">
        <v>9428</v>
      </c>
      <c r="Z98" s="14" t="s">
        <v>9429</v>
      </c>
      <c r="AA98" s="14" t="s">
        <v>9430</v>
      </c>
      <c r="AB98" s="14" t="s">
        <v>9431</v>
      </c>
      <c r="AC98" s="14" t="s">
        <v>99</v>
      </c>
      <c r="AD98" s="14" t="s">
        <v>99</v>
      </c>
      <c r="AE98" s="14" t="s">
        <v>99</v>
      </c>
      <c r="AF98" s="14" t="s">
        <v>99</v>
      </c>
      <c r="AG98" s="14">
        <v>48.0</v>
      </c>
      <c r="AH98" s="14">
        <v>218.0</v>
      </c>
      <c r="AI98" s="14">
        <v>253.0</v>
      </c>
      <c r="AJ98" s="14">
        <v>0.0</v>
      </c>
      <c r="AK98" s="14">
        <v>60.0</v>
      </c>
      <c r="AL98" s="14" t="s">
        <v>493</v>
      </c>
      <c r="AM98" s="14" t="s">
        <v>494</v>
      </c>
      <c r="AN98" s="14" t="s">
        <v>495</v>
      </c>
      <c r="AO98" s="14" t="s">
        <v>1112</v>
      </c>
      <c r="AP98" s="14" t="s">
        <v>1113</v>
      </c>
      <c r="AQ98" s="14" t="s">
        <v>99</v>
      </c>
      <c r="AR98" s="14" t="s">
        <v>1114</v>
      </c>
      <c r="AS98" s="14" t="s">
        <v>1115</v>
      </c>
      <c r="AT98" s="14" t="s">
        <v>9432</v>
      </c>
      <c r="AU98" s="14">
        <v>2003.0</v>
      </c>
      <c r="AV98" s="14">
        <v>112.0</v>
      </c>
      <c r="AW98" s="14" t="s">
        <v>1161</v>
      </c>
      <c r="AX98" s="14" t="s">
        <v>99</v>
      </c>
      <c r="AY98" s="14" t="s">
        <v>99</v>
      </c>
      <c r="AZ98" s="14" t="s">
        <v>99</v>
      </c>
      <c r="BA98" s="14" t="s">
        <v>99</v>
      </c>
      <c r="BB98" s="14">
        <v>87.0</v>
      </c>
      <c r="BC98" s="14">
        <v>97.0</v>
      </c>
      <c r="BD98" s="14" t="s">
        <v>99</v>
      </c>
      <c r="BE98" s="14" t="s">
        <v>9433</v>
      </c>
      <c r="BF98" s="15" t="str">
        <f>HYPERLINK("http://dx.doi.org/10.1016/S0006-3207(02)00414-7","http://dx.doi.org/10.1016/S0006-3207(02)00414-7")</f>
        <v>http://dx.doi.org/10.1016/S0006-3207(02)00414-7</v>
      </c>
      <c r="BG98" s="14" t="s">
        <v>99</v>
      </c>
      <c r="BH98" s="14" t="s">
        <v>99</v>
      </c>
      <c r="BI98" s="14">
        <v>11.0</v>
      </c>
      <c r="BJ98" s="14" t="s">
        <v>351</v>
      </c>
      <c r="BK98" s="14" t="s">
        <v>122</v>
      </c>
      <c r="BL98" s="14" t="s">
        <v>352</v>
      </c>
      <c r="BM98" s="14" t="s">
        <v>9434</v>
      </c>
      <c r="BN98" s="14" t="s">
        <v>99</v>
      </c>
      <c r="BO98" s="14" t="s">
        <v>99</v>
      </c>
      <c r="BP98" s="14" t="s">
        <v>99</v>
      </c>
      <c r="BQ98" s="14" t="s">
        <v>99</v>
      </c>
      <c r="BR98" s="14" t="s">
        <v>124</v>
      </c>
      <c r="BS98" s="14" t="s">
        <v>9435</v>
      </c>
      <c r="BT98" s="14" t="str">
        <f>HYPERLINK("https%3A%2F%2Fwww.webofscience.com%2Fwos%2Fwoscc%2Ffull-record%2FWOS:000182913800006","View Full Record in Web of Science")</f>
        <v>View Full Record in Web of Science</v>
      </c>
    </row>
    <row r="99" ht="12.75" customHeight="1">
      <c r="A99" s="14" t="s">
        <v>97</v>
      </c>
      <c r="B99" s="14" t="s">
        <v>9467</v>
      </c>
      <c r="C99" s="14" t="s">
        <v>99</v>
      </c>
      <c r="D99" s="14" t="s">
        <v>99</v>
      </c>
      <c r="E99" s="14" t="s">
        <v>99</v>
      </c>
      <c r="F99" s="14" t="s">
        <v>9467</v>
      </c>
      <c r="G99" s="14" t="s">
        <v>99</v>
      </c>
      <c r="H99" s="14" t="s">
        <v>99</v>
      </c>
      <c r="I99" s="14" t="s">
        <v>9468</v>
      </c>
      <c r="J99" s="14" t="s">
        <v>328</v>
      </c>
      <c r="K99" s="14" t="s">
        <v>99</v>
      </c>
      <c r="L99" s="14" t="s">
        <v>99</v>
      </c>
      <c r="M99" s="14" t="s">
        <v>103</v>
      </c>
      <c r="N99" s="14" t="s">
        <v>104</v>
      </c>
      <c r="O99" s="14" t="s">
        <v>99</v>
      </c>
      <c r="P99" s="14" t="s">
        <v>99</v>
      </c>
      <c r="Q99" s="14" t="s">
        <v>99</v>
      </c>
      <c r="R99" s="14" t="s">
        <v>99</v>
      </c>
      <c r="S99" s="14" t="s">
        <v>99</v>
      </c>
      <c r="T99" s="14" t="s">
        <v>9469</v>
      </c>
      <c r="U99" s="14" t="s">
        <v>9470</v>
      </c>
      <c r="V99" s="14" t="s">
        <v>9471</v>
      </c>
      <c r="W99" s="14" t="s">
        <v>9472</v>
      </c>
      <c r="X99" s="14" t="s">
        <v>9473</v>
      </c>
      <c r="Y99" s="14" t="s">
        <v>7871</v>
      </c>
      <c r="Z99" s="14" t="s">
        <v>7872</v>
      </c>
      <c r="AA99" s="14" t="s">
        <v>9474</v>
      </c>
      <c r="AB99" s="14" t="s">
        <v>9475</v>
      </c>
      <c r="AC99" s="14" t="s">
        <v>99</v>
      </c>
      <c r="AD99" s="14" t="s">
        <v>99</v>
      </c>
      <c r="AE99" s="14" t="s">
        <v>99</v>
      </c>
      <c r="AF99" s="14" t="s">
        <v>99</v>
      </c>
      <c r="AG99" s="14">
        <v>44.0</v>
      </c>
      <c r="AH99" s="14">
        <v>132.0</v>
      </c>
      <c r="AI99" s="14">
        <v>165.0</v>
      </c>
      <c r="AJ99" s="14">
        <v>0.0</v>
      </c>
      <c r="AK99" s="14">
        <v>93.0</v>
      </c>
      <c r="AL99" s="14" t="s">
        <v>341</v>
      </c>
      <c r="AM99" s="14" t="s">
        <v>342</v>
      </c>
      <c r="AN99" s="14" t="s">
        <v>343</v>
      </c>
      <c r="AO99" s="14" t="s">
        <v>344</v>
      </c>
      <c r="AP99" s="14" t="s">
        <v>345</v>
      </c>
      <c r="AQ99" s="14" t="s">
        <v>99</v>
      </c>
      <c r="AR99" s="14" t="s">
        <v>346</v>
      </c>
      <c r="AS99" s="14" t="s">
        <v>347</v>
      </c>
      <c r="AT99" s="14" t="s">
        <v>640</v>
      </c>
      <c r="AU99" s="14">
        <v>2003.0</v>
      </c>
      <c r="AV99" s="14">
        <v>9.0</v>
      </c>
      <c r="AW99" s="14">
        <v>5.0</v>
      </c>
      <c r="AX99" s="14" t="s">
        <v>99</v>
      </c>
      <c r="AY99" s="14" t="s">
        <v>99</v>
      </c>
      <c r="AZ99" s="14" t="s">
        <v>99</v>
      </c>
      <c r="BA99" s="14" t="s">
        <v>99</v>
      </c>
      <c r="BB99" s="14">
        <v>647.0</v>
      </c>
      <c r="BC99" s="14">
        <v>655.0</v>
      </c>
      <c r="BD99" s="14" t="s">
        <v>99</v>
      </c>
      <c r="BE99" s="14" t="s">
        <v>9476</v>
      </c>
      <c r="BF99" s="15" t="str">
        <f>HYPERLINK("http://dx.doi.org/10.1046/j.1365-2486.2003.00616.x","http://dx.doi.org/10.1046/j.1365-2486.2003.00616.x")</f>
        <v>http://dx.doi.org/10.1046/j.1365-2486.2003.00616.x</v>
      </c>
      <c r="BG99" s="14" t="s">
        <v>99</v>
      </c>
      <c r="BH99" s="14" t="s">
        <v>99</v>
      </c>
      <c r="BI99" s="14">
        <v>9.0</v>
      </c>
      <c r="BJ99" s="14" t="s">
        <v>351</v>
      </c>
      <c r="BK99" s="14" t="s">
        <v>122</v>
      </c>
      <c r="BL99" s="14" t="s">
        <v>352</v>
      </c>
      <c r="BM99" s="14" t="s">
        <v>9477</v>
      </c>
      <c r="BN99" s="14" t="s">
        <v>99</v>
      </c>
      <c r="BO99" s="14" t="s">
        <v>99</v>
      </c>
      <c r="BP99" s="14" t="s">
        <v>99</v>
      </c>
      <c r="BQ99" s="14" t="s">
        <v>99</v>
      </c>
      <c r="BR99" s="14" t="s">
        <v>124</v>
      </c>
      <c r="BS99" s="14" t="s">
        <v>9478</v>
      </c>
      <c r="BT99" s="14" t="str">
        <f>HYPERLINK("https%3A%2F%2Fwww.webofscience.com%2Fwos%2Fwoscc%2Ffull-record%2FWOS:000182653700001","View Full Record in Web of Science")</f>
        <v>View Full Record in Web of Science</v>
      </c>
    </row>
    <row r="100" ht="12.75" customHeight="1">
      <c r="A100" s="14" t="s">
        <v>97</v>
      </c>
      <c r="B100" s="14" t="s">
        <v>9553</v>
      </c>
      <c r="C100" s="14" t="s">
        <v>99</v>
      </c>
      <c r="D100" s="14" t="s">
        <v>99</v>
      </c>
      <c r="E100" s="14" t="s">
        <v>99</v>
      </c>
      <c r="F100" s="14" t="s">
        <v>9553</v>
      </c>
      <c r="G100" s="14" t="s">
        <v>99</v>
      </c>
      <c r="H100" s="14" t="s">
        <v>99</v>
      </c>
      <c r="I100" s="14" t="s">
        <v>9554</v>
      </c>
      <c r="J100" s="14" t="s">
        <v>851</v>
      </c>
      <c r="K100" s="14" t="s">
        <v>99</v>
      </c>
      <c r="L100" s="14" t="s">
        <v>99</v>
      </c>
      <c r="M100" s="14" t="s">
        <v>103</v>
      </c>
      <c r="N100" s="14" t="s">
        <v>2284</v>
      </c>
      <c r="O100" s="14" t="s">
        <v>9555</v>
      </c>
      <c r="P100" s="14" t="s">
        <v>9556</v>
      </c>
      <c r="Q100" s="14" t="s">
        <v>9557</v>
      </c>
      <c r="R100" s="14" t="s">
        <v>9558</v>
      </c>
      <c r="S100" s="14" t="s">
        <v>99</v>
      </c>
      <c r="T100" s="14" t="s">
        <v>9559</v>
      </c>
      <c r="U100" s="14" t="s">
        <v>9560</v>
      </c>
      <c r="V100" s="14" t="s">
        <v>9561</v>
      </c>
      <c r="W100" s="14" t="s">
        <v>9562</v>
      </c>
      <c r="X100" s="14" t="s">
        <v>9563</v>
      </c>
      <c r="Y100" s="14" t="s">
        <v>9564</v>
      </c>
      <c r="Z100" s="14" t="s">
        <v>9429</v>
      </c>
      <c r="AA100" s="14" t="s">
        <v>9565</v>
      </c>
      <c r="AB100" s="14" t="s">
        <v>9566</v>
      </c>
      <c r="AC100" s="14" t="s">
        <v>99</v>
      </c>
      <c r="AD100" s="14" t="s">
        <v>99</v>
      </c>
      <c r="AE100" s="14" t="s">
        <v>99</v>
      </c>
      <c r="AF100" s="14" t="s">
        <v>99</v>
      </c>
      <c r="AG100" s="14">
        <v>32.0</v>
      </c>
      <c r="AH100" s="14">
        <v>302.0</v>
      </c>
      <c r="AI100" s="14">
        <v>360.0</v>
      </c>
      <c r="AJ100" s="14">
        <v>2.0</v>
      </c>
      <c r="AK100" s="14">
        <v>144.0</v>
      </c>
      <c r="AL100" s="14" t="s">
        <v>341</v>
      </c>
      <c r="AM100" s="14" t="s">
        <v>342</v>
      </c>
      <c r="AN100" s="14" t="s">
        <v>343</v>
      </c>
      <c r="AO100" s="14" t="s">
        <v>864</v>
      </c>
      <c r="AP100" s="14" t="s">
        <v>865</v>
      </c>
      <c r="AQ100" s="14" t="s">
        <v>99</v>
      </c>
      <c r="AR100" s="14" t="s">
        <v>866</v>
      </c>
      <c r="AS100" s="14" t="s">
        <v>867</v>
      </c>
      <c r="AT100" s="14" t="s">
        <v>348</v>
      </c>
      <c r="AU100" s="14">
        <v>2002.0</v>
      </c>
      <c r="AV100" s="14">
        <v>11.0</v>
      </c>
      <c r="AW100" s="14">
        <v>6.0</v>
      </c>
      <c r="AX100" s="14" t="s">
        <v>99</v>
      </c>
      <c r="AY100" s="14" t="s">
        <v>99</v>
      </c>
      <c r="AZ100" s="14" t="s">
        <v>99</v>
      </c>
      <c r="BA100" s="14" t="s">
        <v>99</v>
      </c>
      <c r="BB100" s="14">
        <v>445.0</v>
      </c>
      <c r="BC100" s="14">
        <v>451.0</v>
      </c>
      <c r="BD100" s="14" t="s">
        <v>99</v>
      </c>
      <c r="BE100" s="14" t="s">
        <v>9567</v>
      </c>
      <c r="BF100" s="15" t="str">
        <f>HYPERLINK("http://dx.doi.org/10.1046/j.1466-822X.2002.00307.x","http://dx.doi.org/10.1046/j.1466-822X.2002.00307.x")</f>
        <v>http://dx.doi.org/10.1046/j.1466-822X.2002.00307.x</v>
      </c>
      <c r="BG100" s="14" t="s">
        <v>99</v>
      </c>
      <c r="BH100" s="14" t="s">
        <v>99</v>
      </c>
      <c r="BI100" s="14">
        <v>7.0</v>
      </c>
      <c r="BJ100" s="14" t="s">
        <v>869</v>
      </c>
      <c r="BK100" s="14" t="s">
        <v>2311</v>
      </c>
      <c r="BL100" s="14" t="s">
        <v>870</v>
      </c>
      <c r="BM100" s="14" t="s">
        <v>9568</v>
      </c>
      <c r="BN100" s="14" t="s">
        <v>99</v>
      </c>
      <c r="BO100" s="14" t="s">
        <v>99</v>
      </c>
      <c r="BP100" s="14" t="s">
        <v>99</v>
      </c>
      <c r="BQ100" s="14" t="s">
        <v>99</v>
      </c>
      <c r="BR100" s="14" t="s">
        <v>124</v>
      </c>
      <c r="BS100" s="14" t="s">
        <v>9569</v>
      </c>
      <c r="BT100" s="14" t="str">
        <f>HYPERLINK("https%3A%2F%2Fwww.webofscience.com%2Fwos%2Fwoscc%2Ffull-record%2FWOS:000179978200002","View Full Record in Web of Science")</f>
        <v>View Full Record in Web of Science</v>
      </c>
    </row>
    <row r="101" ht="12.75" customHeight="1">
      <c r="A101" s="14" t="s">
        <v>97</v>
      </c>
      <c r="B101" s="14" t="s">
        <v>9570</v>
      </c>
      <c r="C101" s="14" t="s">
        <v>99</v>
      </c>
      <c r="D101" s="14" t="s">
        <v>99</v>
      </c>
      <c r="E101" s="14" t="s">
        <v>99</v>
      </c>
      <c r="F101" s="14" t="s">
        <v>9570</v>
      </c>
      <c r="G101" s="14" t="s">
        <v>99</v>
      </c>
      <c r="H101" s="14" t="s">
        <v>99</v>
      </c>
      <c r="I101" s="14" t="s">
        <v>9571</v>
      </c>
      <c r="J101" s="14" t="s">
        <v>4070</v>
      </c>
      <c r="K101" s="14" t="s">
        <v>99</v>
      </c>
      <c r="L101" s="14" t="s">
        <v>99</v>
      </c>
      <c r="M101" s="14" t="s">
        <v>103</v>
      </c>
      <c r="N101" s="14" t="s">
        <v>104</v>
      </c>
      <c r="O101" s="14" t="s">
        <v>99</v>
      </c>
      <c r="P101" s="14" t="s">
        <v>99</v>
      </c>
      <c r="Q101" s="14" t="s">
        <v>99</v>
      </c>
      <c r="R101" s="14" t="s">
        <v>99</v>
      </c>
      <c r="S101" s="14" t="s">
        <v>99</v>
      </c>
      <c r="T101" s="14" t="s">
        <v>9572</v>
      </c>
      <c r="U101" s="14" t="s">
        <v>9573</v>
      </c>
      <c r="V101" s="14" t="s">
        <v>9574</v>
      </c>
      <c r="W101" s="14" t="s">
        <v>9575</v>
      </c>
      <c r="X101" s="14" t="s">
        <v>9576</v>
      </c>
      <c r="Y101" s="14" t="s">
        <v>9577</v>
      </c>
      <c r="Z101" s="14" t="s">
        <v>9578</v>
      </c>
      <c r="AA101" s="14" t="s">
        <v>9579</v>
      </c>
      <c r="AB101" s="14" t="s">
        <v>9580</v>
      </c>
      <c r="AC101" s="14" t="s">
        <v>99</v>
      </c>
      <c r="AD101" s="14" t="s">
        <v>99</v>
      </c>
      <c r="AE101" s="14" t="s">
        <v>99</v>
      </c>
      <c r="AF101" s="14" t="s">
        <v>99</v>
      </c>
      <c r="AG101" s="14">
        <v>33.0</v>
      </c>
      <c r="AH101" s="14">
        <v>325.0</v>
      </c>
      <c r="AI101" s="14">
        <v>372.0</v>
      </c>
      <c r="AJ101" s="14">
        <v>2.0</v>
      </c>
      <c r="AK101" s="14">
        <v>156.0</v>
      </c>
      <c r="AL101" s="14" t="s">
        <v>1544</v>
      </c>
      <c r="AM101" s="14" t="s">
        <v>274</v>
      </c>
      <c r="AN101" s="14" t="s">
        <v>1545</v>
      </c>
      <c r="AO101" s="14" t="s">
        <v>4079</v>
      </c>
      <c r="AP101" s="14" t="s">
        <v>4080</v>
      </c>
      <c r="AQ101" s="14" t="s">
        <v>99</v>
      </c>
      <c r="AR101" s="14" t="s">
        <v>4081</v>
      </c>
      <c r="AS101" s="14" t="s">
        <v>4082</v>
      </c>
      <c r="AT101" s="14" t="s">
        <v>9581</v>
      </c>
      <c r="AU101" s="14">
        <v>2002.0</v>
      </c>
      <c r="AV101" s="14">
        <v>269.0</v>
      </c>
      <c r="AW101" s="14">
        <v>1505.0</v>
      </c>
      <c r="AX101" s="14" t="s">
        <v>99</v>
      </c>
      <c r="AY101" s="14" t="s">
        <v>99</v>
      </c>
      <c r="AZ101" s="14" t="s">
        <v>99</v>
      </c>
      <c r="BA101" s="14" t="s">
        <v>99</v>
      </c>
      <c r="BB101" s="14">
        <v>2163.0</v>
      </c>
      <c r="BC101" s="14">
        <v>2171.0</v>
      </c>
      <c r="BD101" s="14" t="s">
        <v>99</v>
      </c>
      <c r="BE101" s="14" t="s">
        <v>9582</v>
      </c>
      <c r="BF101" s="15" t="str">
        <f>HYPERLINK("http://dx.doi.org/10.1098/rspb.2002.2134","http://dx.doi.org/10.1098/rspb.2002.2134")</f>
        <v>http://dx.doi.org/10.1098/rspb.2002.2134</v>
      </c>
      <c r="BG101" s="14" t="s">
        <v>99</v>
      </c>
      <c r="BH101" s="14" t="s">
        <v>99</v>
      </c>
      <c r="BI101" s="14">
        <v>9.0</v>
      </c>
      <c r="BJ101" s="14" t="s">
        <v>1552</v>
      </c>
      <c r="BK101" s="14" t="s">
        <v>122</v>
      </c>
      <c r="BL101" s="14" t="s">
        <v>1553</v>
      </c>
      <c r="BM101" s="14" t="s">
        <v>9583</v>
      </c>
      <c r="BN101" s="14">
        <v>1.2396492E7</v>
      </c>
      <c r="BO101" s="14" t="s">
        <v>1251</v>
      </c>
      <c r="BP101" s="14" t="s">
        <v>99</v>
      </c>
      <c r="BQ101" s="14" t="s">
        <v>99</v>
      </c>
      <c r="BR101" s="14" t="s">
        <v>124</v>
      </c>
      <c r="BS101" s="14" t="s">
        <v>9584</v>
      </c>
      <c r="BT101" s="14" t="str">
        <f>HYPERLINK("https%3A%2F%2Fwww.webofscience.com%2Fwos%2Fwoscc%2Ffull-record%2FWOS:000178814700013","View Full Record in Web of Science")</f>
        <v>View Full Record in Web of Science</v>
      </c>
    </row>
    <row r="102" ht="12.75" customHeight="1">
      <c r="A102" s="14" t="s">
        <v>97</v>
      </c>
      <c r="B102" s="14" t="s">
        <v>9599</v>
      </c>
      <c r="C102" s="14" t="s">
        <v>99</v>
      </c>
      <c r="D102" s="14" t="s">
        <v>99</v>
      </c>
      <c r="E102" s="14" t="s">
        <v>99</v>
      </c>
      <c r="F102" s="14" t="s">
        <v>9599</v>
      </c>
      <c r="G102" s="14" t="s">
        <v>99</v>
      </c>
      <c r="H102" s="14" t="s">
        <v>99</v>
      </c>
      <c r="I102" s="14" t="s">
        <v>9600</v>
      </c>
      <c r="J102" s="14" t="s">
        <v>328</v>
      </c>
      <c r="K102" s="14" t="s">
        <v>99</v>
      </c>
      <c r="L102" s="14" t="s">
        <v>99</v>
      </c>
      <c r="M102" s="14" t="s">
        <v>103</v>
      </c>
      <c r="N102" s="14" t="s">
        <v>104</v>
      </c>
      <c r="O102" s="14" t="s">
        <v>99</v>
      </c>
      <c r="P102" s="14" t="s">
        <v>99</v>
      </c>
      <c r="Q102" s="14" t="s">
        <v>99</v>
      </c>
      <c r="R102" s="14" t="s">
        <v>99</v>
      </c>
      <c r="S102" s="14" t="s">
        <v>99</v>
      </c>
      <c r="T102" s="14" t="s">
        <v>9601</v>
      </c>
      <c r="U102" s="14" t="s">
        <v>9602</v>
      </c>
      <c r="V102" s="14" t="s">
        <v>9603</v>
      </c>
      <c r="W102" s="14" t="s">
        <v>9604</v>
      </c>
      <c r="X102" s="14" t="s">
        <v>9605</v>
      </c>
      <c r="Y102" s="14" t="s">
        <v>7959</v>
      </c>
      <c r="Z102" s="14" t="s">
        <v>99</v>
      </c>
      <c r="AA102" s="14" t="s">
        <v>9606</v>
      </c>
      <c r="AB102" s="14" t="s">
        <v>8818</v>
      </c>
      <c r="AC102" s="14" t="s">
        <v>99</v>
      </c>
      <c r="AD102" s="14" t="s">
        <v>99</v>
      </c>
      <c r="AE102" s="14" t="s">
        <v>99</v>
      </c>
      <c r="AF102" s="14" t="s">
        <v>99</v>
      </c>
      <c r="AG102" s="14">
        <v>61.0</v>
      </c>
      <c r="AH102" s="14">
        <v>115.0</v>
      </c>
      <c r="AI102" s="14">
        <v>147.0</v>
      </c>
      <c r="AJ102" s="14">
        <v>1.0</v>
      </c>
      <c r="AK102" s="14">
        <v>93.0</v>
      </c>
      <c r="AL102" s="14" t="s">
        <v>9275</v>
      </c>
      <c r="AM102" s="14" t="s">
        <v>468</v>
      </c>
      <c r="AN102" s="14" t="s">
        <v>9276</v>
      </c>
      <c r="AO102" s="14" t="s">
        <v>344</v>
      </c>
      <c r="AP102" s="14" t="s">
        <v>99</v>
      </c>
      <c r="AQ102" s="14" t="s">
        <v>99</v>
      </c>
      <c r="AR102" s="14" t="s">
        <v>346</v>
      </c>
      <c r="AS102" s="14" t="s">
        <v>347</v>
      </c>
      <c r="AT102" s="14" t="s">
        <v>2372</v>
      </c>
      <c r="AU102" s="14">
        <v>2002.0</v>
      </c>
      <c r="AV102" s="14">
        <v>8.0</v>
      </c>
      <c r="AW102" s="14">
        <v>10.0</v>
      </c>
      <c r="AX102" s="14" t="s">
        <v>99</v>
      </c>
      <c r="AY102" s="14" t="s">
        <v>99</v>
      </c>
      <c r="AZ102" s="14" t="s">
        <v>99</v>
      </c>
      <c r="BA102" s="14" t="s">
        <v>99</v>
      </c>
      <c r="BB102" s="14">
        <v>954.0</v>
      </c>
      <c r="BC102" s="14">
        <v>971.0</v>
      </c>
      <c r="BD102" s="14" t="s">
        <v>99</v>
      </c>
      <c r="BE102" s="14" t="s">
        <v>9607</v>
      </c>
      <c r="BF102" s="15" t="str">
        <f>HYPERLINK("http://dx.doi.org/10.1046/j.1365-2486.2002.00490.x","http://dx.doi.org/10.1046/j.1365-2486.2002.00490.x")</f>
        <v>http://dx.doi.org/10.1046/j.1365-2486.2002.00490.x</v>
      </c>
      <c r="BG102" s="14" t="s">
        <v>99</v>
      </c>
      <c r="BH102" s="14" t="s">
        <v>99</v>
      </c>
      <c r="BI102" s="14">
        <v>18.0</v>
      </c>
      <c r="BJ102" s="14" t="s">
        <v>351</v>
      </c>
      <c r="BK102" s="14" t="s">
        <v>122</v>
      </c>
      <c r="BL102" s="14" t="s">
        <v>352</v>
      </c>
      <c r="BM102" s="14" t="s">
        <v>9608</v>
      </c>
      <c r="BN102" s="14" t="s">
        <v>99</v>
      </c>
      <c r="BO102" s="14" t="s">
        <v>99</v>
      </c>
      <c r="BP102" s="14" t="s">
        <v>99</v>
      </c>
      <c r="BQ102" s="14" t="s">
        <v>99</v>
      </c>
      <c r="BR102" s="14" t="s">
        <v>124</v>
      </c>
      <c r="BS102" s="14" t="s">
        <v>9609</v>
      </c>
      <c r="BT102" s="14" t="str">
        <f>HYPERLINK("https%3A%2F%2Fwww.webofscience.com%2Fwos%2Fwoscc%2Ffull-record%2FWOS:000177853000003","View Full Record in Web of Science")</f>
        <v>View Full Record in Web of Science</v>
      </c>
    </row>
    <row r="103" ht="12.75" customHeight="1">
      <c r="A103" s="14" t="s">
        <v>97</v>
      </c>
      <c r="B103" s="14" t="s">
        <v>9636</v>
      </c>
      <c r="C103" s="14" t="s">
        <v>99</v>
      </c>
      <c r="D103" s="14" t="s">
        <v>99</v>
      </c>
      <c r="E103" s="14" t="s">
        <v>99</v>
      </c>
      <c r="F103" s="14" t="s">
        <v>9636</v>
      </c>
      <c r="G103" s="14" t="s">
        <v>99</v>
      </c>
      <c r="H103" s="14" t="s">
        <v>99</v>
      </c>
      <c r="I103" s="14" t="s">
        <v>9637</v>
      </c>
      <c r="J103" s="14" t="s">
        <v>328</v>
      </c>
      <c r="K103" s="14" t="s">
        <v>99</v>
      </c>
      <c r="L103" s="14" t="s">
        <v>99</v>
      </c>
      <c r="M103" s="14" t="s">
        <v>103</v>
      </c>
      <c r="N103" s="14" t="s">
        <v>104</v>
      </c>
      <c r="O103" s="14" t="s">
        <v>99</v>
      </c>
      <c r="P103" s="14" t="s">
        <v>99</v>
      </c>
      <c r="Q103" s="14" t="s">
        <v>99</v>
      </c>
      <c r="R103" s="14" t="s">
        <v>99</v>
      </c>
      <c r="S103" s="14" t="s">
        <v>99</v>
      </c>
      <c r="T103" s="14" t="s">
        <v>9638</v>
      </c>
      <c r="U103" s="14" t="s">
        <v>9639</v>
      </c>
      <c r="V103" s="14" t="s">
        <v>9640</v>
      </c>
      <c r="W103" s="14" t="s">
        <v>9641</v>
      </c>
      <c r="X103" s="14" t="s">
        <v>9642</v>
      </c>
      <c r="Y103" s="14" t="s">
        <v>9643</v>
      </c>
      <c r="Z103" s="14" t="s">
        <v>9644</v>
      </c>
      <c r="AA103" s="14" t="s">
        <v>9645</v>
      </c>
      <c r="AB103" s="14" t="s">
        <v>9646</v>
      </c>
      <c r="AC103" s="14" t="s">
        <v>99</v>
      </c>
      <c r="AD103" s="14" t="s">
        <v>99</v>
      </c>
      <c r="AE103" s="14" t="s">
        <v>99</v>
      </c>
      <c r="AF103" s="14" t="s">
        <v>99</v>
      </c>
      <c r="AG103" s="14">
        <v>96.0</v>
      </c>
      <c r="AH103" s="14">
        <v>233.0</v>
      </c>
      <c r="AI103" s="14">
        <v>294.0</v>
      </c>
      <c r="AJ103" s="14">
        <v>1.0</v>
      </c>
      <c r="AK103" s="14">
        <v>89.0</v>
      </c>
      <c r="AL103" s="14" t="s">
        <v>341</v>
      </c>
      <c r="AM103" s="14" t="s">
        <v>342</v>
      </c>
      <c r="AN103" s="14" t="s">
        <v>343</v>
      </c>
      <c r="AO103" s="14" t="s">
        <v>344</v>
      </c>
      <c r="AP103" s="14" t="s">
        <v>345</v>
      </c>
      <c r="AQ103" s="14" t="s">
        <v>99</v>
      </c>
      <c r="AR103" s="14" t="s">
        <v>346</v>
      </c>
      <c r="AS103" s="14" t="s">
        <v>347</v>
      </c>
      <c r="AT103" s="14" t="s">
        <v>525</v>
      </c>
      <c r="AU103" s="14">
        <v>2002.0</v>
      </c>
      <c r="AV103" s="14">
        <v>8.0</v>
      </c>
      <c r="AW103" s="14">
        <v>7.0</v>
      </c>
      <c r="AX103" s="14" t="s">
        <v>99</v>
      </c>
      <c r="AY103" s="14" t="s">
        <v>99</v>
      </c>
      <c r="AZ103" s="14" t="s">
        <v>99</v>
      </c>
      <c r="BA103" s="14" t="s">
        <v>99</v>
      </c>
      <c r="BB103" s="14">
        <v>679.0</v>
      </c>
      <c r="BC103" s="14">
        <v>693.0</v>
      </c>
      <c r="BD103" s="14" t="s">
        <v>99</v>
      </c>
      <c r="BE103" s="14" t="s">
        <v>9647</v>
      </c>
      <c r="BF103" s="15" t="str">
        <f>HYPERLINK("http://dx.doi.org/10.1046/j.1365-2486.2002.00502.x","http://dx.doi.org/10.1046/j.1365-2486.2002.00502.x")</f>
        <v>http://dx.doi.org/10.1046/j.1365-2486.2002.00502.x</v>
      </c>
      <c r="BG103" s="14" t="s">
        <v>99</v>
      </c>
      <c r="BH103" s="14" t="s">
        <v>99</v>
      </c>
      <c r="BI103" s="14">
        <v>15.0</v>
      </c>
      <c r="BJ103" s="14" t="s">
        <v>351</v>
      </c>
      <c r="BK103" s="14" t="s">
        <v>122</v>
      </c>
      <c r="BL103" s="14" t="s">
        <v>352</v>
      </c>
      <c r="BM103" s="14" t="s">
        <v>9648</v>
      </c>
      <c r="BN103" s="14" t="s">
        <v>99</v>
      </c>
      <c r="BO103" s="14" t="s">
        <v>99</v>
      </c>
      <c r="BP103" s="14" t="s">
        <v>99</v>
      </c>
      <c r="BQ103" s="14" t="s">
        <v>99</v>
      </c>
      <c r="BR103" s="14" t="s">
        <v>124</v>
      </c>
      <c r="BS103" s="14" t="s">
        <v>9649</v>
      </c>
      <c r="BT103" s="14" t="str">
        <f>HYPERLINK("https%3A%2F%2Fwww.webofscience.com%2Fwos%2Fwoscc%2Ffull-record%2FWOS:000176055800007","View Full Record in Web of Science")</f>
        <v>View Full Record in Web of Science</v>
      </c>
    </row>
    <row r="104" ht="12.75" customHeight="1">
      <c r="A104" s="14" t="s">
        <v>97</v>
      </c>
      <c r="B104" s="14" t="s">
        <v>9716</v>
      </c>
      <c r="C104" s="14" t="s">
        <v>99</v>
      </c>
      <c r="D104" s="14" t="s">
        <v>99</v>
      </c>
      <c r="E104" s="14" t="s">
        <v>99</v>
      </c>
      <c r="F104" s="14" t="s">
        <v>9716</v>
      </c>
      <c r="G104" s="14" t="s">
        <v>99</v>
      </c>
      <c r="H104" s="14" t="s">
        <v>99</v>
      </c>
      <c r="I104" s="14" t="s">
        <v>9717</v>
      </c>
      <c r="J104" s="14" t="s">
        <v>900</v>
      </c>
      <c r="K104" s="14" t="s">
        <v>99</v>
      </c>
      <c r="L104" s="14" t="s">
        <v>99</v>
      </c>
      <c r="M104" s="14" t="s">
        <v>103</v>
      </c>
      <c r="N104" s="14" t="s">
        <v>104</v>
      </c>
      <c r="O104" s="14" t="s">
        <v>99</v>
      </c>
      <c r="P104" s="14" t="s">
        <v>99</v>
      </c>
      <c r="Q104" s="14" t="s">
        <v>99</v>
      </c>
      <c r="R104" s="14" t="s">
        <v>99</v>
      </c>
      <c r="S104" s="14" t="s">
        <v>99</v>
      </c>
      <c r="T104" s="14" t="s">
        <v>99</v>
      </c>
      <c r="U104" s="14" t="s">
        <v>9718</v>
      </c>
      <c r="V104" s="14" t="s">
        <v>9719</v>
      </c>
      <c r="W104" s="14" t="s">
        <v>9720</v>
      </c>
      <c r="X104" s="14" t="s">
        <v>9721</v>
      </c>
      <c r="Y104" s="14" t="s">
        <v>7871</v>
      </c>
      <c r="Z104" s="14" t="s">
        <v>99</v>
      </c>
      <c r="AA104" s="14" t="s">
        <v>9722</v>
      </c>
      <c r="AB104" s="14" t="s">
        <v>9723</v>
      </c>
      <c r="AC104" s="14" t="s">
        <v>99</v>
      </c>
      <c r="AD104" s="14" t="s">
        <v>99</v>
      </c>
      <c r="AE104" s="14" t="s">
        <v>99</v>
      </c>
      <c r="AF104" s="14" t="s">
        <v>99</v>
      </c>
      <c r="AG104" s="14">
        <v>29.0</v>
      </c>
      <c r="AH104" s="14">
        <v>655.0</v>
      </c>
      <c r="AI104" s="14">
        <v>792.0</v>
      </c>
      <c r="AJ104" s="14">
        <v>1.0</v>
      </c>
      <c r="AK104" s="14">
        <v>206.0</v>
      </c>
      <c r="AL104" s="14" t="s">
        <v>1326</v>
      </c>
      <c r="AM104" s="14" t="s">
        <v>274</v>
      </c>
      <c r="AN104" s="14" t="s">
        <v>1327</v>
      </c>
      <c r="AO104" s="14" t="s">
        <v>912</v>
      </c>
      <c r="AP104" s="14" t="s">
        <v>99</v>
      </c>
      <c r="AQ104" s="14" t="s">
        <v>99</v>
      </c>
      <c r="AR104" s="14" t="s">
        <v>900</v>
      </c>
      <c r="AS104" s="14" t="s">
        <v>914</v>
      </c>
      <c r="AT104" s="14" t="s">
        <v>9724</v>
      </c>
      <c r="AU104" s="14">
        <v>2002.0</v>
      </c>
      <c r="AV104" s="14">
        <v>416.0</v>
      </c>
      <c r="AW104" s="14">
        <v>6881.0</v>
      </c>
      <c r="AX104" s="14" t="s">
        <v>99</v>
      </c>
      <c r="AY104" s="14" t="s">
        <v>99</v>
      </c>
      <c r="AZ104" s="14" t="s">
        <v>99</v>
      </c>
      <c r="BA104" s="14" t="s">
        <v>99</v>
      </c>
      <c r="BB104" s="14">
        <v>626.0</v>
      </c>
      <c r="BC104" s="14">
        <v>629.0</v>
      </c>
      <c r="BD104" s="14" t="s">
        <v>99</v>
      </c>
      <c r="BE104" s="14" t="s">
        <v>9725</v>
      </c>
      <c r="BF104" s="15" t="str">
        <f>HYPERLINK("http://dx.doi.org/10.1038/416626a","http://dx.doi.org/10.1038/416626a")</f>
        <v>http://dx.doi.org/10.1038/416626a</v>
      </c>
      <c r="BG104" s="14" t="s">
        <v>99</v>
      </c>
      <c r="BH104" s="14" t="s">
        <v>99</v>
      </c>
      <c r="BI104" s="14">
        <v>5.0</v>
      </c>
      <c r="BJ104" s="14" t="s">
        <v>799</v>
      </c>
      <c r="BK104" s="14" t="s">
        <v>122</v>
      </c>
      <c r="BL104" s="14" t="s">
        <v>801</v>
      </c>
      <c r="BM104" s="14" t="s">
        <v>9726</v>
      </c>
      <c r="BN104" s="14">
        <v>1.1948349E7</v>
      </c>
      <c r="BO104" s="14" t="s">
        <v>99</v>
      </c>
      <c r="BP104" s="14" t="s">
        <v>99</v>
      </c>
      <c r="BQ104" s="14" t="s">
        <v>99</v>
      </c>
      <c r="BR104" s="14" t="s">
        <v>124</v>
      </c>
      <c r="BS104" s="14" t="s">
        <v>9727</v>
      </c>
      <c r="BT104" s="14" t="str">
        <f>HYPERLINK("https%3A%2F%2Fwww.webofscience.com%2Fwos%2Fwoscc%2Ffull-record%2FWOS:000174901900041","View Full Record in Web of Science")</f>
        <v>View Full Record in Web of Science</v>
      </c>
    </row>
    <row r="105" ht="12.75" customHeight="1">
      <c r="A105" s="14" t="s">
        <v>97</v>
      </c>
      <c r="B105" s="14" t="s">
        <v>9883</v>
      </c>
      <c r="C105" s="14" t="s">
        <v>99</v>
      </c>
      <c r="D105" s="14" t="s">
        <v>99</v>
      </c>
      <c r="E105" s="14" t="s">
        <v>99</v>
      </c>
      <c r="F105" s="14" t="s">
        <v>9883</v>
      </c>
      <c r="G105" s="14" t="s">
        <v>99</v>
      </c>
      <c r="H105" s="14" t="s">
        <v>99</v>
      </c>
      <c r="I105" s="14" t="s">
        <v>9884</v>
      </c>
      <c r="J105" s="14" t="s">
        <v>9885</v>
      </c>
      <c r="K105" s="14" t="s">
        <v>99</v>
      </c>
      <c r="L105" s="14" t="s">
        <v>99</v>
      </c>
      <c r="M105" s="14" t="s">
        <v>103</v>
      </c>
      <c r="N105" s="14" t="s">
        <v>104</v>
      </c>
      <c r="O105" s="14" t="s">
        <v>99</v>
      </c>
      <c r="P105" s="14" t="s">
        <v>99</v>
      </c>
      <c r="Q105" s="14" t="s">
        <v>99</v>
      </c>
      <c r="R105" s="14" t="s">
        <v>99</v>
      </c>
      <c r="S105" s="14" t="s">
        <v>99</v>
      </c>
      <c r="T105" s="14" t="s">
        <v>9886</v>
      </c>
      <c r="U105" s="14" t="s">
        <v>9887</v>
      </c>
      <c r="V105" s="14" t="s">
        <v>9888</v>
      </c>
      <c r="W105" s="14" t="s">
        <v>9889</v>
      </c>
      <c r="X105" s="14" t="s">
        <v>9890</v>
      </c>
      <c r="Y105" s="14" t="s">
        <v>9891</v>
      </c>
      <c r="Z105" s="14" t="s">
        <v>99</v>
      </c>
      <c r="AA105" s="14" t="s">
        <v>9892</v>
      </c>
      <c r="AB105" s="14" t="s">
        <v>9893</v>
      </c>
      <c r="AC105" s="14" t="s">
        <v>99</v>
      </c>
      <c r="AD105" s="14" t="s">
        <v>99</v>
      </c>
      <c r="AE105" s="14" t="s">
        <v>99</v>
      </c>
      <c r="AF105" s="14" t="s">
        <v>99</v>
      </c>
      <c r="AG105" s="14">
        <v>72.0</v>
      </c>
      <c r="AH105" s="14">
        <v>261.0</v>
      </c>
      <c r="AI105" s="14">
        <v>312.0</v>
      </c>
      <c r="AJ105" s="14">
        <v>1.0</v>
      </c>
      <c r="AK105" s="14">
        <v>159.0</v>
      </c>
      <c r="AL105" s="14" t="s">
        <v>9894</v>
      </c>
      <c r="AM105" s="14" t="s">
        <v>468</v>
      </c>
      <c r="AN105" s="14" t="s">
        <v>9895</v>
      </c>
      <c r="AO105" s="14" t="s">
        <v>9896</v>
      </c>
      <c r="AP105" s="14" t="s">
        <v>99</v>
      </c>
      <c r="AQ105" s="14" t="s">
        <v>99</v>
      </c>
      <c r="AR105" s="14" t="s">
        <v>9897</v>
      </c>
      <c r="AS105" s="14" t="s">
        <v>9898</v>
      </c>
      <c r="AT105" s="14" t="s">
        <v>1485</v>
      </c>
      <c r="AU105" s="14">
        <v>2001.0</v>
      </c>
      <c r="AV105" s="14">
        <v>70.0</v>
      </c>
      <c r="AW105" s="14">
        <v>2.0</v>
      </c>
      <c r="AX105" s="14" t="s">
        <v>99</v>
      </c>
      <c r="AY105" s="14" t="s">
        <v>99</v>
      </c>
      <c r="AZ105" s="14" t="s">
        <v>99</v>
      </c>
      <c r="BA105" s="14" t="s">
        <v>99</v>
      </c>
      <c r="BB105" s="14">
        <v>201.0</v>
      </c>
      <c r="BC105" s="14">
        <v>217.0</v>
      </c>
      <c r="BD105" s="14" t="s">
        <v>99</v>
      </c>
      <c r="BE105" s="14" t="s">
        <v>9899</v>
      </c>
      <c r="BF105" s="15" t="str">
        <f>HYPERLINK("http://dx.doi.org/10.1046/j.1365-2656.2001.00480.x","http://dx.doi.org/10.1046/j.1365-2656.2001.00480.x")</f>
        <v>http://dx.doi.org/10.1046/j.1365-2656.2001.00480.x</v>
      </c>
      <c r="BG105" s="14" t="s">
        <v>99</v>
      </c>
      <c r="BH105" s="14" t="s">
        <v>99</v>
      </c>
      <c r="BI105" s="14">
        <v>17.0</v>
      </c>
      <c r="BJ105" s="14" t="s">
        <v>189</v>
      </c>
      <c r="BK105" s="14" t="s">
        <v>122</v>
      </c>
      <c r="BL105" s="14" t="s">
        <v>190</v>
      </c>
      <c r="BM105" s="14" t="s">
        <v>9900</v>
      </c>
      <c r="BN105" s="14" t="s">
        <v>99</v>
      </c>
      <c r="BO105" s="14" t="s">
        <v>99</v>
      </c>
      <c r="BP105" s="14" t="s">
        <v>99</v>
      </c>
      <c r="BQ105" s="14" t="s">
        <v>99</v>
      </c>
      <c r="BR105" s="14" t="s">
        <v>124</v>
      </c>
      <c r="BS105" s="14" t="s">
        <v>9901</v>
      </c>
      <c r="BT105" s="14" t="str">
        <f>HYPERLINK("https%3A%2F%2Fwww.webofscience.com%2Fwos%2Fwoscc%2Ffull-record%2FWOS:000169014300004","View Full Record in Web of Science")</f>
        <v>View Full Record in Web of Science</v>
      </c>
    </row>
    <row r="106" ht="12.75" customHeight="1">
      <c r="A106" s="14" t="s">
        <v>97</v>
      </c>
      <c r="B106" s="14" t="s">
        <v>10057</v>
      </c>
      <c r="C106" s="14" t="s">
        <v>99</v>
      </c>
      <c r="D106" s="14" t="s">
        <v>99</v>
      </c>
      <c r="E106" s="14" t="s">
        <v>99</v>
      </c>
      <c r="F106" s="14" t="s">
        <v>10057</v>
      </c>
      <c r="G106" s="14" t="s">
        <v>99</v>
      </c>
      <c r="H106" s="14" t="s">
        <v>99</v>
      </c>
      <c r="I106" s="14" t="s">
        <v>10058</v>
      </c>
      <c r="J106" s="14" t="s">
        <v>2357</v>
      </c>
      <c r="K106" s="14" t="s">
        <v>99</v>
      </c>
      <c r="L106" s="14" t="s">
        <v>99</v>
      </c>
      <c r="M106" s="14" t="s">
        <v>103</v>
      </c>
      <c r="N106" s="14" t="s">
        <v>104</v>
      </c>
      <c r="O106" s="14" t="s">
        <v>99</v>
      </c>
      <c r="P106" s="14" t="s">
        <v>99</v>
      </c>
      <c r="Q106" s="14" t="s">
        <v>99</v>
      </c>
      <c r="R106" s="14" t="s">
        <v>99</v>
      </c>
      <c r="S106" s="14" t="s">
        <v>99</v>
      </c>
      <c r="T106" s="14" t="s">
        <v>99</v>
      </c>
      <c r="U106" s="14" t="s">
        <v>10059</v>
      </c>
      <c r="V106" s="14" t="s">
        <v>10060</v>
      </c>
      <c r="W106" s="14" t="s">
        <v>10061</v>
      </c>
      <c r="X106" s="14" t="s">
        <v>10062</v>
      </c>
      <c r="Y106" s="14" t="s">
        <v>10063</v>
      </c>
      <c r="Z106" s="14" t="s">
        <v>99</v>
      </c>
      <c r="AA106" s="14" t="s">
        <v>99</v>
      </c>
      <c r="AB106" s="14" t="s">
        <v>99</v>
      </c>
      <c r="AC106" s="14" t="s">
        <v>99</v>
      </c>
      <c r="AD106" s="14" t="s">
        <v>99</v>
      </c>
      <c r="AE106" s="14" t="s">
        <v>99</v>
      </c>
      <c r="AF106" s="14" t="s">
        <v>99</v>
      </c>
      <c r="AG106" s="14">
        <v>71.0</v>
      </c>
      <c r="AH106" s="14">
        <v>54.0</v>
      </c>
      <c r="AI106" s="14">
        <v>60.0</v>
      </c>
      <c r="AJ106" s="14">
        <v>0.0</v>
      </c>
      <c r="AK106" s="14">
        <v>11.0</v>
      </c>
      <c r="AL106" s="14" t="s">
        <v>9352</v>
      </c>
      <c r="AM106" s="14" t="s">
        <v>1732</v>
      </c>
      <c r="AN106" s="14" t="s">
        <v>9822</v>
      </c>
      <c r="AO106" s="14" t="s">
        <v>2369</v>
      </c>
      <c r="AP106" s="14" t="s">
        <v>99</v>
      </c>
      <c r="AQ106" s="14" t="s">
        <v>99</v>
      </c>
      <c r="AR106" s="14" t="s">
        <v>2357</v>
      </c>
      <c r="AS106" s="14" t="s">
        <v>2371</v>
      </c>
      <c r="AT106" s="14" t="s">
        <v>280</v>
      </c>
      <c r="AU106" s="14">
        <v>1999.0</v>
      </c>
      <c r="AV106" s="14">
        <v>41.0</v>
      </c>
      <c r="AW106" s="14">
        <v>2.0</v>
      </c>
      <c r="AX106" s="14" t="s">
        <v>99</v>
      </c>
      <c r="AY106" s="14" t="s">
        <v>99</v>
      </c>
      <c r="AZ106" s="14" t="s">
        <v>99</v>
      </c>
      <c r="BA106" s="14" t="s">
        <v>99</v>
      </c>
      <c r="BB106" s="14">
        <v>213.0</v>
      </c>
      <c r="BC106" s="14">
        <v>248.0</v>
      </c>
      <c r="BD106" s="14" t="s">
        <v>99</v>
      </c>
      <c r="BE106" s="14" t="s">
        <v>10064</v>
      </c>
      <c r="BF106" s="15" t="str">
        <f>HYPERLINK("http://dx.doi.org/10.1023/A:1005483507351","http://dx.doi.org/10.1023/A:1005483507351")</f>
        <v>http://dx.doi.org/10.1023/A:1005483507351</v>
      </c>
      <c r="BG106" s="14" t="s">
        <v>99</v>
      </c>
      <c r="BH106" s="14" t="s">
        <v>99</v>
      </c>
      <c r="BI106" s="14">
        <v>36.0</v>
      </c>
      <c r="BJ106" s="14" t="s">
        <v>573</v>
      </c>
      <c r="BK106" s="14" t="s">
        <v>122</v>
      </c>
      <c r="BL106" s="14" t="s">
        <v>574</v>
      </c>
      <c r="BM106" s="14" t="s">
        <v>10065</v>
      </c>
      <c r="BN106" s="14" t="s">
        <v>99</v>
      </c>
      <c r="BO106" s="14" t="s">
        <v>99</v>
      </c>
      <c r="BP106" s="14" t="s">
        <v>99</v>
      </c>
      <c r="BQ106" s="14" t="s">
        <v>99</v>
      </c>
      <c r="BR106" s="14" t="s">
        <v>124</v>
      </c>
      <c r="BS106" s="14" t="s">
        <v>10066</v>
      </c>
      <c r="BT106" s="14" t="str">
        <f>HYPERLINK("https%3A%2F%2Fwww.webofscience.com%2Fwos%2Fwoscc%2Ffull-record%2FWOS:000078751700005","View Full Record in Web of Science")</f>
        <v>View Full Record in Web of Science</v>
      </c>
    </row>
    <row r="107" ht="12.75" customHeight="1">
      <c r="A107" s="14" t="s">
        <v>97</v>
      </c>
      <c r="B107" s="14" t="s">
        <v>10157</v>
      </c>
      <c r="C107" s="14" t="s">
        <v>99</v>
      </c>
      <c r="D107" s="14" t="s">
        <v>99</v>
      </c>
      <c r="E107" s="14" t="s">
        <v>99</v>
      </c>
      <c r="F107" s="14" t="s">
        <v>10157</v>
      </c>
      <c r="G107" s="14" t="s">
        <v>99</v>
      </c>
      <c r="H107" s="14" t="s">
        <v>99</v>
      </c>
      <c r="I107" s="14" t="s">
        <v>10158</v>
      </c>
      <c r="J107" s="14" t="s">
        <v>1605</v>
      </c>
      <c r="K107" s="14" t="s">
        <v>99</v>
      </c>
      <c r="L107" s="14" t="s">
        <v>99</v>
      </c>
      <c r="M107" s="14" t="s">
        <v>103</v>
      </c>
      <c r="N107" s="14" t="s">
        <v>104</v>
      </c>
      <c r="O107" s="14" t="s">
        <v>99</v>
      </c>
      <c r="P107" s="14" t="s">
        <v>99</v>
      </c>
      <c r="Q107" s="14" t="s">
        <v>99</v>
      </c>
      <c r="R107" s="14" t="s">
        <v>99</v>
      </c>
      <c r="S107" s="14" t="s">
        <v>99</v>
      </c>
      <c r="T107" s="14" t="s">
        <v>10159</v>
      </c>
      <c r="U107" s="14" t="s">
        <v>10160</v>
      </c>
      <c r="V107" s="14" t="s">
        <v>10161</v>
      </c>
      <c r="W107" s="14" t="s">
        <v>10162</v>
      </c>
      <c r="X107" s="14" t="s">
        <v>10163</v>
      </c>
      <c r="Y107" s="14" t="s">
        <v>10164</v>
      </c>
      <c r="Z107" s="14" t="s">
        <v>10165</v>
      </c>
      <c r="AA107" s="14" t="s">
        <v>10166</v>
      </c>
      <c r="AB107" s="14" t="s">
        <v>10167</v>
      </c>
      <c r="AC107" s="14" t="s">
        <v>99</v>
      </c>
      <c r="AD107" s="14" t="s">
        <v>99</v>
      </c>
      <c r="AE107" s="14" t="s">
        <v>99</v>
      </c>
      <c r="AF107" s="14" t="s">
        <v>99</v>
      </c>
      <c r="AG107" s="14">
        <v>93.0</v>
      </c>
      <c r="AH107" s="14">
        <v>55.0</v>
      </c>
      <c r="AI107" s="14">
        <v>60.0</v>
      </c>
      <c r="AJ107" s="14">
        <v>1.0</v>
      </c>
      <c r="AK107" s="14">
        <v>30.0</v>
      </c>
      <c r="AL107" s="14" t="s">
        <v>1822</v>
      </c>
      <c r="AM107" s="14" t="s">
        <v>6591</v>
      </c>
      <c r="AN107" s="14" t="s">
        <v>6592</v>
      </c>
      <c r="AO107" s="14" t="s">
        <v>1618</v>
      </c>
      <c r="AP107" s="14" t="s">
        <v>99</v>
      </c>
      <c r="AQ107" s="14" t="s">
        <v>99</v>
      </c>
      <c r="AR107" s="14" t="s">
        <v>1620</v>
      </c>
      <c r="AS107" s="14" t="s">
        <v>1621</v>
      </c>
      <c r="AT107" s="14" t="s">
        <v>935</v>
      </c>
      <c r="AU107" s="14">
        <v>1998.0</v>
      </c>
      <c r="AV107" s="14">
        <v>25.0</v>
      </c>
      <c r="AW107" s="14">
        <v>1.0</v>
      </c>
      <c r="AX107" s="14" t="s">
        <v>99</v>
      </c>
      <c r="AY107" s="14" t="s">
        <v>99</v>
      </c>
      <c r="AZ107" s="14" t="s">
        <v>99</v>
      </c>
      <c r="BA107" s="14" t="s">
        <v>99</v>
      </c>
      <c r="BB107" s="14">
        <v>111.0</v>
      </c>
      <c r="BC107" s="14">
        <v>122.0</v>
      </c>
      <c r="BD107" s="14" t="s">
        <v>99</v>
      </c>
      <c r="BE107" s="14" t="s">
        <v>10168</v>
      </c>
      <c r="BF107" s="15" t="str">
        <f>HYPERLINK("http://dx.doi.org/10.1046/j.1365-2699.1998.251192.x","http://dx.doi.org/10.1046/j.1365-2699.1998.251192.x")</f>
        <v>http://dx.doi.org/10.1046/j.1365-2699.1998.251192.x</v>
      </c>
      <c r="BG107" s="14" t="s">
        <v>99</v>
      </c>
      <c r="BH107" s="14" t="s">
        <v>99</v>
      </c>
      <c r="BI107" s="14">
        <v>12.0</v>
      </c>
      <c r="BJ107" s="14" t="s">
        <v>869</v>
      </c>
      <c r="BK107" s="14" t="s">
        <v>122</v>
      </c>
      <c r="BL107" s="14" t="s">
        <v>870</v>
      </c>
      <c r="BM107" s="14" t="s">
        <v>10169</v>
      </c>
      <c r="BN107" s="14" t="s">
        <v>99</v>
      </c>
      <c r="BO107" s="14" t="s">
        <v>99</v>
      </c>
      <c r="BP107" s="14" t="s">
        <v>99</v>
      </c>
      <c r="BQ107" s="14" t="s">
        <v>99</v>
      </c>
      <c r="BR107" s="14" t="s">
        <v>124</v>
      </c>
      <c r="BS107" s="14" t="s">
        <v>10170</v>
      </c>
      <c r="BT107" s="14" t="str">
        <f>HYPERLINK("https%3A%2F%2Fwww.webofscience.com%2Fwos%2Fwoscc%2Ffull-record%2FWOS:000073382800011","View Full Record in Web of Science")</f>
        <v>View Full Record in Web of Science</v>
      </c>
    </row>
    <row r="108" ht="12.75" customHeight="1">
      <c r="A108" s="14" t="s">
        <v>97</v>
      </c>
      <c r="B108" s="14" t="s">
        <v>10181</v>
      </c>
      <c r="C108" s="14" t="s">
        <v>99</v>
      </c>
      <c r="D108" s="14" t="s">
        <v>99</v>
      </c>
      <c r="E108" s="14" t="s">
        <v>99</v>
      </c>
      <c r="F108" s="14" t="s">
        <v>10181</v>
      </c>
      <c r="G108" s="14" t="s">
        <v>99</v>
      </c>
      <c r="H108" s="14" t="s">
        <v>99</v>
      </c>
      <c r="I108" s="14" t="s">
        <v>10182</v>
      </c>
      <c r="J108" s="14" t="s">
        <v>328</v>
      </c>
      <c r="K108" s="14" t="s">
        <v>99</v>
      </c>
      <c r="L108" s="14" t="s">
        <v>99</v>
      </c>
      <c r="M108" s="14" t="s">
        <v>103</v>
      </c>
      <c r="N108" s="14" t="s">
        <v>104</v>
      </c>
      <c r="O108" s="14" t="s">
        <v>99</v>
      </c>
      <c r="P108" s="14" t="s">
        <v>99</v>
      </c>
      <c r="Q108" s="14" t="s">
        <v>99</v>
      </c>
      <c r="R108" s="14" t="s">
        <v>99</v>
      </c>
      <c r="S108" s="14" t="s">
        <v>99</v>
      </c>
      <c r="T108" s="14" t="s">
        <v>10183</v>
      </c>
      <c r="U108" s="14" t="s">
        <v>10184</v>
      </c>
      <c r="V108" s="14" t="s">
        <v>10185</v>
      </c>
      <c r="W108" s="14" t="s">
        <v>10186</v>
      </c>
      <c r="X108" s="14" t="s">
        <v>10187</v>
      </c>
      <c r="Y108" s="14" t="s">
        <v>10188</v>
      </c>
      <c r="Z108" s="14" t="s">
        <v>99</v>
      </c>
      <c r="AA108" s="14" t="s">
        <v>99</v>
      </c>
      <c r="AB108" s="14" t="s">
        <v>99</v>
      </c>
      <c r="AC108" s="14" t="s">
        <v>99</v>
      </c>
      <c r="AD108" s="14" t="s">
        <v>99</v>
      </c>
      <c r="AE108" s="14" t="s">
        <v>99</v>
      </c>
      <c r="AF108" s="14" t="s">
        <v>99</v>
      </c>
      <c r="AG108" s="14">
        <v>38.0</v>
      </c>
      <c r="AH108" s="14">
        <v>28.0</v>
      </c>
      <c r="AI108" s="14">
        <v>35.0</v>
      </c>
      <c r="AJ108" s="14">
        <v>0.0</v>
      </c>
      <c r="AK108" s="14">
        <v>44.0</v>
      </c>
      <c r="AL108" s="14" t="s">
        <v>9894</v>
      </c>
      <c r="AM108" s="14" t="s">
        <v>468</v>
      </c>
      <c r="AN108" s="14" t="s">
        <v>9895</v>
      </c>
      <c r="AO108" s="14" t="s">
        <v>344</v>
      </c>
      <c r="AP108" s="14" t="s">
        <v>99</v>
      </c>
      <c r="AQ108" s="14" t="s">
        <v>99</v>
      </c>
      <c r="AR108" s="14" t="s">
        <v>10189</v>
      </c>
      <c r="AS108" s="14" t="s">
        <v>347</v>
      </c>
      <c r="AT108" s="14" t="s">
        <v>1058</v>
      </c>
      <c r="AU108" s="14">
        <v>1997.0</v>
      </c>
      <c r="AV108" s="14">
        <v>3.0</v>
      </c>
      <c r="AW108" s="14">
        <v>6.0</v>
      </c>
      <c r="AX108" s="14" t="s">
        <v>99</v>
      </c>
      <c r="AY108" s="14" t="s">
        <v>99</v>
      </c>
      <c r="AZ108" s="14" t="s">
        <v>99</v>
      </c>
      <c r="BA108" s="14" t="s">
        <v>99</v>
      </c>
      <c r="BB108" s="14">
        <v>531.0</v>
      </c>
      <c r="BC108" s="14">
        <v>544.0</v>
      </c>
      <c r="BD108" s="14" t="s">
        <v>99</v>
      </c>
      <c r="BE108" s="14" t="s">
        <v>10190</v>
      </c>
      <c r="BF108" s="15" t="str">
        <f>HYPERLINK("http://dx.doi.org/10.1046/j.1365-2486.1997.00093.x","http://dx.doi.org/10.1046/j.1365-2486.1997.00093.x")</f>
        <v>http://dx.doi.org/10.1046/j.1365-2486.1997.00093.x</v>
      </c>
      <c r="BG108" s="14" t="s">
        <v>99</v>
      </c>
      <c r="BH108" s="14" t="s">
        <v>99</v>
      </c>
      <c r="BI108" s="14">
        <v>14.0</v>
      </c>
      <c r="BJ108" s="14" t="s">
        <v>351</v>
      </c>
      <c r="BK108" s="14" t="s">
        <v>122</v>
      </c>
      <c r="BL108" s="14" t="s">
        <v>352</v>
      </c>
      <c r="BM108" s="14" t="s">
        <v>10191</v>
      </c>
      <c r="BN108" s="14" t="s">
        <v>99</v>
      </c>
      <c r="BO108" s="14" t="s">
        <v>99</v>
      </c>
      <c r="BP108" s="14" t="s">
        <v>99</v>
      </c>
      <c r="BQ108" s="14" t="s">
        <v>99</v>
      </c>
      <c r="BR108" s="14" t="s">
        <v>124</v>
      </c>
      <c r="BS108" s="14" t="s">
        <v>10192</v>
      </c>
      <c r="BT108" s="14" t="str">
        <f>HYPERLINK("https%3A%2F%2Fwww.webofscience.com%2Fwos%2Fwoscc%2Ffull-record%2FWOS:000071220600007","View Full Record in Web of Science")</f>
        <v>View Full Record in Web of Science</v>
      </c>
    </row>
    <row r="109" ht="12.75" customHeight="1">
      <c r="A109" s="14" t="s">
        <v>97</v>
      </c>
      <c r="B109" s="14" t="s">
        <v>10271</v>
      </c>
      <c r="C109" s="14" t="s">
        <v>99</v>
      </c>
      <c r="D109" s="14" t="s">
        <v>99</v>
      </c>
      <c r="E109" s="14" t="s">
        <v>99</v>
      </c>
      <c r="F109" s="14" t="s">
        <v>10271</v>
      </c>
      <c r="G109" s="14" t="s">
        <v>99</v>
      </c>
      <c r="H109" s="14" t="s">
        <v>99</v>
      </c>
      <c r="I109" s="14" t="s">
        <v>10272</v>
      </c>
      <c r="J109" s="14" t="s">
        <v>10273</v>
      </c>
      <c r="K109" s="14" t="s">
        <v>99</v>
      </c>
      <c r="L109" s="14" t="s">
        <v>99</v>
      </c>
      <c r="M109" s="14" t="s">
        <v>103</v>
      </c>
      <c r="N109" s="14" t="s">
        <v>2284</v>
      </c>
      <c r="O109" s="14" t="s">
        <v>10274</v>
      </c>
      <c r="P109" s="14" t="s">
        <v>10275</v>
      </c>
      <c r="Q109" s="14" t="s">
        <v>10276</v>
      </c>
      <c r="R109" s="14" t="s">
        <v>10277</v>
      </c>
      <c r="S109" s="14" t="s">
        <v>99</v>
      </c>
      <c r="T109" s="14" t="s">
        <v>99</v>
      </c>
      <c r="U109" s="14" t="s">
        <v>10278</v>
      </c>
      <c r="V109" s="14" t="s">
        <v>10279</v>
      </c>
      <c r="W109" s="14" t="s">
        <v>10280</v>
      </c>
      <c r="X109" s="14" t="s">
        <v>99</v>
      </c>
      <c r="Y109" s="14" t="s">
        <v>10281</v>
      </c>
      <c r="Z109" s="14" t="s">
        <v>99</v>
      </c>
      <c r="AA109" s="14" t="s">
        <v>10282</v>
      </c>
      <c r="AB109" s="14" t="s">
        <v>10283</v>
      </c>
      <c r="AC109" s="14" t="s">
        <v>99</v>
      </c>
      <c r="AD109" s="14" t="s">
        <v>99</v>
      </c>
      <c r="AE109" s="14" t="s">
        <v>99</v>
      </c>
      <c r="AF109" s="14" t="s">
        <v>99</v>
      </c>
      <c r="AG109" s="14">
        <v>27.0</v>
      </c>
      <c r="AH109" s="14">
        <v>386.0</v>
      </c>
      <c r="AI109" s="14">
        <v>475.0</v>
      </c>
      <c r="AJ109" s="14">
        <v>0.0</v>
      </c>
      <c r="AK109" s="14">
        <v>91.0</v>
      </c>
      <c r="AL109" s="14" t="s">
        <v>10284</v>
      </c>
      <c r="AM109" s="14" t="s">
        <v>9737</v>
      </c>
      <c r="AN109" s="14" t="s">
        <v>10285</v>
      </c>
      <c r="AO109" s="14" t="s">
        <v>10286</v>
      </c>
      <c r="AP109" s="14" t="s">
        <v>99</v>
      </c>
      <c r="AQ109" s="14" t="s">
        <v>99</v>
      </c>
      <c r="AR109" s="14" t="s">
        <v>10287</v>
      </c>
      <c r="AS109" s="14" t="s">
        <v>10288</v>
      </c>
      <c r="AT109" s="14" t="s">
        <v>525</v>
      </c>
      <c r="AU109" s="14">
        <v>1996.0</v>
      </c>
      <c r="AV109" s="14">
        <v>41.0</v>
      </c>
      <c r="AW109" s="14">
        <v>5.0</v>
      </c>
      <c r="AX109" s="14" t="s">
        <v>99</v>
      </c>
      <c r="AY109" s="14" t="s">
        <v>99</v>
      </c>
      <c r="AZ109" s="14" t="s">
        <v>99</v>
      </c>
      <c r="BA109" s="14" t="s">
        <v>99</v>
      </c>
      <c r="BB109" s="14">
        <v>1109.0</v>
      </c>
      <c r="BC109" s="14">
        <v>1115.0</v>
      </c>
      <c r="BD109" s="14" t="s">
        <v>99</v>
      </c>
      <c r="BE109" s="14" t="s">
        <v>10289</v>
      </c>
      <c r="BF109" s="15" t="str">
        <f>HYPERLINK("http://dx.doi.org/10.4319/lo.1996.41.5.1109","http://dx.doi.org/10.4319/lo.1996.41.5.1109")</f>
        <v>http://dx.doi.org/10.4319/lo.1996.41.5.1109</v>
      </c>
      <c r="BG109" s="14" t="s">
        <v>99</v>
      </c>
      <c r="BH109" s="14" t="s">
        <v>99</v>
      </c>
      <c r="BI109" s="14">
        <v>7.0</v>
      </c>
      <c r="BJ109" s="14" t="s">
        <v>10290</v>
      </c>
      <c r="BK109" s="14" t="s">
        <v>9825</v>
      </c>
      <c r="BL109" s="14" t="s">
        <v>720</v>
      </c>
      <c r="BM109" s="14" t="s">
        <v>10291</v>
      </c>
      <c r="BN109" s="14" t="s">
        <v>99</v>
      </c>
      <c r="BO109" s="14" t="s">
        <v>238</v>
      </c>
      <c r="BP109" s="14" t="s">
        <v>99</v>
      </c>
      <c r="BQ109" s="14" t="s">
        <v>99</v>
      </c>
      <c r="BR109" s="14" t="s">
        <v>124</v>
      </c>
      <c r="BS109" s="14" t="s">
        <v>10292</v>
      </c>
      <c r="BT109" s="14" t="str">
        <f>HYPERLINK("https%3A%2F%2Fwww.webofscience.com%2Fwos%2Fwoscc%2Ffull-record%2FWOS:A1996VN45800034","View Full Record in Web of Science")</f>
        <v>View Full Record in Web of Science</v>
      </c>
    </row>
    <row r="110" ht="12.75" customHeight="1">
      <c r="A110" s="14" t="s">
        <v>97</v>
      </c>
      <c r="B110" s="14" t="s">
        <v>10309</v>
      </c>
      <c r="C110" s="14" t="s">
        <v>99</v>
      </c>
      <c r="D110" s="14" t="s">
        <v>99</v>
      </c>
      <c r="E110" s="14" t="s">
        <v>99</v>
      </c>
      <c r="F110" s="14" t="s">
        <v>10309</v>
      </c>
      <c r="G110" s="14" t="s">
        <v>99</v>
      </c>
      <c r="H110" s="14" t="s">
        <v>99</v>
      </c>
      <c r="I110" s="14" t="s">
        <v>10310</v>
      </c>
      <c r="J110" s="14" t="s">
        <v>10311</v>
      </c>
      <c r="K110" s="14" t="s">
        <v>99</v>
      </c>
      <c r="L110" s="14" t="s">
        <v>99</v>
      </c>
      <c r="M110" s="14" t="s">
        <v>103</v>
      </c>
      <c r="N110" s="14" t="s">
        <v>104</v>
      </c>
      <c r="O110" s="14" t="s">
        <v>99</v>
      </c>
      <c r="P110" s="14" t="s">
        <v>99</v>
      </c>
      <c r="Q110" s="14" t="s">
        <v>99</v>
      </c>
      <c r="R110" s="14" t="s">
        <v>99</v>
      </c>
      <c r="S110" s="14" t="s">
        <v>99</v>
      </c>
      <c r="T110" s="14" t="s">
        <v>10312</v>
      </c>
      <c r="U110" s="14" t="s">
        <v>10313</v>
      </c>
      <c r="V110" s="14" t="s">
        <v>10314</v>
      </c>
      <c r="W110" s="14" t="s">
        <v>10315</v>
      </c>
      <c r="X110" s="14" t="s">
        <v>10316</v>
      </c>
      <c r="Y110" s="14" t="s">
        <v>99</v>
      </c>
      <c r="Z110" s="14" t="s">
        <v>99</v>
      </c>
      <c r="AA110" s="14" t="s">
        <v>10317</v>
      </c>
      <c r="AB110" s="14" t="s">
        <v>10318</v>
      </c>
      <c r="AC110" s="14" t="s">
        <v>99</v>
      </c>
      <c r="AD110" s="14" t="s">
        <v>99</v>
      </c>
      <c r="AE110" s="14" t="s">
        <v>99</v>
      </c>
      <c r="AF110" s="14" t="s">
        <v>99</v>
      </c>
      <c r="AG110" s="14">
        <v>29.0</v>
      </c>
      <c r="AH110" s="14">
        <v>118.0</v>
      </c>
      <c r="AI110" s="14">
        <v>128.0</v>
      </c>
      <c r="AJ110" s="14">
        <v>0.0</v>
      </c>
      <c r="AK110" s="14">
        <v>46.0</v>
      </c>
      <c r="AL110" s="14" t="s">
        <v>9894</v>
      </c>
      <c r="AM110" s="14" t="s">
        <v>468</v>
      </c>
      <c r="AN110" s="14" t="s">
        <v>10319</v>
      </c>
      <c r="AO110" s="14" t="s">
        <v>10320</v>
      </c>
      <c r="AP110" s="14" t="s">
        <v>99</v>
      </c>
      <c r="AQ110" s="14" t="s">
        <v>99</v>
      </c>
      <c r="AR110" s="14" t="s">
        <v>866</v>
      </c>
      <c r="AS110" s="14" t="s">
        <v>10321</v>
      </c>
      <c r="AT110" s="14" t="s">
        <v>935</v>
      </c>
      <c r="AU110" s="14">
        <v>1996.0</v>
      </c>
      <c r="AV110" s="14">
        <v>5.0</v>
      </c>
      <c r="AW110" s="14">
        <v>1.0</v>
      </c>
      <c r="AX110" s="14" t="s">
        <v>99</v>
      </c>
      <c r="AY110" s="14" t="s">
        <v>99</v>
      </c>
      <c r="AZ110" s="14" t="s">
        <v>99</v>
      </c>
      <c r="BA110" s="14" t="s">
        <v>99</v>
      </c>
      <c r="BB110" s="14">
        <v>23.0</v>
      </c>
      <c r="BC110" s="14">
        <v>29.0</v>
      </c>
      <c r="BD110" s="14" t="s">
        <v>99</v>
      </c>
      <c r="BE110" s="14" t="s">
        <v>10322</v>
      </c>
      <c r="BF110" s="15" t="str">
        <f>HYPERLINK("http://dx.doi.org/10.2307/2997467","http://dx.doi.org/10.2307/2997467")</f>
        <v>http://dx.doi.org/10.2307/2997467</v>
      </c>
      <c r="BG110" s="14" t="s">
        <v>99</v>
      </c>
      <c r="BH110" s="14" t="s">
        <v>99</v>
      </c>
      <c r="BI110" s="14">
        <v>7.0</v>
      </c>
      <c r="BJ110" s="14" t="s">
        <v>869</v>
      </c>
      <c r="BK110" s="14" t="s">
        <v>122</v>
      </c>
      <c r="BL110" s="14" t="s">
        <v>870</v>
      </c>
      <c r="BM110" s="14" t="s">
        <v>10323</v>
      </c>
      <c r="BN110" s="14" t="s">
        <v>99</v>
      </c>
      <c r="BO110" s="14" t="s">
        <v>99</v>
      </c>
      <c r="BP110" s="14" t="s">
        <v>99</v>
      </c>
      <c r="BQ110" s="14" t="s">
        <v>99</v>
      </c>
      <c r="BR110" s="14" t="s">
        <v>124</v>
      </c>
      <c r="BS110" s="14" t="s">
        <v>10324</v>
      </c>
      <c r="BT110" s="14" t="str">
        <f>HYPERLINK("https%3A%2F%2Fwww.webofscience.com%2Fwos%2Fwoscc%2Ffull-record%2FWOS:A1996UF43500005","View Full Record in Web of Science")</f>
        <v>View Full Record in Web of Science</v>
      </c>
    </row>
    <row r="111" ht="12.75" customHeight="1">
      <c r="A111" s="14" t="s">
        <v>97</v>
      </c>
      <c r="B111" s="14" t="s">
        <v>10356</v>
      </c>
      <c r="C111" s="14" t="s">
        <v>99</v>
      </c>
      <c r="D111" s="14" t="s">
        <v>99</v>
      </c>
      <c r="E111" s="14" t="s">
        <v>99</v>
      </c>
      <c r="F111" s="14" t="s">
        <v>10356</v>
      </c>
      <c r="G111" s="14" t="s">
        <v>99</v>
      </c>
      <c r="H111" s="14" t="s">
        <v>99</v>
      </c>
      <c r="I111" s="14" t="s">
        <v>10357</v>
      </c>
      <c r="J111" s="14" t="s">
        <v>1605</v>
      </c>
      <c r="K111" s="14" t="s">
        <v>99</v>
      </c>
      <c r="L111" s="14" t="s">
        <v>99</v>
      </c>
      <c r="M111" s="14" t="s">
        <v>103</v>
      </c>
      <c r="N111" s="14" t="s">
        <v>104</v>
      </c>
      <c r="O111" s="14" t="s">
        <v>99</v>
      </c>
      <c r="P111" s="14" t="s">
        <v>99</v>
      </c>
      <c r="Q111" s="14" t="s">
        <v>99</v>
      </c>
      <c r="R111" s="14" t="s">
        <v>99</v>
      </c>
      <c r="S111" s="14" t="s">
        <v>99</v>
      </c>
      <c r="T111" s="14" t="s">
        <v>10358</v>
      </c>
      <c r="U111" s="14" t="s">
        <v>10359</v>
      </c>
      <c r="V111" s="14" t="s">
        <v>10360</v>
      </c>
      <c r="W111" s="14" t="s">
        <v>10361</v>
      </c>
      <c r="X111" s="14" t="s">
        <v>10362</v>
      </c>
      <c r="Y111" s="14" t="s">
        <v>10363</v>
      </c>
      <c r="Z111" s="14" t="s">
        <v>99</v>
      </c>
      <c r="AA111" s="14" t="s">
        <v>10364</v>
      </c>
      <c r="AB111" s="14" t="s">
        <v>10365</v>
      </c>
      <c r="AC111" s="14" t="s">
        <v>99</v>
      </c>
      <c r="AD111" s="14" t="s">
        <v>99</v>
      </c>
      <c r="AE111" s="14" t="s">
        <v>99</v>
      </c>
      <c r="AF111" s="14" t="s">
        <v>99</v>
      </c>
      <c r="AG111" s="14">
        <v>88.0</v>
      </c>
      <c r="AH111" s="14">
        <v>308.0</v>
      </c>
      <c r="AI111" s="14">
        <v>344.0</v>
      </c>
      <c r="AJ111" s="14">
        <v>0.0</v>
      </c>
      <c r="AK111" s="14">
        <v>88.0</v>
      </c>
      <c r="AL111" s="14" t="s">
        <v>341</v>
      </c>
      <c r="AM111" s="14" t="s">
        <v>342</v>
      </c>
      <c r="AN111" s="14" t="s">
        <v>343</v>
      </c>
      <c r="AO111" s="14" t="s">
        <v>1618</v>
      </c>
      <c r="AP111" s="14" t="s">
        <v>1619</v>
      </c>
      <c r="AQ111" s="14" t="s">
        <v>99</v>
      </c>
      <c r="AR111" s="14" t="s">
        <v>1620</v>
      </c>
      <c r="AS111" s="14" t="s">
        <v>1621</v>
      </c>
      <c r="AT111" s="14" t="s">
        <v>348</v>
      </c>
      <c r="AU111" s="14">
        <v>1995.0</v>
      </c>
      <c r="AV111" s="14">
        <v>22.0</v>
      </c>
      <c r="AW111" s="14">
        <v>6.0</v>
      </c>
      <c r="AX111" s="14" t="s">
        <v>99</v>
      </c>
      <c r="AY111" s="14" t="s">
        <v>99</v>
      </c>
      <c r="AZ111" s="14" t="s">
        <v>99</v>
      </c>
      <c r="BA111" s="14" t="s">
        <v>99</v>
      </c>
      <c r="BB111" s="14">
        <v>967.0</v>
      </c>
      <c r="BC111" s="14">
        <v>1001.0</v>
      </c>
      <c r="BD111" s="14" t="s">
        <v>99</v>
      </c>
      <c r="BE111" s="14" t="s">
        <v>10366</v>
      </c>
      <c r="BF111" s="15" t="str">
        <f>HYPERLINK("http://dx.doi.org/10.2307/2845830","http://dx.doi.org/10.2307/2845830")</f>
        <v>http://dx.doi.org/10.2307/2845830</v>
      </c>
      <c r="BG111" s="14" t="s">
        <v>99</v>
      </c>
      <c r="BH111" s="14" t="s">
        <v>99</v>
      </c>
      <c r="BI111" s="14">
        <v>35.0</v>
      </c>
      <c r="BJ111" s="14" t="s">
        <v>869</v>
      </c>
      <c r="BK111" s="14" t="s">
        <v>122</v>
      </c>
      <c r="BL111" s="14" t="s">
        <v>870</v>
      </c>
      <c r="BM111" s="14" t="s">
        <v>10367</v>
      </c>
      <c r="BN111" s="14" t="s">
        <v>99</v>
      </c>
      <c r="BO111" s="14" t="s">
        <v>99</v>
      </c>
      <c r="BP111" s="14" t="s">
        <v>99</v>
      </c>
      <c r="BQ111" s="14" t="s">
        <v>99</v>
      </c>
      <c r="BR111" s="14" t="s">
        <v>124</v>
      </c>
      <c r="BS111" s="14" t="s">
        <v>10368</v>
      </c>
      <c r="BT111" s="14" t="str">
        <f>HYPERLINK("https%3A%2F%2Fwww.webofscience.com%2Fwos%2Fwoscc%2Ffull-record%2FWOS:A1995UL12900002","View Full Record in Web of Science")</f>
        <v>View Full Record in Web of Science</v>
      </c>
    </row>
    <row r="112" ht="12.75" customHeight="1">
      <c r="A112" s="14" t="s">
        <v>97</v>
      </c>
      <c r="B112" s="14" t="s">
        <v>10387</v>
      </c>
      <c r="C112" s="14" t="s">
        <v>99</v>
      </c>
      <c r="D112" s="14" t="s">
        <v>99</v>
      </c>
      <c r="E112" s="14" t="s">
        <v>99</v>
      </c>
      <c r="F112" s="14" t="s">
        <v>10387</v>
      </c>
      <c r="G112" s="14" t="s">
        <v>99</v>
      </c>
      <c r="H112" s="14" t="s">
        <v>99</v>
      </c>
      <c r="I112" s="14" t="s">
        <v>10388</v>
      </c>
      <c r="J112" s="14" t="s">
        <v>1102</v>
      </c>
      <c r="K112" s="14" t="s">
        <v>99</v>
      </c>
      <c r="L112" s="14" t="s">
        <v>99</v>
      </c>
      <c r="M112" s="14" t="s">
        <v>103</v>
      </c>
      <c r="N112" s="14" t="s">
        <v>104</v>
      </c>
      <c r="O112" s="14" t="s">
        <v>99</v>
      </c>
      <c r="P112" s="14" t="s">
        <v>99</v>
      </c>
      <c r="Q112" s="14" t="s">
        <v>99</v>
      </c>
      <c r="R112" s="14" t="s">
        <v>99</v>
      </c>
      <c r="S112" s="14" t="s">
        <v>99</v>
      </c>
      <c r="T112" s="14" t="s">
        <v>10389</v>
      </c>
      <c r="U112" s="14" t="s">
        <v>10390</v>
      </c>
      <c r="V112" s="14" t="s">
        <v>10391</v>
      </c>
      <c r="W112" s="14" t="s">
        <v>10392</v>
      </c>
      <c r="X112" s="14" t="s">
        <v>99</v>
      </c>
      <c r="Y112" s="14" t="s">
        <v>99</v>
      </c>
      <c r="Z112" s="14" t="s">
        <v>99</v>
      </c>
      <c r="AA112" s="14" t="s">
        <v>99</v>
      </c>
      <c r="AB112" s="14" t="s">
        <v>99</v>
      </c>
      <c r="AC112" s="14" t="s">
        <v>99</v>
      </c>
      <c r="AD112" s="14" t="s">
        <v>99</v>
      </c>
      <c r="AE112" s="14" t="s">
        <v>99</v>
      </c>
      <c r="AF112" s="14" t="s">
        <v>99</v>
      </c>
      <c r="AG112" s="14">
        <v>47.0</v>
      </c>
      <c r="AH112" s="14">
        <v>111.0</v>
      </c>
      <c r="AI112" s="14">
        <v>121.0</v>
      </c>
      <c r="AJ112" s="14">
        <v>0.0</v>
      </c>
      <c r="AK112" s="14">
        <v>42.0</v>
      </c>
      <c r="AL112" s="14" t="s">
        <v>493</v>
      </c>
      <c r="AM112" s="14" t="s">
        <v>468</v>
      </c>
      <c r="AN112" s="14" t="s">
        <v>10393</v>
      </c>
      <c r="AO112" s="14" t="s">
        <v>1112</v>
      </c>
      <c r="AP112" s="14" t="s">
        <v>99</v>
      </c>
      <c r="AQ112" s="14" t="s">
        <v>99</v>
      </c>
      <c r="AR112" s="14" t="s">
        <v>1114</v>
      </c>
      <c r="AS112" s="14" t="s">
        <v>1115</v>
      </c>
      <c r="AT112" s="14" t="s">
        <v>99</v>
      </c>
      <c r="AU112" s="14">
        <v>1995.0</v>
      </c>
      <c r="AV112" s="14">
        <v>72.0</v>
      </c>
      <c r="AW112" s="14">
        <v>3.0</v>
      </c>
      <c r="AX112" s="14" t="s">
        <v>99</v>
      </c>
      <c r="AY112" s="14" t="s">
        <v>99</v>
      </c>
      <c r="AZ112" s="14" t="s">
        <v>99</v>
      </c>
      <c r="BA112" s="14" t="s">
        <v>99</v>
      </c>
      <c r="BB112" s="14">
        <v>339.0</v>
      </c>
      <c r="BC112" s="14">
        <v>354.0</v>
      </c>
      <c r="BD112" s="14" t="s">
        <v>99</v>
      </c>
      <c r="BE112" s="14" t="s">
        <v>10394</v>
      </c>
      <c r="BF112" s="15" t="str">
        <f>HYPERLINK("http://dx.doi.org/10.1016/0006-3207(94)00016-J","http://dx.doi.org/10.1016/0006-3207(94)00016-J")</f>
        <v>http://dx.doi.org/10.1016/0006-3207(94)00016-J</v>
      </c>
      <c r="BG112" s="14" t="s">
        <v>99</v>
      </c>
      <c r="BH112" s="14" t="s">
        <v>99</v>
      </c>
      <c r="BI112" s="14">
        <v>16.0</v>
      </c>
      <c r="BJ112" s="14" t="s">
        <v>351</v>
      </c>
      <c r="BK112" s="14" t="s">
        <v>122</v>
      </c>
      <c r="BL112" s="14" t="s">
        <v>352</v>
      </c>
      <c r="BM112" s="14" t="s">
        <v>10395</v>
      </c>
      <c r="BN112" s="14" t="s">
        <v>99</v>
      </c>
      <c r="BO112" s="14" t="s">
        <v>99</v>
      </c>
      <c r="BP112" s="14" t="s">
        <v>99</v>
      </c>
      <c r="BQ112" s="14" t="s">
        <v>99</v>
      </c>
      <c r="BR112" s="14" t="s">
        <v>124</v>
      </c>
      <c r="BS112" s="14" t="s">
        <v>10396</v>
      </c>
      <c r="BT112" s="14" t="str">
        <f>HYPERLINK("https%3A%2F%2Fwww.webofscience.com%2Fwos%2Fwoscc%2Ffull-record%2FWOS:A1995RA24200001","View Full Record in Web of Science")</f>
        <v>View Full Record in Web of Science</v>
      </c>
    </row>
    <row r="113" ht="12.75" customHeight="1">
      <c r="A113" s="14" t="s">
        <v>97</v>
      </c>
      <c r="B113" s="14" t="s">
        <v>10438</v>
      </c>
      <c r="C113" s="14" t="s">
        <v>99</v>
      </c>
      <c r="D113" s="14" t="s">
        <v>99</v>
      </c>
      <c r="E113" s="14" t="s">
        <v>99</v>
      </c>
      <c r="F113" s="14" t="s">
        <v>10438</v>
      </c>
      <c r="G113" s="14" t="s">
        <v>99</v>
      </c>
      <c r="H113" s="14" t="s">
        <v>99</v>
      </c>
      <c r="I113" s="14" t="s">
        <v>10439</v>
      </c>
      <c r="J113" s="14" t="s">
        <v>2142</v>
      </c>
      <c r="K113" s="14" t="s">
        <v>99</v>
      </c>
      <c r="L113" s="14" t="s">
        <v>99</v>
      </c>
      <c r="M113" s="14" t="s">
        <v>103</v>
      </c>
      <c r="N113" s="14" t="s">
        <v>104</v>
      </c>
      <c r="O113" s="14" t="s">
        <v>99</v>
      </c>
      <c r="P113" s="14" t="s">
        <v>99</v>
      </c>
      <c r="Q113" s="14" t="s">
        <v>99</v>
      </c>
      <c r="R113" s="14" t="s">
        <v>99</v>
      </c>
      <c r="S113" s="14" t="s">
        <v>99</v>
      </c>
      <c r="T113" s="14" t="s">
        <v>99</v>
      </c>
      <c r="U113" s="14" t="s">
        <v>99</v>
      </c>
      <c r="V113" s="14" t="s">
        <v>10440</v>
      </c>
      <c r="W113" s="14" t="s">
        <v>10441</v>
      </c>
      <c r="X113" s="14" t="s">
        <v>10442</v>
      </c>
      <c r="Y113" s="14" t="s">
        <v>99</v>
      </c>
      <c r="Z113" s="14" t="s">
        <v>99</v>
      </c>
      <c r="AA113" s="14" t="s">
        <v>99</v>
      </c>
      <c r="AB113" s="14" t="s">
        <v>99</v>
      </c>
      <c r="AC113" s="14" t="s">
        <v>99</v>
      </c>
      <c r="AD113" s="14" t="s">
        <v>99</v>
      </c>
      <c r="AE113" s="14" t="s">
        <v>99</v>
      </c>
      <c r="AF113" s="14" t="s">
        <v>99</v>
      </c>
      <c r="AG113" s="14">
        <v>0.0</v>
      </c>
      <c r="AH113" s="14">
        <v>173.0</v>
      </c>
      <c r="AI113" s="14">
        <v>185.0</v>
      </c>
      <c r="AJ113" s="14">
        <v>0.0</v>
      </c>
      <c r="AK113" s="14">
        <v>65.0</v>
      </c>
      <c r="AL113" s="14" t="s">
        <v>9973</v>
      </c>
      <c r="AM113" s="14" t="s">
        <v>6591</v>
      </c>
      <c r="AN113" s="14" t="s">
        <v>10443</v>
      </c>
      <c r="AO113" s="14" t="s">
        <v>2155</v>
      </c>
      <c r="AP113" s="14" t="s">
        <v>99</v>
      </c>
      <c r="AQ113" s="14" t="s">
        <v>99</v>
      </c>
      <c r="AR113" s="14" t="s">
        <v>2157</v>
      </c>
      <c r="AS113" s="14" t="s">
        <v>2158</v>
      </c>
      <c r="AT113" s="14" t="s">
        <v>421</v>
      </c>
      <c r="AU113" s="14">
        <v>1992.0</v>
      </c>
      <c r="AV113" s="14">
        <v>6.0</v>
      </c>
      <c r="AW113" s="14">
        <v>3.0</v>
      </c>
      <c r="AX113" s="14" t="s">
        <v>99</v>
      </c>
      <c r="AY113" s="14" t="s">
        <v>99</v>
      </c>
      <c r="AZ113" s="14" t="s">
        <v>99</v>
      </c>
      <c r="BA113" s="14" t="s">
        <v>99</v>
      </c>
      <c r="BB113" s="14">
        <v>409.0</v>
      </c>
      <c r="BC113" s="14">
        <v>415.0</v>
      </c>
      <c r="BD113" s="14" t="s">
        <v>99</v>
      </c>
      <c r="BE113" s="14" t="s">
        <v>10444</v>
      </c>
      <c r="BF113" s="15" t="str">
        <f>HYPERLINK("http://dx.doi.org/10.1046/j.1523-1739.1992.06030409.x","http://dx.doi.org/10.1046/j.1523-1739.1992.06030409.x")</f>
        <v>http://dx.doi.org/10.1046/j.1523-1739.1992.06030409.x</v>
      </c>
      <c r="BG113" s="14" t="s">
        <v>99</v>
      </c>
      <c r="BH113" s="14" t="s">
        <v>99</v>
      </c>
      <c r="BI113" s="14">
        <v>7.0</v>
      </c>
      <c r="BJ113" s="14" t="s">
        <v>351</v>
      </c>
      <c r="BK113" s="14" t="s">
        <v>122</v>
      </c>
      <c r="BL113" s="14" t="s">
        <v>352</v>
      </c>
      <c r="BM113" s="14" t="s">
        <v>10445</v>
      </c>
      <c r="BN113" s="14" t="s">
        <v>99</v>
      </c>
      <c r="BO113" s="14" t="s">
        <v>99</v>
      </c>
      <c r="BP113" s="14" t="s">
        <v>99</v>
      </c>
      <c r="BQ113" s="14" t="s">
        <v>99</v>
      </c>
      <c r="BR113" s="14" t="s">
        <v>124</v>
      </c>
      <c r="BS113" s="14" t="s">
        <v>10446</v>
      </c>
      <c r="BT113" s="14" t="str">
        <f>HYPERLINK("https%3A%2F%2Fwww.webofscience.com%2Fwos%2Fwoscc%2Ffull-record%2FWOS:A1992JM32200013","View Full Record in Web of Science")</f>
        <v>View Full Record in Web of Science</v>
      </c>
    </row>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8.0"/>
    <col customWidth="1" min="5" max="5" width="41.38"/>
    <col customWidth="1" min="6" max="7" width="8.0"/>
    <col customWidth="1" min="8" max="14" width="20.13"/>
  </cols>
  <sheetData>
    <row r="1" ht="12.75" customHeight="1">
      <c r="A1" s="14" t="s">
        <v>26</v>
      </c>
      <c r="B1" s="14" t="s">
        <v>27</v>
      </c>
      <c r="C1" s="14" t="s">
        <v>34</v>
      </c>
      <c r="D1" s="14" t="s">
        <v>47</v>
      </c>
      <c r="E1" s="14" t="s">
        <v>9</v>
      </c>
      <c r="F1" s="14" t="s">
        <v>82</v>
      </c>
      <c r="G1" s="14" t="s">
        <v>86</v>
      </c>
      <c r="H1" s="14" t="s">
        <v>95</v>
      </c>
      <c r="I1" s="16" t="s">
        <v>10525</v>
      </c>
      <c r="J1" s="17" t="s">
        <v>10526</v>
      </c>
      <c r="K1" s="17" t="s">
        <v>10527</v>
      </c>
      <c r="L1" s="17" t="s">
        <v>10528</v>
      </c>
      <c r="M1" s="17" t="s">
        <v>10529</v>
      </c>
      <c r="N1" s="17" t="s">
        <v>10530</v>
      </c>
    </row>
    <row r="2" ht="12.75" customHeight="1">
      <c r="A2" s="14" t="s">
        <v>97</v>
      </c>
      <c r="B2" s="14" t="s">
        <v>10181</v>
      </c>
      <c r="C2" s="14" t="s">
        <v>10182</v>
      </c>
      <c r="D2" s="14" t="s">
        <v>10185</v>
      </c>
      <c r="E2" s="14" t="s">
        <v>10190</v>
      </c>
      <c r="F2" s="15" t="str">
        <f>HYPERLINK("http://dx.doi.org/10.1046/j.1365-2486.1997.00093.x","http://dx.doi.org/10.1046/j.1365-2486.1997.00093.x")</f>
        <v>http://dx.doi.org/10.1046/j.1365-2486.1997.00093.x</v>
      </c>
      <c r="G2" s="14" t="s">
        <v>351</v>
      </c>
      <c r="H2" s="14" t="s">
        <v>10192</v>
      </c>
      <c r="N2" s="16">
        <v>1.0</v>
      </c>
    </row>
    <row r="3" ht="12.75" customHeight="1">
      <c r="A3" s="14" t="s">
        <v>97</v>
      </c>
      <c r="B3" s="14" t="s">
        <v>10193</v>
      </c>
      <c r="C3" s="14" t="s">
        <v>10194</v>
      </c>
      <c r="D3" s="14" t="s">
        <v>10197</v>
      </c>
      <c r="E3" s="14" t="s">
        <v>10202</v>
      </c>
      <c r="F3" s="15" t="str">
        <f>HYPERLINK("http://dx.doi.org/10.1111/j.1365-2028.1997.088-89088.x","http://dx.doi.org/10.1111/j.1365-2028.1997.088-89088.x")</f>
        <v>http://dx.doi.org/10.1111/j.1365-2028.1997.088-89088.x</v>
      </c>
      <c r="G3" s="14" t="s">
        <v>259</v>
      </c>
      <c r="H3" s="14" t="s">
        <v>10204</v>
      </c>
      <c r="J3" s="16">
        <v>1.0</v>
      </c>
    </row>
    <row r="4" ht="12.75" customHeight="1">
      <c r="A4" s="14" t="s">
        <v>97</v>
      </c>
      <c r="B4" s="14" t="s">
        <v>10157</v>
      </c>
      <c r="C4" s="14" t="s">
        <v>10158</v>
      </c>
      <c r="D4" s="14" t="s">
        <v>10161</v>
      </c>
      <c r="E4" s="14" t="s">
        <v>10168</v>
      </c>
      <c r="F4" s="15" t="str">
        <f>HYPERLINK("http://dx.doi.org/10.1046/j.1365-2699.1998.251192.x","http://dx.doi.org/10.1046/j.1365-2699.1998.251192.x")</f>
        <v>http://dx.doi.org/10.1046/j.1365-2699.1998.251192.x</v>
      </c>
      <c r="G4" s="14" t="s">
        <v>869</v>
      </c>
      <c r="H4" s="14" t="s">
        <v>10170</v>
      </c>
      <c r="N4" s="16">
        <v>1.0</v>
      </c>
    </row>
    <row r="5" ht="12.75" customHeight="1">
      <c r="A5" s="14" t="s">
        <v>97</v>
      </c>
      <c r="B5" s="14" t="s">
        <v>10131</v>
      </c>
      <c r="C5" s="14" t="s">
        <v>10132</v>
      </c>
      <c r="D5" s="14" t="s">
        <v>10137</v>
      </c>
      <c r="E5" s="14" t="s">
        <v>10140</v>
      </c>
      <c r="F5" s="15" t="str">
        <f>HYPERLINK("http://dx.doi.org/10.1006/jmsc.1997.0321","http://dx.doi.org/10.1006/jmsc.1997.0321")</f>
        <v>http://dx.doi.org/10.1006/jmsc.1997.0321</v>
      </c>
      <c r="G5" s="14" t="s">
        <v>3086</v>
      </c>
      <c r="H5" s="14" t="s">
        <v>10142</v>
      </c>
      <c r="M5" s="16">
        <v>1.0</v>
      </c>
    </row>
    <row r="6" ht="12.75" customHeight="1">
      <c r="A6" s="14" t="s">
        <v>97</v>
      </c>
      <c r="B6" s="14" t="s">
        <v>10120</v>
      </c>
      <c r="C6" s="14" t="s">
        <v>10121</v>
      </c>
      <c r="D6" s="14" t="s">
        <v>10124</v>
      </c>
      <c r="E6" s="14" t="s">
        <v>10128</v>
      </c>
      <c r="F6" s="15" t="str">
        <f>HYPERLINK("http://dx.doi.org/10.1016/S0025-326X(98)80018-0","http://dx.doi.org/10.1016/S0025-326X(98)80018-0")</f>
        <v>http://dx.doi.org/10.1016/S0025-326X(98)80018-0</v>
      </c>
      <c r="G6" s="14" t="s">
        <v>396</v>
      </c>
      <c r="H6" s="14" t="s">
        <v>10130</v>
      </c>
      <c r="M6" s="16">
        <v>1.0</v>
      </c>
    </row>
    <row r="7" ht="12.75" customHeight="1">
      <c r="A7" s="14" t="s">
        <v>97</v>
      </c>
      <c r="B7" s="14" t="s">
        <v>10082</v>
      </c>
      <c r="C7" s="14" t="s">
        <v>10083</v>
      </c>
      <c r="D7" s="14" t="s">
        <v>10086</v>
      </c>
      <c r="E7" s="14" t="s">
        <v>10090</v>
      </c>
      <c r="F7" s="15" t="str">
        <f>HYPERLINK("http://dx.doi.org/10.1016/S0378-1127(98)00256-4","http://dx.doi.org/10.1016/S0378-1127(98)00256-4")</f>
        <v>http://dx.doi.org/10.1016/S0378-1127(98)00256-4</v>
      </c>
      <c r="G7" s="14" t="s">
        <v>281</v>
      </c>
      <c r="H7" s="14" t="s">
        <v>10092</v>
      </c>
      <c r="I7" s="16">
        <v>1.0</v>
      </c>
    </row>
    <row r="8" ht="12.75" customHeight="1">
      <c r="A8" s="14" t="s">
        <v>97</v>
      </c>
      <c r="B8" s="14" t="s">
        <v>10105</v>
      </c>
      <c r="C8" s="14" t="s">
        <v>10106</v>
      </c>
      <c r="D8" s="14" t="s">
        <v>10113</v>
      </c>
      <c r="E8" s="14" t="s">
        <v>10117</v>
      </c>
      <c r="F8" s="15" t="str">
        <f>HYPERLINK("http://dx.doi.org/10.1006/jmsc.1998.0389","http://dx.doi.org/10.1006/jmsc.1998.0389")</f>
        <v>http://dx.doi.org/10.1006/jmsc.1998.0389</v>
      </c>
      <c r="G8" s="14" t="s">
        <v>3086</v>
      </c>
      <c r="H8" s="14" t="s">
        <v>10119</v>
      </c>
      <c r="M8" s="16">
        <v>1.0</v>
      </c>
    </row>
    <row r="9" ht="12.75" customHeight="1">
      <c r="A9" s="14" t="s">
        <v>97</v>
      </c>
      <c r="B9" s="14" t="s">
        <v>10093</v>
      </c>
      <c r="C9" s="14" t="s">
        <v>10094</v>
      </c>
      <c r="D9" s="14" t="s">
        <v>10097</v>
      </c>
      <c r="E9" s="14" t="s">
        <v>10102</v>
      </c>
      <c r="F9" s="15" t="str">
        <f>HYPERLINK("http://dx.doi.org/10.1017/S0266467498000443","http://dx.doi.org/10.1017/S0266467498000443")</f>
        <v>http://dx.doi.org/10.1017/S0266467498000443</v>
      </c>
      <c r="G9" s="14" t="s">
        <v>259</v>
      </c>
      <c r="H9" s="14" t="s">
        <v>10104</v>
      </c>
      <c r="J9" s="16">
        <v>1.0</v>
      </c>
    </row>
    <row r="10" ht="12.75" customHeight="1">
      <c r="A10" s="14" t="s">
        <v>97</v>
      </c>
      <c r="B10" s="14" t="s">
        <v>10057</v>
      </c>
      <c r="C10" s="14" t="s">
        <v>10058</v>
      </c>
      <c r="D10" s="14" t="s">
        <v>10060</v>
      </c>
      <c r="E10" s="14" t="s">
        <v>10064</v>
      </c>
      <c r="F10" s="15" t="str">
        <f>HYPERLINK("http://dx.doi.org/10.1023/A:1005483507351","http://dx.doi.org/10.1023/A:1005483507351")</f>
        <v>http://dx.doi.org/10.1023/A:1005483507351</v>
      </c>
      <c r="G10" s="14" t="s">
        <v>573</v>
      </c>
      <c r="H10" s="14" t="s">
        <v>10066</v>
      </c>
      <c r="N10" s="16">
        <v>1.0</v>
      </c>
    </row>
    <row r="11" ht="12.75" customHeight="1">
      <c r="A11" s="14" t="s">
        <v>97</v>
      </c>
      <c r="B11" s="14" t="s">
        <v>10048</v>
      </c>
      <c r="C11" s="14" t="s">
        <v>10049</v>
      </c>
      <c r="D11" s="14" t="s">
        <v>10051</v>
      </c>
      <c r="E11" s="14" t="s">
        <v>10054</v>
      </c>
      <c r="F11" s="15" t="str">
        <f>HYPERLINK("http://dx.doi.org/10.1046/j.1523-1739.1999.013002385.x","http://dx.doi.org/10.1046/j.1523-1739.1999.013002385.x")</f>
        <v>http://dx.doi.org/10.1046/j.1523-1739.1999.013002385.x</v>
      </c>
      <c r="G11" s="14" t="s">
        <v>351</v>
      </c>
      <c r="H11" s="14" t="s">
        <v>10056</v>
      </c>
      <c r="J11" s="16">
        <v>1.0</v>
      </c>
    </row>
    <row r="12" ht="12.75" customHeight="1">
      <c r="A12" s="14" t="s">
        <v>97</v>
      </c>
      <c r="B12" s="14" t="s">
        <v>9978</v>
      </c>
      <c r="C12" s="14" t="s">
        <v>9979</v>
      </c>
      <c r="D12" s="14" t="s">
        <v>9981</v>
      </c>
      <c r="E12" s="14" t="s">
        <v>9989</v>
      </c>
      <c r="F12" s="15" t="str">
        <f>HYPERLINK("http://dx.doi.org/10.1038/44114","http://dx.doi.org/10.1038/44114")</f>
        <v>http://dx.doi.org/10.1038/44114</v>
      </c>
      <c r="G12" s="14" t="s">
        <v>799</v>
      </c>
      <c r="H12" s="14" t="s">
        <v>9991</v>
      </c>
      <c r="K12" s="16">
        <v>1.0</v>
      </c>
    </row>
    <row r="13" ht="12.75" customHeight="1">
      <c r="A13" s="14" t="s">
        <v>97</v>
      </c>
      <c r="B13" s="14" t="s">
        <v>10030</v>
      </c>
      <c r="C13" s="14" t="s">
        <v>10031</v>
      </c>
      <c r="D13" s="14" t="s">
        <v>10039</v>
      </c>
      <c r="E13" s="14" t="s">
        <v>10045</v>
      </c>
      <c r="F13" s="15" t="str">
        <f>HYPERLINK("http://dx.doi.org/10.1046/j.1365-2699.1999.00123.x","http://dx.doi.org/10.1046/j.1365-2699.1999.00123.x")</f>
        <v>http://dx.doi.org/10.1046/j.1365-2699.1999.00123.x</v>
      </c>
      <c r="G13" s="14" t="s">
        <v>869</v>
      </c>
      <c r="H13" s="14" t="s">
        <v>10047</v>
      </c>
      <c r="K13" s="16">
        <v>1.0</v>
      </c>
    </row>
    <row r="14" ht="12.75" customHeight="1">
      <c r="A14" s="14" t="s">
        <v>97</v>
      </c>
      <c r="B14" s="14" t="s">
        <v>9925</v>
      </c>
      <c r="C14" s="14" t="s">
        <v>9926</v>
      </c>
      <c r="D14" s="14" t="s">
        <v>9929</v>
      </c>
      <c r="E14" s="14" t="s">
        <v>9933</v>
      </c>
      <c r="F14" s="15" t="str">
        <f>HYPERLINK("http://dx.doi.org/10.1016/S0167-8809(00)00158-4","http://dx.doi.org/10.1016/S0167-8809(00)00158-4")</f>
        <v>http://dx.doi.org/10.1016/S0167-8809(00)00158-4</v>
      </c>
      <c r="G14" s="14" t="s">
        <v>5622</v>
      </c>
      <c r="H14" s="14" t="s">
        <v>9935</v>
      </c>
      <c r="I14" s="16">
        <v>1.0</v>
      </c>
    </row>
    <row r="15" ht="12.75" customHeight="1">
      <c r="A15" s="14" t="s">
        <v>97</v>
      </c>
      <c r="B15" s="14" t="s">
        <v>9902</v>
      </c>
      <c r="C15" s="14" t="s">
        <v>9903</v>
      </c>
      <c r="D15" s="14" t="s">
        <v>9905</v>
      </c>
      <c r="E15" s="14" t="s">
        <v>9910</v>
      </c>
      <c r="F15" s="15" t="str">
        <f>HYPERLINK("http://dx.doi.org/10.1046/j.1523-1739.2000.99103.x","http://dx.doi.org/10.1046/j.1523-1739.2000.99103.x")</f>
        <v>http://dx.doi.org/10.1046/j.1523-1739.2000.99103.x</v>
      </c>
      <c r="G15" s="14" t="s">
        <v>351</v>
      </c>
      <c r="H15" s="14" t="s">
        <v>9912</v>
      </c>
      <c r="J15" s="16">
        <v>1.0</v>
      </c>
    </row>
    <row r="16" ht="12.75" customHeight="1">
      <c r="A16" s="14" t="s">
        <v>97</v>
      </c>
      <c r="B16" s="14" t="s">
        <v>9913</v>
      </c>
      <c r="C16" s="14" t="s">
        <v>9914</v>
      </c>
      <c r="D16" s="14" t="s">
        <v>9917</v>
      </c>
      <c r="E16" s="14" t="s">
        <v>9922</v>
      </c>
      <c r="F16" s="15" t="str">
        <f>HYPERLINK("http://dx.doi.org/10.1046/j.1365-2664.2000.00566.x","http://dx.doi.org/10.1046/j.1365-2664.2000.00566.x")</f>
        <v>http://dx.doi.org/10.1046/j.1365-2664.2000.00566.x</v>
      </c>
      <c r="G16" s="14" t="s">
        <v>550</v>
      </c>
      <c r="H16" s="14" t="s">
        <v>9924</v>
      </c>
      <c r="I16" s="16">
        <v>1.0</v>
      </c>
    </row>
    <row r="17" ht="12.75" customHeight="1">
      <c r="A17" s="14" t="s">
        <v>97</v>
      </c>
      <c r="B17" s="14" t="s">
        <v>9837</v>
      </c>
      <c r="C17" s="14" t="s">
        <v>9838</v>
      </c>
      <c r="D17" s="14" t="s">
        <v>9841</v>
      </c>
      <c r="E17" s="14" t="s">
        <v>9848</v>
      </c>
      <c r="F17" s="15" t="str">
        <f>HYPERLINK("http://dx.doi.org/10.1016/S0378-1127(00)00463-1","http://dx.doi.org/10.1016/S0378-1127(00)00463-1")</f>
        <v>http://dx.doi.org/10.1016/S0378-1127(00)00463-1</v>
      </c>
      <c r="G17" s="14" t="s">
        <v>281</v>
      </c>
      <c r="H17" s="14" t="s">
        <v>9850</v>
      </c>
      <c r="I17" s="16">
        <v>1.0</v>
      </c>
    </row>
    <row r="18" ht="12.75" customHeight="1">
      <c r="A18" s="14" t="s">
        <v>97</v>
      </c>
      <c r="B18" s="14" t="s">
        <v>9883</v>
      </c>
      <c r="C18" s="14" t="s">
        <v>9884</v>
      </c>
      <c r="D18" s="14" t="s">
        <v>9888</v>
      </c>
      <c r="E18" s="14" t="s">
        <v>9899</v>
      </c>
      <c r="F18" s="15" t="str">
        <f>HYPERLINK("http://dx.doi.org/10.1046/j.1365-2656.2001.00480.x","http://dx.doi.org/10.1046/j.1365-2656.2001.00480.x")</f>
        <v>http://dx.doi.org/10.1046/j.1365-2656.2001.00480.x</v>
      </c>
      <c r="G18" s="14" t="s">
        <v>189</v>
      </c>
      <c r="H18" s="14" t="s">
        <v>9901</v>
      </c>
      <c r="N18" s="16">
        <v>1.0</v>
      </c>
    </row>
    <row r="19" ht="12.75" customHeight="1">
      <c r="A19" s="14" t="s">
        <v>97</v>
      </c>
      <c r="B19" s="14" t="s">
        <v>9851</v>
      </c>
      <c r="C19" s="14" t="s">
        <v>9852</v>
      </c>
      <c r="D19" s="14" t="s">
        <v>9856</v>
      </c>
      <c r="E19" s="14" t="s">
        <v>9866</v>
      </c>
      <c r="F19" s="15" t="str">
        <f>HYPERLINK("http://dx.doi.org/10.1023/A:1011185409347","http://dx.doi.org/10.1023/A:1011185409347")</f>
        <v>http://dx.doi.org/10.1023/A:1011185409347</v>
      </c>
      <c r="G19" s="14" t="s">
        <v>9867</v>
      </c>
      <c r="H19" s="14" t="s">
        <v>9870</v>
      </c>
      <c r="L19" s="16">
        <v>1.0</v>
      </c>
    </row>
    <row r="20" ht="12.75" customHeight="1">
      <c r="A20" s="14" t="s">
        <v>97</v>
      </c>
      <c r="B20" s="14" t="s">
        <v>7758</v>
      </c>
      <c r="C20" s="14" t="s">
        <v>9828</v>
      </c>
      <c r="D20" s="14" t="s">
        <v>9831</v>
      </c>
      <c r="E20" s="14" t="s">
        <v>9834</v>
      </c>
      <c r="F20" s="15" t="str">
        <f>HYPERLINK("http://dx.doi.org/10.1890/1051-0761(2001)011[1151:SSASMI]2.0.CO;2","http://dx.doi.org/10.1890/1051-0761(2001)011[1151:SSASMI]2.0.CO;2")</f>
        <v>http://dx.doi.org/10.1890/1051-0761(2001)011[1151:SSASMI]2.0.CO;2</v>
      </c>
      <c r="G20" s="14" t="s">
        <v>423</v>
      </c>
      <c r="H20" s="14" t="s">
        <v>9836</v>
      </c>
      <c r="I20" s="16">
        <v>1.0</v>
      </c>
    </row>
    <row r="21" ht="12.75" customHeight="1">
      <c r="A21" s="14" t="s">
        <v>97</v>
      </c>
      <c r="B21" s="14" t="s">
        <v>9809</v>
      </c>
      <c r="C21" s="14" t="s">
        <v>9810</v>
      </c>
      <c r="D21" s="14" t="s">
        <v>9816</v>
      </c>
      <c r="E21" s="14" t="s">
        <v>9824</v>
      </c>
      <c r="F21" s="15" t="str">
        <f>HYPERLINK("http://dx.doi.org/10.1023/A:1013806223310","http://dx.doi.org/10.1023/A:1013806223310")</f>
        <v>http://dx.doi.org/10.1023/A:1013806223310</v>
      </c>
      <c r="G21" s="14" t="s">
        <v>3011</v>
      </c>
      <c r="H21" s="14" t="s">
        <v>9827</v>
      </c>
      <c r="K21" s="16">
        <v>1.0</v>
      </c>
    </row>
    <row r="22" ht="12.75" customHeight="1">
      <c r="A22" s="14" t="s">
        <v>97</v>
      </c>
      <c r="B22" s="14" t="s">
        <v>263</v>
      </c>
      <c r="C22" s="14" t="s">
        <v>264</v>
      </c>
      <c r="D22" s="14" t="s">
        <v>268</v>
      </c>
      <c r="E22" s="14" t="s">
        <v>99</v>
      </c>
      <c r="F22" s="14" t="s">
        <v>99</v>
      </c>
      <c r="G22" s="14" t="s">
        <v>281</v>
      </c>
      <c r="H22" s="14" t="s">
        <v>283</v>
      </c>
      <c r="I22" s="16">
        <v>1.0</v>
      </c>
    </row>
    <row r="23" ht="12.75" customHeight="1">
      <c r="A23" s="14" t="s">
        <v>97</v>
      </c>
      <c r="B23" s="14" t="s">
        <v>9745</v>
      </c>
      <c r="C23" s="14" t="s">
        <v>9746</v>
      </c>
      <c r="D23" s="14" t="s">
        <v>9749</v>
      </c>
      <c r="E23" s="14" t="s">
        <v>9756</v>
      </c>
      <c r="F23" s="15" t="str">
        <f>HYPERLINK("http://dx.doi.org/10.1023/A:1014812701423","http://dx.doi.org/10.1023/A:1014812701423")</f>
        <v>http://dx.doi.org/10.1023/A:1014812701423</v>
      </c>
      <c r="G23" s="14" t="s">
        <v>351</v>
      </c>
      <c r="H23" s="14" t="s">
        <v>9758</v>
      </c>
      <c r="I23" s="16">
        <v>1.0</v>
      </c>
    </row>
    <row r="24" ht="12.75" customHeight="1">
      <c r="A24" s="14" t="s">
        <v>97</v>
      </c>
      <c r="B24" s="14" t="s">
        <v>9716</v>
      </c>
      <c r="C24" s="14" t="s">
        <v>9717</v>
      </c>
      <c r="D24" s="14" t="s">
        <v>9719</v>
      </c>
      <c r="E24" s="14" t="s">
        <v>9725</v>
      </c>
      <c r="F24" s="15" t="str">
        <f>HYPERLINK("http://dx.doi.org/10.1038/416626a","http://dx.doi.org/10.1038/416626a")</f>
        <v>http://dx.doi.org/10.1038/416626a</v>
      </c>
      <c r="G24" s="14" t="s">
        <v>799</v>
      </c>
      <c r="H24" s="14" t="s">
        <v>9727</v>
      </c>
      <c r="N24" s="16">
        <v>1.0</v>
      </c>
    </row>
    <row r="25" ht="12.75" customHeight="1">
      <c r="A25" s="14" t="s">
        <v>97</v>
      </c>
      <c r="B25" s="14" t="s">
        <v>9728</v>
      </c>
      <c r="C25" s="14" t="s">
        <v>9729</v>
      </c>
      <c r="D25" s="14" t="s">
        <v>9733</v>
      </c>
      <c r="E25" s="14" t="s">
        <v>9742</v>
      </c>
      <c r="F25" s="15" t="str">
        <f>HYPERLINK("http://dx.doi.org/10.1614/0043-1745(2002)050[0196:LTEOHA]2.0.CO;2","http://dx.doi.org/10.1614/0043-1745(2002)050[0196:LTEOHA]2.0.CO;2")</f>
        <v>http://dx.doi.org/10.1614/0043-1745(2002)050[0196:LTEOHA]2.0.CO;2</v>
      </c>
      <c r="G25" s="14" t="s">
        <v>5161</v>
      </c>
      <c r="H25" s="14" t="s">
        <v>9744</v>
      </c>
      <c r="I25" s="16">
        <v>1.0</v>
      </c>
    </row>
    <row r="26" ht="12.75" customHeight="1">
      <c r="A26" s="14" t="s">
        <v>97</v>
      </c>
      <c r="B26" s="14" t="s">
        <v>9667</v>
      </c>
      <c r="C26" s="14" t="s">
        <v>9668</v>
      </c>
      <c r="D26" s="14" t="s">
        <v>9671</v>
      </c>
      <c r="E26" s="14" t="s">
        <v>9678</v>
      </c>
      <c r="F26" s="15" t="str">
        <f>HYPERLINK("http://dx.doi.org/10.1046/j.1365-2486.2002.00482.x","http://dx.doi.org/10.1046/j.1365-2486.2002.00482.x")</f>
        <v>http://dx.doi.org/10.1046/j.1365-2486.2002.00482.x</v>
      </c>
      <c r="G26" s="14" t="s">
        <v>351</v>
      </c>
      <c r="H26" s="14" t="s">
        <v>9680</v>
      </c>
      <c r="L26" s="16">
        <v>1.0</v>
      </c>
    </row>
    <row r="27" ht="12.75" customHeight="1">
      <c r="A27" s="14" t="s">
        <v>97</v>
      </c>
      <c r="B27" s="14" t="s">
        <v>9636</v>
      </c>
      <c r="C27" s="14" t="s">
        <v>9637</v>
      </c>
      <c r="D27" s="14" t="s">
        <v>9640</v>
      </c>
      <c r="E27" s="14" t="s">
        <v>9647</v>
      </c>
      <c r="F27" s="15" t="str">
        <f>HYPERLINK("http://dx.doi.org/10.1046/j.1365-2486.2002.00502.x","http://dx.doi.org/10.1046/j.1365-2486.2002.00502.x")</f>
        <v>http://dx.doi.org/10.1046/j.1365-2486.2002.00502.x</v>
      </c>
      <c r="G27" s="14" t="s">
        <v>351</v>
      </c>
      <c r="H27" s="14" t="s">
        <v>9649</v>
      </c>
      <c r="N27" s="16">
        <v>1.0</v>
      </c>
    </row>
    <row r="28" ht="12.75" customHeight="1">
      <c r="A28" s="14" t="s">
        <v>97</v>
      </c>
      <c r="B28" s="14" t="s">
        <v>9623</v>
      </c>
      <c r="C28" s="14" t="s">
        <v>9624</v>
      </c>
      <c r="D28" s="14" t="s">
        <v>9627</v>
      </c>
      <c r="E28" s="14" t="s">
        <v>9633</v>
      </c>
      <c r="F28" s="15" t="str">
        <f>HYPERLINK("http://dx.doi.org/10.1016/S0006-3207(02)00097-6","http://dx.doi.org/10.1016/S0006-3207(02)00097-6")</f>
        <v>http://dx.doi.org/10.1016/S0006-3207(02)00097-6</v>
      </c>
      <c r="G28" s="14" t="s">
        <v>351</v>
      </c>
      <c r="H28" s="14" t="s">
        <v>9635</v>
      </c>
      <c r="I28" s="16">
        <v>1.0</v>
      </c>
    </row>
    <row r="29" ht="12.75" customHeight="1">
      <c r="A29" s="14" t="s">
        <v>97</v>
      </c>
      <c r="B29" s="14" t="s">
        <v>9610</v>
      </c>
      <c r="C29" s="14" t="s">
        <v>9611</v>
      </c>
      <c r="D29" s="14" t="s">
        <v>9614</v>
      </c>
      <c r="E29" s="14" t="s">
        <v>9620</v>
      </c>
      <c r="F29" s="15" t="str">
        <f>HYPERLINK("http://dx.doi.org/10.1016/S0378-1127(01)00758-7","http://dx.doi.org/10.1016/S0378-1127(01)00758-7")</f>
        <v>http://dx.doi.org/10.1016/S0378-1127(01)00758-7</v>
      </c>
      <c r="G29" s="14" t="s">
        <v>281</v>
      </c>
      <c r="H29" s="14" t="s">
        <v>9622</v>
      </c>
      <c r="I29" s="16">
        <v>1.0</v>
      </c>
    </row>
    <row r="30" ht="12.75" customHeight="1">
      <c r="A30" s="14" t="s">
        <v>97</v>
      </c>
      <c r="B30" s="14" t="s">
        <v>9599</v>
      </c>
      <c r="C30" s="14" t="s">
        <v>9600</v>
      </c>
      <c r="D30" s="14" t="s">
        <v>9603</v>
      </c>
      <c r="E30" s="14" t="s">
        <v>9607</v>
      </c>
      <c r="F30" s="15" t="str">
        <f>HYPERLINK("http://dx.doi.org/10.1046/j.1365-2486.2002.00490.x","http://dx.doi.org/10.1046/j.1365-2486.2002.00490.x")</f>
        <v>http://dx.doi.org/10.1046/j.1365-2486.2002.00490.x</v>
      </c>
      <c r="G30" s="14" t="s">
        <v>351</v>
      </c>
      <c r="H30" s="14" t="s">
        <v>9609</v>
      </c>
      <c r="N30" s="16">
        <v>1.0</v>
      </c>
    </row>
    <row r="31" ht="12.75" customHeight="1">
      <c r="A31" s="14" t="s">
        <v>97</v>
      </c>
      <c r="B31" s="14" t="s">
        <v>9783</v>
      </c>
      <c r="C31" s="14" t="s">
        <v>9784</v>
      </c>
      <c r="D31" s="14" t="s">
        <v>9787</v>
      </c>
      <c r="E31" s="14" t="s">
        <v>9794</v>
      </c>
      <c r="F31" s="15" t="str">
        <f>HYPERLINK("http://dx.doi.org/10.3354/meps239001","http://dx.doi.org/10.3354/meps239001")</f>
        <v>http://dx.doi.org/10.3354/meps239001</v>
      </c>
      <c r="G31" s="14" t="s">
        <v>301</v>
      </c>
      <c r="H31" s="14" t="s">
        <v>9796</v>
      </c>
      <c r="M31" s="16">
        <v>1.0</v>
      </c>
    </row>
    <row r="32" ht="12.75" customHeight="1">
      <c r="A32" s="14" t="s">
        <v>97</v>
      </c>
      <c r="B32" s="14" t="s">
        <v>9771</v>
      </c>
      <c r="C32" s="14" t="s">
        <v>9772</v>
      </c>
      <c r="D32" s="14" t="s">
        <v>9775</v>
      </c>
      <c r="E32" s="14" t="s">
        <v>9780</v>
      </c>
      <c r="F32" s="15" t="str">
        <f>HYPERLINK("http://dx.doi.org/10.1023/A:1020305903156","http://dx.doi.org/10.1023/A:1020305903156")</f>
        <v>http://dx.doi.org/10.1023/A:1020305903156</v>
      </c>
      <c r="G32" s="14" t="s">
        <v>351</v>
      </c>
      <c r="H32" s="14" t="s">
        <v>9782</v>
      </c>
      <c r="J32" s="16">
        <v>1.0</v>
      </c>
    </row>
    <row r="33" ht="12.75" customHeight="1">
      <c r="A33" s="14" t="s">
        <v>97</v>
      </c>
      <c r="B33" s="14" t="s">
        <v>9585</v>
      </c>
      <c r="C33" s="14" t="s">
        <v>9586</v>
      </c>
      <c r="D33" s="14" t="s">
        <v>9589</v>
      </c>
      <c r="E33" s="14" t="s">
        <v>9596</v>
      </c>
      <c r="F33" s="15" t="str">
        <f>HYPERLINK("http://dx.doi.org/10.1016/S0378-1127(01)00775-7","http://dx.doi.org/10.1016/S0378-1127(01)00775-7")</f>
        <v>http://dx.doi.org/10.1016/S0378-1127(01)00775-7</v>
      </c>
      <c r="G33" s="14" t="s">
        <v>281</v>
      </c>
      <c r="H33" s="14" t="s">
        <v>9598</v>
      </c>
      <c r="I33" s="16">
        <v>1.0</v>
      </c>
    </row>
    <row r="34" ht="12.75" customHeight="1">
      <c r="A34" s="14" t="s">
        <v>97</v>
      </c>
      <c r="B34" s="14" t="s">
        <v>9570</v>
      </c>
      <c r="C34" s="14" t="s">
        <v>9571</v>
      </c>
      <c r="D34" s="14" t="s">
        <v>9574</v>
      </c>
      <c r="E34" s="14" t="s">
        <v>9582</v>
      </c>
      <c r="F34" s="15" t="str">
        <f>HYPERLINK("http://dx.doi.org/10.1098/rspb.2002.2134","http://dx.doi.org/10.1098/rspb.2002.2134")</f>
        <v>http://dx.doi.org/10.1098/rspb.2002.2134</v>
      </c>
      <c r="G34" s="14" t="s">
        <v>1552</v>
      </c>
      <c r="H34" s="14" t="s">
        <v>9584</v>
      </c>
      <c r="N34" s="16">
        <v>1.0</v>
      </c>
    </row>
    <row r="35" ht="12.75" customHeight="1">
      <c r="A35" s="14" t="s">
        <v>97</v>
      </c>
      <c r="B35" s="14" t="s">
        <v>9553</v>
      </c>
      <c r="C35" s="14" t="s">
        <v>9554</v>
      </c>
      <c r="D35" s="14" t="s">
        <v>9561</v>
      </c>
      <c r="E35" s="14" t="s">
        <v>9567</v>
      </c>
      <c r="F35" s="15" t="str">
        <f>HYPERLINK("http://dx.doi.org/10.1046/j.1466-822X.2002.00307.x","http://dx.doi.org/10.1046/j.1466-822X.2002.00307.x")</f>
        <v>http://dx.doi.org/10.1046/j.1466-822X.2002.00307.x</v>
      </c>
      <c r="G35" s="14" t="s">
        <v>869</v>
      </c>
      <c r="H35" s="14" t="s">
        <v>9569</v>
      </c>
      <c r="N35" s="16">
        <v>1.0</v>
      </c>
    </row>
    <row r="36" ht="12.75" customHeight="1">
      <c r="A36" s="14" t="s">
        <v>97</v>
      </c>
      <c r="B36" s="14" t="s">
        <v>9535</v>
      </c>
      <c r="C36" s="14" t="s">
        <v>9536</v>
      </c>
      <c r="D36" s="14" t="s">
        <v>9539</v>
      </c>
      <c r="E36" s="14" t="s">
        <v>9550</v>
      </c>
      <c r="F36" s="15" t="str">
        <f>HYPERLINK("http://dx.doi.org/10.1007/s00227-002-0905-7","http://dx.doi.org/10.1007/s00227-002-0905-7")</f>
        <v>http://dx.doi.org/10.1007/s00227-002-0905-7</v>
      </c>
      <c r="G36" s="14" t="s">
        <v>8912</v>
      </c>
      <c r="H36" s="14" t="s">
        <v>9552</v>
      </c>
      <c r="M36" s="16">
        <v>1.0</v>
      </c>
    </row>
    <row r="37" ht="12.75" customHeight="1">
      <c r="A37" s="14" t="s">
        <v>97</v>
      </c>
      <c r="B37" s="14" t="s">
        <v>9521</v>
      </c>
      <c r="C37" s="14" t="s">
        <v>9522</v>
      </c>
      <c r="D37" s="14" t="s">
        <v>9524</v>
      </c>
      <c r="E37" s="14" t="s">
        <v>9532</v>
      </c>
      <c r="F37" s="15" t="str">
        <f>HYPERLINK("http://dx.doi.org/10.1038/nature01359","http://dx.doi.org/10.1038/nature01359")</f>
        <v>http://dx.doi.org/10.1038/nature01359</v>
      </c>
      <c r="G37" s="14" t="s">
        <v>799</v>
      </c>
      <c r="H37" s="14" t="s">
        <v>9534</v>
      </c>
      <c r="K37" s="16">
        <v>1.0</v>
      </c>
    </row>
    <row r="38" ht="12.75" customHeight="1">
      <c r="A38" s="14" t="s">
        <v>97</v>
      </c>
      <c r="B38" s="14" t="s">
        <v>9509</v>
      </c>
      <c r="C38" s="14" t="s">
        <v>9510</v>
      </c>
      <c r="D38" s="14" t="s">
        <v>9512</v>
      </c>
      <c r="E38" s="14" t="s">
        <v>9518</v>
      </c>
      <c r="F38" s="15" t="str">
        <f>HYPERLINK("http://dx.doi.org/10.1046/j.1523-1739.2003.01413.x","http://dx.doi.org/10.1046/j.1523-1739.2003.01413.x")</f>
        <v>http://dx.doi.org/10.1046/j.1523-1739.2003.01413.x</v>
      </c>
      <c r="G38" s="14" t="s">
        <v>351</v>
      </c>
      <c r="H38" s="14" t="s">
        <v>9520</v>
      </c>
      <c r="J38" s="16">
        <v>1.0</v>
      </c>
    </row>
    <row r="39" ht="12.75" customHeight="1">
      <c r="A39" s="14" t="s">
        <v>97</v>
      </c>
      <c r="B39" s="14" t="s">
        <v>9479</v>
      </c>
      <c r="C39" s="14" t="s">
        <v>9480</v>
      </c>
      <c r="D39" s="14" t="s">
        <v>9483</v>
      </c>
      <c r="E39" s="14" t="s">
        <v>9492</v>
      </c>
      <c r="F39" s="15" t="str">
        <f>HYPERLINK("http://dx.doi.org/10.1016/S0378-1127(02)00331-6","http://dx.doi.org/10.1016/S0378-1127(02)00331-6")</f>
        <v>http://dx.doi.org/10.1016/S0378-1127(02)00331-6</v>
      </c>
      <c r="G39" s="14" t="s">
        <v>281</v>
      </c>
      <c r="H39" s="14" t="s">
        <v>9494</v>
      </c>
      <c r="I39" s="16">
        <v>1.0</v>
      </c>
    </row>
    <row r="40" ht="12.75" customHeight="1">
      <c r="A40" s="14" t="s">
        <v>97</v>
      </c>
      <c r="B40" s="14" t="s">
        <v>9495</v>
      </c>
      <c r="C40" s="14" t="s">
        <v>9496</v>
      </c>
      <c r="D40" s="14" t="s">
        <v>9499</v>
      </c>
      <c r="E40" s="14" t="s">
        <v>9506</v>
      </c>
      <c r="F40" s="15" t="str">
        <f>HYPERLINK("http://dx.doi.org/10.1046/j.1365-2664.2003.00794.x","http://dx.doi.org/10.1046/j.1365-2664.2003.00794.x")</f>
        <v>http://dx.doi.org/10.1046/j.1365-2664.2003.00794.x</v>
      </c>
      <c r="G40" s="14" t="s">
        <v>550</v>
      </c>
      <c r="H40" s="14" t="s">
        <v>9508</v>
      </c>
      <c r="I40" s="16">
        <v>1.0</v>
      </c>
    </row>
    <row r="41" ht="12.75" customHeight="1">
      <c r="A41" s="14" t="s">
        <v>97</v>
      </c>
      <c r="B41" s="14" t="s">
        <v>9407</v>
      </c>
      <c r="C41" s="14" t="s">
        <v>9408</v>
      </c>
      <c r="D41" s="14" t="s">
        <v>9411</v>
      </c>
      <c r="E41" s="14" t="s">
        <v>9418</v>
      </c>
      <c r="F41" s="15" t="str">
        <f>HYPERLINK("http://dx.doi.org/10.1023/A:1023603813163","http://dx.doi.org/10.1023/A:1023603813163")</f>
        <v>http://dx.doi.org/10.1023/A:1023603813163</v>
      </c>
      <c r="G41" s="14" t="s">
        <v>351</v>
      </c>
      <c r="H41" s="14" t="s">
        <v>9420</v>
      </c>
      <c r="I41" s="16">
        <v>1.0</v>
      </c>
    </row>
    <row r="42" ht="12.75" customHeight="1">
      <c r="A42" s="14" t="s">
        <v>97</v>
      </c>
      <c r="B42" s="14" t="s">
        <v>9467</v>
      </c>
      <c r="C42" s="14" t="s">
        <v>9468</v>
      </c>
      <c r="D42" s="14" t="s">
        <v>9471</v>
      </c>
      <c r="E42" s="14" t="s">
        <v>9476</v>
      </c>
      <c r="F42" s="15" t="str">
        <f>HYPERLINK("http://dx.doi.org/10.1046/j.1365-2486.2003.00616.x","http://dx.doi.org/10.1046/j.1365-2486.2003.00616.x")</f>
        <v>http://dx.doi.org/10.1046/j.1365-2486.2003.00616.x</v>
      </c>
      <c r="G42" s="14" t="s">
        <v>351</v>
      </c>
      <c r="H42" s="14" t="s">
        <v>9478</v>
      </c>
      <c r="N42" s="16">
        <v>1.0</v>
      </c>
    </row>
    <row r="43" ht="12.75" customHeight="1">
      <c r="A43" s="14" t="s">
        <v>97</v>
      </c>
      <c r="B43" s="14" t="s">
        <v>9421</v>
      </c>
      <c r="C43" s="14" t="s">
        <v>9422</v>
      </c>
      <c r="D43" s="14" t="s">
        <v>9425</v>
      </c>
      <c r="E43" s="14" t="s">
        <v>9433</v>
      </c>
      <c r="F43" s="15" t="str">
        <f>HYPERLINK("http://dx.doi.org/10.1016/S0006-3207(02)00414-7","http://dx.doi.org/10.1016/S0006-3207(02)00414-7")</f>
        <v>http://dx.doi.org/10.1016/S0006-3207(02)00414-7</v>
      </c>
      <c r="G43" s="14" t="s">
        <v>351</v>
      </c>
      <c r="H43" s="14" t="s">
        <v>9435</v>
      </c>
      <c r="N43" s="16">
        <v>1.0</v>
      </c>
    </row>
    <row r="44" ht="12.75" customHeight="1">
      <c r="A44" s="14" t="s">
        <v>97</v>
      </c>
      <c r="B44" s="14" t="s">
        <v>9385</v>
      </c>
      <c r="C44" s="14" t="s">
        <v>9386</v>
      </c>
      <c r="D44" s="14" t="s">
        <v>9389</v>
      </c>
      <c r="E44" s="14" t="s">
        <v>9394</v>
      </c>
      <c r="F44" s="15" t="str">
        <f>HYPERLINK("http://dx.doi.org/10.1023/A:1024147529295","http://dx.doi.org/10.1023/A:1024147529295")</f>
        <v>http://dx.doi.org/10.1023/A:1024147529295</v>
      </c>
      <c r="G44" s="14" t="s">
        <v>351</v>
      </c>
      <c r="H44" s="14" t="s">
        <v>9396</v>
      </c>
      <c r="L44" s="16">
        <v>1.0</v>
      </c>
    </row>
    <row r="45" ht="12.75" customHeight="1">
      <c r="A45" s="14" t="s">
        <v>97</v>
      </c>
      <c r="B45" s="14" t="s">
        <v>9449</v>
      </c>
      <c r="C45" s="14" t="s">
        <v>9450</v>
      </c>
      <c r="D45" s="14" t="s">
        <v>9456</v>
      </c>
      <c r="E45" s="14" t="s">
        <v>9464</v>
      </c>
      <c r="F45" s="15" t="str">
        <f>HYPERLINK("http://dx.doi.org/10.1016/S1146-609X(03)00009-2","http://dx.doi.org/10.1016/S1146-609X(03)00009-2")</f>
        <v>http://dx.doi.org/10.1016/S1146-609X(03)00009-2</v>
      </c>
      <c r="G45" s="14" t="s">
        <v>259</v>
      </c>
      <c r="H45" s="14" t="s">
        <v>9466</v>
      </c>
      <c r="M45" s="16">
        <v>1.0</v>
      </c>
    </row>
    <row r="46" ht="12.75" customHeight="1">
      <c r="A46" s="14" t="s">
        <v>97</v>
      </c>
      <c r="B46" s="14" t="s">
        <v>9397</v>
      </c>
      <c r="C46" s="14" t="s">
        <v>9398</v>
      </c>
      <c r="D46" s="14" t="s">
        <v>9400</v>
      </c>
      <c r="E46" s="14" t="s">
        <v>9404</v>
      </c>
      <c r="F46" s="15" t="str">
        <f>HYPERLINK("http://dx.doi.org/10.1023/A:1024847723344","http://dx.doi.org/10.1023/A:1024847723344")</f>
        <v>http://dx.doi.org/10.1023/A:1024847723344</v>
      </c>
      <c r="G46" s="14" t="s">
        <v>573</v>
      </c>
      <c r="H46" s="14" t="s">
        <v>9406</v>
      </c>
      <c r="N46" s="16">
        <v>1.0</v>
      </c>
    </row>
    <row r="47" ht="12.75" customHeight="1">
      <c r="A47" s="14" t="s">
        <v>97</v>
      </c>
      <c r="B47" s="14" t="s">
        <v>9374</v>
      </c>
      <c r="C47" s="14" t="s">
        <v>9375</v>
      </c>
      <c r="D47" s="14" t="s">
        <v>9378</v>
      </c>
      <c r="E47" s="14" t="s">
        <v>9382</v>
      </c>
      <c r="F47" s="15" t="str">
        <f>HYPERLINK("http://dx.doi.org/10.1016/S0378-1127(03)00012-4","http://dx.doi.org/10.1016/S0378-1127(03)00012-4")</f>
        <v>http://dx.doi.org/10.1016/S0378-1127(03)00012-4</v>
      </c>
      <c r="G47" s="14" t="s">
        <v>281</v>
      </c>
      <c r="H47" s="14" t="s">
        <v>9384</v>
      </c>
      <c r="I47" s="16">
        <v>1.0</v>
      </c>
    </row>
    <row r="48" ht="12.75" customHeight="1">
      <c r="A48" s="14" t="s">
        <v>97</v>
      </c>
      <c r="B48" s="14" t="s">
        <v>9341</v>
      </c>
      <c r="C48" s="14" t="s">
        <v>9342</v>
      </c>
      <c r="D48" s="14" t="s">
        <v>9346</v>
      </c>
      <c r="E48" s="14" t="s">
        <v>9357</v>
      </c>
      <c r="F48" s="15" t="str">
        <f>HYPERLINK("http://dx.doi.org/10.1023/A:1025548518991","http://dx.doi.org/10.1023/A:1025548518991")</f>
        <v>http://dx.doi.org/10.1023/A:1025548518991</v>
      </c>
      <c r="G48" s="14" t="s">
        <v>1041</v>
      </c>
      <c r="H48" s="14" t="s">
        <v>9359</v>
      </c>
      <c r="K48" s="16">
        <v>1.0</v>
      </c>
    </row>
    <row r="49" ht="12.75" customHeight="1">
      <c r="A49" s="14" t="s">
        <v>97</v>
      </c>
      <c r="B49" s="14" t="s">
        <v>9327</v>
      </c>
      <c r="C49" s="14" t="s">
        <v>9328</v>
      </c>
      <c r="D49" s="14" t="s">
        <v>9331</v>
      </c>
      <c r="E49" s="14" t="s">
        <v>9338</v>
      </c>
      <c r="F49" s="15" t="str">
        <f>HYPERLINK("http://dx.doi.org/10.1016/S0006-3207(03)00051-X","http://dx.doi.org/10.1016/S0006-3207(03)00051-X")</f>
        <v>http://dx.doi.org/10.1016/S0006-3207(03)00051-X</v>
      </c>
      <c r="G49" s="14" t="s">
        <v>351</v>
      </c>
      <c r="H49" s="14" t="s">
        <v>9340</v>
      </c>
      <c r="L49" s="16">
        <v>1.0</v>
      </c>
    </row>
    <row r="50" ht="12.75" customHeight="1">
      <c r="A50" s="14" t="s">
        <v>97</v>
      </c>
      <c r="B50" s="14" t="s">
        <v>9360</v>
      </c>
      <c r="C50" s="14" t="s">
        <v>9361</v>
      </c>
      <c r="D50" s="14" t="s">
        <v>9364</v>
      </c>
      <c r="E50" s="14" t="s">
        <v>9371</v>
      </c>
      <c r="F50" s="15" t="str">
        <f>HYPERLINK("http://dx.doi.org/10.1098/rspb.2003.2464","http://dx.doi.org/10.1098/rspb.2003.2464")</f>
        <v>http://dx.doi.org/10.1098/rspb.2003.2464</v>
      </c>
      <c r="G50" s="14" t="s">
        <v>1552</v>
      </c>
      <c r="H50" s="14" t="s">
        <v>9373</v>
      </c>
      <c r="N50" s="16">
        <v>1.0</v>
      </c>
    </row>
    <row r="51" ht="12.75" customHeight="1">
      <c r="A51" s="14" t="s">
        <v>97</v>
      </c>
      <c r="B51" s="14" t="s">
        <v>9294</v>
      </c>
      <c r="C51" s="14" t="s">
        <v>9295</v>
      </c>
      <c r="D51" s="14" t="s">
        <v>9297</v>
      </c>
      <c r="E51" s="14" t="s">
        <v>9307</v>
      </c>
      <c r="F51" s="15" t="str">
        <f>HYPERLINK("http://dx.doi.org/10.1038/nature02121","http://dx.doi.org/10.1038/nature02121")</f>
        <v>http://dx.doi.org/10.1038/nature02121</v>
      </c>
      <c r="G51" s="14" t="s">
        <v>799</v>
      </c>
      <c r="H51" s="14" t="s">
        <v>9309</v>
      </c>
      <c r="N51" s="16">
        <v>1.0</v>
      </c>
    </row>
    <row r="52" ht="12.75" customHeight="1">
      <c r="A52" s="14" t="s">
        <v>97</v>
      </c>
      <c r="B52" s="14" t="s">
        <v>9280</v>
      </c>
      <c r="C52" s="14" t="s">
        <v>9281</v>
      </c>
      <c r="D52" s="14" t="s">
        <v>9284</v>
      </c>
      <c r="E52" s="14" t="s">
        <v>9291</v>
      </c>
      <c r="F52" s="15" t="str">
        <f>HYPERLINK("http://dx.doi.org/10.1016/S0378-1127(03)00333-5","http://dx.doi.org/10.1016/S0378-1127(03)00333-5")</f>
        <v>http://dx.doi.org/10.1016/S0378-1127(03)00333-5</v>
      </c>
      <c r="G52" s="14" t="s">
        <v>281</v>
      </c>
      <c r="H52" s="14" t="s">
        <v>9293</v>
      </c>
      <c r="I52" s="16">
        <v>1.0</v>
      </c>
    </row>
    <row r="53" ht="12.75" customHeight="1">
      <c r="A53" s="14" t="s">
        <v>97</v>
      </c>
      <c r="B53" s="14" t="s">
        <v>7133</v>
      </c>
      <c r="C53" s="14" t="s">
        <v>7135</v>
      </c>
      <c r="D53" s="14" t="s">
        <v>7139</v>
      </c>
      <c r="E53" s="14" t="s">
        <v>7154</v>
      </c>
      <c r="F53" s="15" t="str">
        <f>HYPERLINK("http://dx.doi.org/10.3832/ifor0470-0010145","http://dx.doi.org/10.3832/ifor0470-0010145")</f>
        <v>http://dx.doi.org/10.3832/ifor0470-0010145</v>
      </c>
      <c r="G53" s="14" t="s">
        <v>281</v>
      </c>
      <c r="H53" s="14" t="s">
        <v>7156</v>
      </c>
      <c r="I53" s="16">
        <v>1.0</v>
      </c>
    </row>
    <row r="54" ht="12.75" customHeight="1">
      <c r="A54" s="14" t="s">
        <v>97</v>
      </c>
      <c r="B54" s="14" t="s">
        <v>7042</v>
      </c>
      <c r="C54" s="14" t="s">
        <v>7044</v>
      </c>
      <c r="D54" s="14" t="s">
        <v>7046</v>
      </c>
      <c r="E54" s="14" t="s">
        <v>7055</v>
      </c>
      <c r="F54" s="15" t="str">
        <f>HYPERLINK("http://dx.doi.org/10.1177/194008290900200108","http://dx.doi.org/10.1177/194008290900200108")</f>
        <v>http://dx.doi.org/10.1177/194008290900200108</v>
      </c>
      <c r="G54" s="14" t="s">
        <v>693</v>
      </c>
      <c r="H54" s="14" t="s">
        <v>7057</v>
      </c>
      <c r="J54" s="16">
        <v>1.0</v>
      </c>
    </row>
    <row r="55" ht="12.75" customHeight="1">
      <c r="A55" s="14" t="s">
        <v>97</v>
      </c>
      <c r="B55" s="14" t="s">
        <v>8616</v>
      </c>
      <c r="C55" s="14" t="s">
        <v>8618</v>
      </c>
      <c r="D55" s="14" t="s">
        <v>8621</v>
      </c>
      <c r="E55" s="14" t="s">
        <v>8636</v>
      </c>
      <c r="F55" s="15" t="str">
        <f>HYPERLINK("http://dx.doi.org/10.1186/1746-4269-2-24","http://dx.doi.org/10.1186/1746-4269-2-24")</f>
        <v>http://dx.doi.org/10.1186/1746-4269-2-24</v>
      </c>
      <c r="G55" s="14" t="s">
        <v>8637</v>
      </c>
      <c r="H55" s="14" t="s">
        <v>8640</v>
      </c>
      <c r="L55" s="16">
        <v>1.0</v>
      </c>
    </row>
    <row r="56" ht="12.75" customHeight="1">
      <c r="A56" s="14" t="s">
        <v>97</v>
      </c>
      <c r="B56" s="14" t="s">
        <v>2737</v>
      </c>
      <c r="C56" s="14" t="s">
        <v>2739</v>
      </c>
      <c r="D56" s="14" t="s">
        <v>2741</v>
      </c>
      <c r="E56" s="14" t="s">
        <v>2752</v>
      </c>
      <c r="F56" s="15" t="str">
        <f>HYPERLINK("http://dx.doi.org/10.1126/sciadv.1500052","http://dx.doi.org/10.1126/sciadv.1500052")</f>
        <v>http://dx.doi.org/10.1126/sciadv.1500052</v>
      </c>
      <c r="G56" s="14" t="s">
        <v>799</v>
      </c>
      <c r="H56" s="14" t="s">
        <v>2754</v>
      </c>
      <c r="K56" s="16">
        <v>1.0</v>
      </c>
    </row>
    <row r="57" ht="12.75" customHeight="1">
      <c r="A57" s="14" t="s">
        <v>97</v>
      </c>
      <c r="B57" s="14" t="s">
        <v>9310</v>
      </c>
      <c r="C57" s="14" t="s">
        <v>9311</v>
      </c>
      <c r="D57" s="14" t="s">
        <v>9315</v>
      </c>
      <c r="E57" s="14" t="s">
        <v>9324</v>
      </c>
      <c r="F57" s="15" t="str">
        <f>HYPERLINK("http://dx.doi.org/10.1023/B:NHAZ.0000020259.58716.0d","http://dx.doi.org/10.1023/B:NHAZ.0000020259.58716.0d")</f>
        <v>http://dx.doi.org/10.1023/B:NHAZ.0000020259.58716.0d</v>
      </c>
      <c r="G57" s="14" t="s">
        <v>8246</v>
      </c>
      <c r="H57" s="14" t="s">
        <v>9326</v>
      </c>
      <c r="K57" s="16">
        <v>1.0</v>
      </c>
    </row>
    <row r="58" ht="12.75" customHeight="1">
      <c r="A58" s="14" t="s">
        <v>97</v>
      </c>
      <c r="B58" s="14" t="s">
        <v>9265</v>
      </c>
      <c r="C58" s="14" t="s">
        <v>9266</v>
      </c>
      <c r="D58" s="14" t="s">
        <v>9269</v>
      </c>
      <c r="E58" s="14" t="s">
        <v>9277</v>
      </c>
      <c r="F58" s="15" t="str">
        <f>HYPERLINK("http://dx.doi.org/10.1111/j.0141-6707.2004.00441.x","http://dx.doi.org/10.1111/j.0141-6707.2004.00441.x")</f>
        <v>http://dx.doi.org/10.1111/j.0141-6707.2004.00441.x</v>
      </c>
      <c r="G58" s="14" t="s">
        <v>259</v>
      </c>
      <c r="H58" s="14" t="s">
        <v>9279</v>
      </c>
      <c r="J58" s="16">
        <v>1.0</v>
      </c>
    </row>
    <row r="59" ht="12.75" customHeight="1">
      <c r="A59" s="14" t="s">
        <v>97</v>
      </c>
      <c r="B59" s="14" t="s">
        <v>9238</v>
      </c>
      <c r="C59" s="14" t="s">
        <v>9239</v>
      </c>
      <c r="D59" s="14" t="s">
        <v>9242</v>
      </c>
      <c r="E59" s="14" t="s">
        <v>9249</v>
      </c>
      <c r="F59" s="15" t="str">
        <f>HYPERLINK("http://dx.doi.org/10.1016/j.agee.2003.09.014","http://dx.doi.org/10.1016/j.agee.2003.09.014")</f>
        <v>http://dx.doi.org/10.1016/j.agee.2003.09.014</v>
      </c>
      <c r="G59" s="14" t="s">
        <v>5622</v>
      </c>
      <c r="H59" s="14" t="s">
        <v>9251</v>
      </c>
      <c r="I59" s="16">
        <v>1.0</v>
      </c>
    </row>
    <row r="60" ht="12.75" customHeight="1">
      <c r="A60" s="14" t="s">
        <v>97</v>
      </c>
      <c r="B60" s="14" t="s">
        <v>9198</v>
      </c>
      <c r="C60" s="14" t="s">
        <v>9199</v>
      </c>
      <c r="D60" s="14" t="s">
        <v>9202</v>
      </c>
      <c r="E60" s="14" t="s">
        <v>9207</v>
      </c>
      <c r="F60" s="15" t="str">
        <f>HYPERLINK("http://dx.doi.org/10.1016/j.ecolmodel.2003.07.012","http://dx.doi.org/10.1016/j.ecolmodel.2003.07.012")</f>
        <v>http://dx.doi.org/10.1016/j.ecolmodel.2003.07.012</v>
      </c>
      <c r="G60" s="14" t="s">
        <v>259</v>
      </c>
      <c r="H60" s="14" t="s">
        <v>9209</v>
      </c>
      <c r="N60" s="16">
        <v>1.0</v>
      </c>
    </row>
    <row r="61" ht="12.75" customHeight="1">
      <c r="A61" s="14" t="s">
        <v>97</v>
      </c>
      <c r="B61" s="14" t="s">
        <v>9227</v>
      </c>
      <c r="C61" s="14" t="s">
        <v>9228</v>
      </c>
      <c r="D61" s="14" t="s">
        <v>9230</v>
      </c>
      <c r="E61" s="14" t="s">
        <v>9235</v>
      </c>
      <c r="F61" s="15" t="str">
        <f>HYPERLINK("http://dx.doi.org/10.1111/j.0906-7590.2004.03823.x","http://dx.doi.org/10.1111/j.0906-7590.2004.03823.x")</f>
        <v>http://dx.doi.org/10.1111/j.0906-7590.2004.03823.x</v>
      </c>
      <c r="G61" s="14" t="s">
        <v>550</v>
      </c>
      <c r="H61" s="14" t="s">
        <v>9237</v>
      </c>
      <c r="N61" s="16">
        <v>1.0</v>
      </c>
    </row>
    <row r="62" ht="12.75" customHeight="1">
      <c r="A62" s="14" t="s">
        <v>97</v>
      </c>
      <c r="B62" s="14" t="s">
        <v>9184</v>
      </c>
      <c r="C62" s="14" t="s">
        <v>9185</v>
      </c>
      <c r="D62" s="14" t="s">
        <v>9187</v>
      </c>
      <c r="E62" s="14" t="s">
        <v>9195</v>
      </c>
      <c r="F62" s="15" t="str">
        <f>HYPERLINK("http://dx.doi.org/10.1126/science.1097329","http://dx.doi.org/10.1126/science.1097329")</f>
        <v>http://dx.doi.org/10.1126/science.1097329</v>
      </c>
      <c r="G62" s="14" t="s">
        <v>799</v>
      </c>
      <c r="H62" s="14" t="s">
        <v>9197</v>
      </c>
      <c r="K62" s="16">
        <v>1.0</v>
      </c>
    </row>
    <row r="63" ht="12.75" customHeight="1">
      <c r="A63" s="14" t="s">
        <v>97</v>
      </c>
      <c r="B63" s="14" t="s">
        <v>9171</v>
      </c>
      <c r="C63" s="14" t="s">
        <v>9172</v>
      </c>
      <c r="D63" s="14" t="s">
        <v>9175</v>
      </c>
      <c r="E63" s="14" t="s">
        <v>9181</v>
      </c>
      <c r="F63" s="15" t="str">
        <f>HYPERLINK("http://dx.doi.org/10.1111/j.1523-1739.2004.00199.x","http://dx.doi.org/10.1111/j.1523-1739.2004.00199.x")</f>
        <v>http://dx.doi.org/10.1111/j.1523-1739.2004.00199.x</v>
      </c>
      <c r="G63" s="14" t="s">
        <v>351</v>
      </c>
      <c r="H63" s="14" t="s">
        <v>9183</v>
      </c>
      <c r="I63" s="16">
        <v>1.0</v>
      </c>
    </row>
    <row r="64" ht="12.75" customHeight="1">
      <c r="A64" s="14" t="s">
        <v>97</v>
      </c>
      <c r="B64" s="14" t="s">
        <v>9157</v>
      </c>
      <c r="C64" s="14" t="s">
        <v>9158</v>
      </c>
      <c r="D64" s="14" t="s">
        <v>9161</v>
      </c>
      <c r="E64" s="14" t="s">
        <v>9168</v>
      </c>
      <c r="F64" s="15" t="str">
        <f>HYPERLINK("http://dx.doi.org/10.1111/j.1365-2486.2004.00828.x","http://dx.doi.org/10.1111/j.1365-2486.2004.00828.x")</f>
        <v>http://dx.doi.org/10.1111/j.1365-2486.2004.00828.x</v>
      </c>
      <c r="G64" s="14" t="s">
        <v>351</v>
      </c>
      <c r="H64" s="14" t="s">
        <v>9170</v>
      </c>
      <c r="N64" s="16">
        <v>1.0</v>
      </c>
    </row>
    <row r="65" ht="12.75" customHeight="1">
      <c r="A65" s="14" t="s">
        <v>97</v>
      </c>
      <c r="B65" s="14" t="s">
        <v>9145</v>
      </c>
      <c r="C65" s="14" t="s">
        <v>9146</v>
      </c>
      <c r="D65" s="14" t="s">
        <v>9149</v>
      </c>
      <c r="E65" s="14" t="s">
        <v>9154</v>
      </c>
      <c r="F65" s="15" t="str">
        <f>HYPERLINK("http://dx.doi.org/10.1016/j.gloenvcha.2004.04.008","http://dx.doi.org/10.1016/j.gloenvcha.2004.04.008")</f>
        <v>http://dx.doi.org/10.1016/j.gloenvcha.2004.04.008</v>
      </c>
      <c r="G65" s="14" t="s">
        <v>2350</v>
      </c>
      <c r="H65" s="14" t="s">
        <v>9156</v>
      </c>
      <c r="K65" s="16">
        <v>1.0</v>
      </c>
    </row>
    <row r="66" ht="12.75" customHeight="1">
      <c r="A66" s="14" t="s">
        <v>97</v>
      </c>
      <c r="B66" s="14" t="s">
        <v>9115</v>
      </c>
      <c r="C66" s="14" t="s">
        <v>9116</v>
      </c>
      <c r="D66" s="14" t="s">
        <v>9118</v>
      </c>
      <c r="E66" s="14" t="s">
        <v>9123</v>
      </c>
      <c r="F66" s="15" t="str">
        <f>HYPERLINK("http://dx.doi.org/10.1016/j.jaridenv.2004.03.022","http://dx.doi.org/10.1016/j.jaridenv.2004.03.022")</f>
        <v>http://dx.doi.org/10.1016/j.jaridenv.2004.03.022</v>
      </c>
      <c r="G66" s="14" t="s">
        <v>423</v>
      </c>
      <c r="H66" s="14" t="s">
        <v>9125</v>
      </c>
      <c r="K66" s="16">
        <v>1.0</v>
      </c>
    </row>
    <row r="67" ht="12.75" customHeight="1">
      <c r="A67" s="14" t="s">
        <v>97</v>
      </c>
      <c r="B67" s="14" t="s">
        <v>9210</v>
      </c>
      <c r="C67" s="14" t="s">
        <v>9211</v>
      </c>
      <c r="D67" s="14" t="s">
        <v>9214</v>
      </c>
      <c r="E67" s="14" t="s">
        <v>9224</v>
      </c>
      <c r="F67" s="15" t="str">
        <f>HYPERLINK("http://dx.doi.org/10.1139/Z04-064","http://dx.doi.org/10.1139/Z04-064")</f>
        <v>http://dx.doi.org/10.1139/Z04-064</v>
      </c>
      <c r="G67" s="14" t="s">
        <v>121</v>
      </c>
      <c r="H67" s="14" t="s">
        <v>9226</v>
      </c>
      <c r="N67" s="16">
        <v>1.0</v>
      </c>
    </row>
    <row r="68" ht="12.75" customHeight="1">
      <c r="A68" s="14" t="s">
        <v>97</v>
      </c>
      <c r="B68" s="14" t="s">
        <v>9126</v>
      </c>
      <c r="C68" s="14" t="s">
        <v>9127</v>
      </c>
      <c r="D68" s="14" t="s">
        <v>9131</v>
      </c>
      <c r="E68" s="14" t="s">
        <v>9142</v>
      </c>
      <c r="F68" s="15" t="str">
        <f>HYPERLINK("http://dx.doi.org/10.1111/j.0269-8463.2004.00903.x","http://dx.doi.org/10.1111/j.0269-8463.2004.00903.x")</f>
        <v>http://dx.doi.org/10.1111/j.0269-8463.2004.00903.x</v>
      </c>
      <c r="G68" s="14" t="s">
        <v>259</v>
      </c>
      <c r="H68" s="14" t="s">
        <v>9144</v>
      </c>
      <c r="N68" s="16">
        <v>1.0</v>
      </c>
    </row>
    <row r="69" ht="12.75" customHeight="1">
      <c r="A69" s="14" t="s">
        <v>97</v>
      </c>
      <c r="B69" s="14" t="s">
        <v>9083</v>
      </c>
      <c r="C69" s="14" t="s">
        <v>9084</v>
      </c>
      <c r="D69" s="14" t="s">
        <v>9088</v>
      </c>
      <c r="E69" s="14" t="s">
        <v>9096</v>
      </c>
      <c r="F69" s="15" t="str">
        <f>HYPERLINK("http://dx.doi.org/10.1016/S0147-6513(03)00141-6","http://dx.doi.org/10.1016/S0147-6513(03)00141-6")</f>
        <v>http://dx.doi.org/10.1016/S0147-6513(03)00141-6</v>
      </c>
      <c r="G69" s="14" t="s">
        <v>9097</v>
      </c>
      <c r="H69" s="14" t="s">
        <v>9100</v>
      </c>
      <c r="K69" s="16">
        <v>1.0</v>
      </c>
    </row>
    <row r="70" ht="12.75" customHeight="1">
      <c r="A70" s="14" t="s">
        <v>97</v>
      </c>
      <c r="B70" s="14" t="s">
        <v>9101</v>
      </c>
      <c r="C70" s="14" t="s">
        <v>9102</v>
      </c>
      <c r="D70" s="14" t="s">
        <v>9105</v>
      </c>
      <c r="E70" s="14" t="s">
        <v>9112</v>
      </c>
      <c r="F70" s="15" t="str">
        <f>HYPERLINK("http://dx.doi.org/10.1111/j.1466-822X.2004.00105.x","http://dx.doi.org/10.1111/j.1466-822X.2004.00105.x")</f>
        <v>http://dx.doi.org/10.1111/j.1466-822X.2004.00105.x</v>
      </c>
      <c r="G70" s="14" t="s">
        <v>869</v>
      </c>
      <c r="H70" s="14" t="s">
        <v>9114</v>
      </c>
      <c r="N70" s="16">
        <v>1.0</v>
      </c>
    </row>
    <row r="71" ht="12.75" customHeight="1">
      <c r="A71" s="14" t="s">
        <v>97</v>
      </c>
      <c r="B71" s="14" t="s">
        <v>9016</v>
      </c>
      <c r="C71" s="14" t="s">
        <v>9017</v>
      </c>
      <c r="D71" s="14" t="s">
        <v>9020</v>
      </c>
      <c r="E71" s="14" t="s">
        <v>9025</v>
      </c>
      <c r="F71" s="15" t="str">
        <f>HYPERLINK("http://dx.doi.org/10.1890/03-0564","http://dx.doi.org/10.1890/03-0564")</f>
        <v>http://dx.doi.org/10.1890/03-0564</v>
      </c>
      <c r="G71" s="14" t="s">
        <v>259</v>
      </c>
      <c r="H71" s="14" t="s">
        <v>9027</v>
      </c>
      <c r="K71" s="16">
        <v>1.0</v>
      </c>
    </row>
    <row r="72" ht="12.75" customHeight="1">
      <c r="A72" s="14" t="s">
        <v>97</v>
      </c>
      <c r="B72" s="14" t="s">
        <v>9028</v>
      </c>
      <c r="C72" s="14" t="s">
        <v>9029</v>
      </c>
      <c r="D72" s="14" t="s">
        <v>9033</v>
      </c>
      <c r="E72" s="14" t="s">
        <v>9042</v>
      </c>
      <c r="F72" s="15" t="str">
        <f>HYPERLINK("http://dx.doi.org/10.1017/S0266467404001683","http://dx.doi.org/10.1017/S0266467404001683")</f>
        <v>http://dx.doi.org/10.1017/S0266467404001683</v>
      </c>
      <c r="G72" s="14" t="s">
        <v>259</v>
      </c>
      <c r="H72" s="14" t="s">
        <v>9044</v>
      </c>
      <c r="L72" s="16">
        <v>1.0</v>
      </c>
    </row>
    <row r="73" ht="12.75" customHeight="1">
      <c r="A73" s="14" t="s">
        <v>97</v>
      </c>
      <c r="B73" s="14" t="s">
        <v>8982</v>
      </c>
      <c r="C73" s="14" t="s">
        <v>8983</v>
      </c>
      <c r="D73" s="14" t="s">
        <v>8986</v>
      </c>
      <c r="E73" s="14" t="s">
        <v>8992</v>
      </c>
      <c r="F73" s="15" t="str">
        <f>HYPERLINK("http://dx.doi.org/10.1007/s10764-005-0011-z","http://dx.doi.org/10.1007/s10764-005-0011-z")</f>
        <v>http://dx.doi.org/10.1007/s10764-005-0011-z</v>
      </c>
      <c r="G73" s="14" t="s">
        <v>121</v>
      </c>
      <c r="H73" s="14" t="s">
        <v>8994</v>
      </c>
      <c r="J73" s="16">
        <v>1.0</v>
      </c>
    </row>
    <row r="74" ht="12.75" customHeight="1">
      <c r="A74" s="14" t="s">
        <v>97</v>
      </c>
      <c r="B74" s="14" t="s">
        <v>8899</v>
      </c>
      <c r="C74" s="14" t="s">
        <v>9045</v>
      </c>
      <c r="D74" s="14" t="s">
        <v>9048</v>
      </c>
      <c r="E74" s="14" t="s">
        <v>9049</v>
      </c>
      <c r="F74" s="15" t="str">
        <f>HYPERLINK("http://dx.doi.org/10.3354/meps286013","http://dx.doi.org/10.3354/meps286013")</f>
        <v>http://dx.doi.org/10.3354/meps286013</v>
      </c>
      <c r="G74" s="14" t="s">
        <v>301</v>
      </c>
      <c r="H74" s="14" t="s">
        <v>9051</v>
      </c>
      <c r="M74" s="16">
        <v>1.0</v>
      </c>
    </row>
    <row r="75" ht="12.75" customHeight="1">
      <c r="A75" s="14" t="s">
        <v>97</v>
      </c>
      <c r="B75" s="14" t="s">
        <v>8927</v>
      </c>
      <c r="C75" s="14" t="s">
        <v>8928</v>
      </c>
      <c r="D75" s="14" t="s">
        <v>8931</v>
      </c>
      <c r="E75" s="14" t="s">
        <v>8938</v>
      </c>
      <c r="F75" s="15" t="str">
        <f>HYPERLINK("http://dx.doi.org/10.1016/j.icesjms.2004.08.020","http://dx.doi.org/10.1016/j.icesjms.2004.08.020")</f>
        <v>http://dx.doi.org/10.1016/j.icesjms.2004.08.020</v>
      </c>
      <c r="G75" s="14" t="s">
        <v>3086</v>
      </c>
      <c r="H75" s="14" t="s">
        <v>8940</v>
      </c>
      <c r="M75" s="16">
        <v>1.0</v>
      </c>
    </row>
    <row r="76" ht="12.75" customHeight="1">
      <c r="A76" s="14" t="s">
        <v>97</v>
      </c>
      <c r="B76" s="14" t="s">
        <v>217</v>
      </c>
      <c r="C76" s="14" t="s">
        <v>218</v>
      </c>
      <c r="D76" s="14" t="s">
        <v>222</v>
      </c>
      <c r="E76" s="14" t="s">
        <v>236</v>
      </c>
      <c r="F76" s="15" t="str">
        <f>HYPERLINK("http://dx.doi.org/10.1163/18759866-07304004","http://dx.doi.org/10.1163/18759866-07304004")</f>
        <v>http://dx.doi.org/10.1163/18759866-07304004</v>
      </c>
      <c r="G76" s="14" t="s">
        <v>121</v>
      </c>
      <c r="H76" s="14" t="s">
        <v>239</v>
      </c>
      <c r="J76" s="16">
        <v>1.0</v>
      </c>
    </row>
    <row r="77" ht="12.75" customHeight="1">
      <c r="A77" s="14" t="s">
        <v>97</v>
      </c>
      <c r="B77" s="14" t="s">
        <v>8967</v>
      </c>
      <c r="C77" s="14" t="s">
        <v>8968</v>
      </c>
      <c r="D77" s="14" t="s">
        <v>8972</v>
      </c>
      <c r="E77" s="14" t="s">
        <v>8979</v>
      </c>
      <c r="F77" s="15" t="str">
        <f>HYPERLINK("http://dx.doi.org/10.1007/s10152-004-0202-6","http://dx.doi.org/10.1007/s10152-004-0202-6")</f>
        <v>http://dx.doi.org/10.1007/s10152-004-0202-6</v>
      </c>
      <c r="G77" s="14" t="s">
        <v>720</v>
      </c>
      <c r="H77" s="14" t="s">
        <v>8981</v>
      </c>
      <c r="M77" s="16">
        <v>1.0</v>
      </c>
    </row>
    <row r="78" ht="12.75" customHeight="1">
      <c r="A78" s="14" t="s">
        <v>97</v>
      </c>
      <c r="B78" s="14" t="s">
        <v>8915</v>
      </c>
      <c r="C78" s="14" t="s">
        <v>8916</v>
      </c>
      <c r="D78" s="14" t="s">
        <v>8919</v>
      </c>
      <c r="E78" s="14" t="s">
        <v>8924</v>
      </c>
      <c r="F78" s="15" t="str">
        <f>HYPERLINK("http://dx.doi.org/10.1007/s10531-004-8412-4","http://dx.doi.org/10.1007/s10531-004-8412-4")</f>
        <v>http://dx.doi.org/10.1007/s10531-004-8412-4</v>
      </c>
      <c r="G78" s="14" t="s">
        <v>351</v>
      </c>
      <c r="H78" s="14" t="s">
        <v>8926</v>
      </c>
      <c r="J78" s="16">
        <v>1.0</v>
      </c>
    </row>
    <row r="79" ht="12.75" customHeight="1">
      <c r="A79" s="14" t="s">
        <v>97</v>
      </c>
      <c r="B79" s="14" t="s">
        <v>8941</v>
      </c>
      <c r="C79" s="14" t="s">
        <v>8942</v>
      </c>
      <c r="D79" s="14" t="s">
        <v>8945</v>
      </c>
      <c r="E79" s="14" t="s">
        <v>8949</v>
      </c>
      <c r="F79" s="15" t="str">
        <f>HYPERLINK("http://dx.doi.org/10.1017/S0030605305000384","http://dx.doi.org/10.1017/S0030605305000384")</f>
        <v>http://dx.doi.org/10.1017/S0030605305000384</v>
      </c>
      <c r="G79" s="14" t="s">
        <v>550</v>
      </c>
      <c r="H79" s="14" t="s">
        <v>8951</v>
      </c>
      <c r="J79" s="16">
        <v>1.0</v>
      </c>
    </row>
    <row r="80" ht="12.75" customHeight="1">
      <c r="A80" s="14" t="s">
        <v>97</v>
      </c>
      <c r="B80" s="14" t="s">
        <v>8885</v>
      </c>
      <c r="C80" s="14" t="s">
        <v>8886</v>
      </c>
      <c r="D80" s="14" t="s">
        <v>8889</v>
      </c>
      <c r="E80" s="14" t="s">
        <v>8896</v>
      </c>
      <c r="F80" s="15" t="str">
        <f>HYPERLINK("http://dx.doi.org/10.1111/j.1744-7429.2005.00027.x","http://dx.doi.org/10.1111/j.1744-7429.2005.00027.x")</f>
        <v>http://dx.doi.org/10.1111/j.1744-7429.2005.00027.x</v>
      </c>
      <c r="G80" s="14" t="s">
        <v>259</v>
      </c>
      <c r="H80" s="14" t="s">
        <v>8898</v>
      </c>
      <c r="N80" s="16">
        <v>1.0</v>
      </c>
    </row>
    <row r="81" ht="12.75" customHeight="1">
      <c r="A81" s="14" t="s">
        <v>97</v>
      </c>
      <c r="B81" s="14" t="s">
        <v>8873</v>
      </c>
      <c r="C81" s="14" t="s">
        <v>8874</v>
      </c>
      <c r="D81" s="14" t="s">
        <v>8877</v>
      </c>
      <c r="E81" s="14" t="s">
        <v>8882</v>
      </c>
      <c r="F81" s="15" t="str">
        <f>HYPERLINK("http://dx.doi.org/10.1073/pnas.0409902102","http://dx.doi.org/10.1073/pnas.0409902102")</f>
        <v>http://dx.doi.org/10.1073/pnas.0409902102</v>
      </c>
      <c r="G81" s="14" t="s">
        <v>799</v>
      </c>
      <c r="H81" s="14" t="s">
        <v>8884</v>
      </c>
      <c r="N81" s="16">
        <v>1.0</v>
      </c>
    </row>
    <row r="82" ht="12.75" customHeight="1">
      <c r="A82" s="14" t="s">
        <v>97</v>
      </c>
      <c r="B82" s="14" t="s">
        <v>8780</v>
      </c>
      <c r="C82" s="14" t="s">
        <v>8781</v>
      </c>
      <c r="D82" s="14" t="s">
        <v>8784</v>
      </c>
      <c r="E82" s="14" t="s">
        <v>8791</v>
      </c>
      <c r="F82" s="15" t="str">
        <f>HYPERLINK("http://dx.doi.org/10.1016/j.biocon.2005.04.003","http://dx.doi.org/10.1016/j.biocon.2005.04.003")</f>
        <v>http://dx.doi.org/10.1016/j.biocon.2005.04.003</v>
      </c>
      <c r="G82" s="14" t="s">
        <v>351</v>
      </c>
      <c r="H82" s="14" t="s">
        <v>8793</v>
      </c>
      <c r="N82" s="16">
        <v>1.0</v>
      </c>
    </row>
    <row r="83" ht="12.75" customHeight="1">
      <c r="A83" s="14" t="s">
        <v>97</v>
      </c>
      <c r="B83" s="14" t="s">
        <v>8808</v>
      </c>
      <c r="C83" s="14" t="s">
        <v>8809</v>
      </c>
      <c r="D83" s="14" t="s">
        <v>8812</v>
      </c>
      <c r="E83" s="14" t="s">
        <v>8820</v>
      </c>
      <c r="F83" s="15" t="str">
        <f>HYPERLINK("http://dx.doi.org/10.1016/j.ecolmodel.2005.01.030","http://dx.doi.org/10.1016/j.ecolmodel.2005.01.030")</f>
        <v>http://dx.doi.org/10.1016/j.ecolmodel.2005.01.030</v>
      </c>
      <c r="G83" s="14" t="s">
        <v>259</v>
      </c>
      <c r="H83" s="14" t="s">
        <v>8822</v>
      </c>
      <c r="N83" s="16">
        <v>1.0</v>
      </c>
    </row>
    <row r="84" ht="12.75" customHeight="1">
      <c r="A84" s="14" t="s">
        <v>97</v>
      </c>
      <c r="B84" s="14" t="s">
        <v>8859</v>
      </c>
      <c r="C84" s="14" t="s">
        <v>8860</v>
      </c>
      <c r="D84" s="14" t="s">
        <v>8863</v>
      </c>
      <c r="E84" s="14" t="s">
        <v>8870</v>
      </c>
      <c r="F84" s="15" t="str">
        <f>HYPERLINK("http://dx.doi.org/10.1111/j.1366-9516.2005.00153.x","http://dx.doi.org/10.1111/j.1366-9516.2005.00153.x")</f>
        <v>http://dx.doi.org/10.1111/j.1366-9516.2005.00153.x</v>
      </c>
      <c r="G84" s="14" t="s">
        <v>550</v>
      </c>
      <c r="H84" s="14" t="s">
        <v>8872</v>
      </c>
      <c r="N84" s="16">
        <v>1.0</v>
      </c>
    </row>
    <row r="85" ht="12.75" customHeight="1">
      <c r="A85" s="14" t="s">
        <v>97</v>
      </c>
      <c r="B85" s="14" t="s">
        <v>306</v>
      </c>
      <c r="C85" s="14" t="s">
        <v>307</v>
      </c>
      <c r="D85" s="14" t="s">
        <v>311</v>
      </c>
      <c r="E85" s="14" t="s">
        <v>99</v>
      </c>
      <c r="F85" s="14" t="s">
        <v>99</v>
      </c>
      <c r="G85" s="14" t="s">
        <v>214</v>
      </c>
      <c r="H85" s="14" t="s">
        <v>324</v>
      </c>
      <c r="N85" s="16">
        <v>1.0</v>
      </c>
    </row>
    <row r="86" ht="12.75" customHeight="1">
      <c r="A86" s="14" t="s">
        <v>97</v>
      </c>
      <c r="B86" s="14" t="s">
        <v>8846</v>
      </c>
      <c r="C86" s="14" t="s">
        <v>8847</v>
      </c>
      <c r="D86" s="14" t="s">
        <v>8850</v>
      </c>
      <c r="E86" s="14" t="s">
        <v>8856</v>
      </c>
      <c r="F86" s="15" t="str">
        <f>HYPERLINK("http://dx.doi.org/10.1016/j.icesjms.2005.01.023","http://dx.doi.org/10.1016/j.icesjms.2005.01.023")</f>
        <v>http://dx.doi.org/10.1016/j.icesjms.2005.01.023</v>
      </c>
      <c r="G86" s="14" t="s">
        <v>3086</v>
      </c>
      <c r="H86" s="14" t="s">
        <v>8858</v>
      </c>
      <c r="M86" s="16">
        <v>1.0</v>
      </c>
    </row>
    <row r="87" ht="12.75" customHeight="1">
      <c r="A87" s="14" t="s">
        <v>97</v>
      </c>
      <c r="B87" s="14" t="s">
        <v>8823</v>
      </c>
      <c r="C87" s="14" t="s">
        <v>8824</v>
      </c>
      <c r="D87" s="14" t="s">
        <v>8827</v>
      </c>
      <c r="E87" s="14" t="s">
        <v>8833</v>
      </c>
      <c r="F87" s="15" t="str">
        <f>HYPERLINK("http://dx.doi.org/10.1111/j.1523-1739.2005.00170.x","http://dx.doi.org/10.1111/j.1523-1739.2005.00170.x")</f>
        <v>http://dx.doi.org/10.1111/j.1523-1739.2005.00170.x</v>
      </c>
      <c r="G87" s="14" t="s">
        <v>351</v>
      </c>
      <c r="H87" s="14" t="s">
        <v>8835</v>
      </c>
      <c r="I87" s="16">
        <v>1.0</v>
      </c>
    </row>
    <row r="88" ht="12.75" customHeight="1">
      <c r="A88" s="14" t="s">
        <v>97</v>
      </c>
      <c r="B88" s="14" t="s">
        <v>8794</v>
      </c>
      <c r="C88" s="14" t="s">
        <v>8795</v>
      </c>
      <c r="D88" s="14" t="s">
        <v>8798</v>
      </c>
      <c r="E88" s="14" t="s">
        <v>8805</v>
      </c>
      <c r="F88" s="15" t="str">
        <f>HYPERLINK("http://dx.doi.org/10.1111/j.1365-2486.2005.00997.x","http://dx.doi.org/10.1111/j.1365-2486.2005.00997.x")</f>
        <v>http://dx.doi.org/10.1111/j.1365-2486.2005.00997.x</v>
      </c>
      <c r="G88" s="14" t="s">
        <v>351</v>
      </c>
      <c r="H88" s="14" t="s">
        <v>8807</v>
      </c>
      <c r="N88" s="16">
        <v>1.0</v>
      </c>
    </row>
    <row r="89" ht="12.75" customHeight="1">
      <c r="A89" s="14" t="s">
        <v>97</v>
      </c>
      <c r="B89" s="14" t="s">
        <v>8899</v>
      </c>
      <c r="C89" s="14" t="s">
        <v>8900</v>
      </c>
      <c r="D89" s="14" t="s">
        <v>8904</v>
      </c>
      <c r="E89" s="14" t="s">
        <v>8911</v>
      </c>
      <c r="F89" s="15" t="str">
        <f>HYPERLINK("http://dx.doi.org/10.1007/s10750-004-4671-z","http://dx.doi.org/10.1007/s10750-004-4671-z")</f>
        <v>http://dx.doi.org/10.1007/s10750-004-4671-z</v>
      </c>
      <c r="G89" s="14" t="s">
        <v>8912</v>
      </c>
      <c r="H89" s="14" t="s">
        <v>8914</v>
      </c>
      <c r="M89" s="16">
        <v>1.0</v>
      </c>
    </row>
    <row r="90" ht="12.75" customHeight="1">
      <c r="A90" s="14" t="s">
        <v>97</v>
      </c>
      <c r="B90" s="14" t="s">
        <v>8836</v>
      </c>
      <c r="C90" s="14" t="s">
        <v>8837</v>
      </c>
      <c r="D90" s="14" t="s">
        <v>8839</v>
      </c>
      <c r="E90" s="14" t="s">
        <v>8843</v>
      </c>
      <c r="F90" s="15" t="str">
        <f>HYPERLINK("http://dx.doi.org/10.1139/X05-133","http://dx.doi.org/10.1139/X05-133")</f>
        <v>http://dx.doi.org/10.1139/X05-133</v>
      </c>
      <c r="G90" s="14" t="s">
        <v>281</v>
      </c>
      <c r="H90" s="14" t="s">
        <v>8845</v>
      </c>
      <c r="I90" s="16">
        <v>1.0</v>
      </c>
    </row>
    <row r="91" ht="12.75" customHeight="1">
      <c r="A91" s="14" t="s">
        <v>97</v>
      </c>
      <c r="B91" s="14" t="s">
        <v>8687</v>
      </c>
      <c r="C91" s="14" t="s">
        <v>8688</v>
      </c>
      <c r="D91" s="14" t="s">
        <v>8691</v>
      </c>
      <c r="E91" s="14" t="s">
        <v>8696</v>
      </c>
      <c r="F91" s="15" t="str">
        <f>HYPERLINK("http://dx.doi.org/10.1016/j.biocon.2005.06.024","http://dx.doi.org/10.1016/j.biocon.2005.06.024")</f>
        <v>http://dx.doi.org/10.1016/j.biocon.2005.06.024</v>
      </c>
      <c r="G91" s="14" t="s">
        <v>351</v>
      </c>
      <c r="H91" s="14" t="s">
        <v>8698</v>
      </c>
      <c r="J91" s="16">
        <v>1.0</v>
      </c>
    </row>
    <row r="92" ht="12.75" customHeight="1">
      <c r="A92" s="14" t="s">
        <v>97</v>
      </c>
      <c r="B92" s="14" t="s">
        <v>8753</v>
      </c>
      <c r="C92" s="14" t="s">
        <v>8754</v>
      </c>
      <c r="D92" s="14" t="s">
        <v>8757</v>
      </c>
      <c r="E92" s="14" t="s">
        <v>8764</v>
      </c>
      <c r="F92" s="15" t="str">
        <f>HYPERLINK("http://dx.doi.org/10.1073/pnas.0501427102","http://dx.doi.org/10.1073/pnas.0501427102")</f>
        <v>http://dx.doi.org/10.1073/pnas.0501427102</v>
      </c>
      <c r="G92" s="14" t="s">
        <v>799</v>
      </c>
      <c r="H92" s="14" t="s">
        <v>8766</v>
      </c>
      <c r="N92" s="16">
        <v>1.0</v>
      </c>
    </row>
    <row r="93" ht="12.75" customHeight="1">
      <c r="A93" s="14" t="s">
        <v>97</v>
      </c>
      <c r="B93" s="14" t="s">
        <v>8995</v>
      </c>
      <c r="C93" s="14" t="s">
        <v>8996</v>
      </c>
      <c r="D93" s="14" t="s">
        <v>9000</v>
      </c>
      <c r="E93" s="14" t="s">
        <v>9013</v>
      </c>
      <c r="F93" s="15" t="str">
        <f>HYPERLINK("http://dx.doi.org/10.1071/RJ05012","http://dx.doi.org/10.1071/RJ05012")</f>
        <v>http://dx.doi.org/10.1071/RJ05012</v>
      </c>
      <c r="G93" s="14" t="s">
        <v>259</v>
      </c>
      <c r="H93" s="14" t="s">
        <v>9015</v>
      </c>
      <c r="I93" s="16">
        <v>1.0</v>
      </c>
    </row>
    <row r="94" ht="12.75" customHeight="1">
      <c r="A94" s="14" t="s">
        <v>97</v>
      </c>
      <c r="B94" s="14" t="s">
        <v>8673</v>
      </c>
      <c r="C94" s="14" t="s">
        <v>8674</v>
      </c>
      <c r="D94" s="14" t="s">
        <v>8677</v>
      </c>
      <c r="E94" s="14" t="s">
        <v>8684</v>
      </c>
      <c r="F94" s="15" t="str">
        <f>HYPERLINK("http://dx.doi.org/10.1111/j.1366-9516.2006.00216.x","http://dx.doi.org/10.1111/j.1366-9516.2006.00216.x")</f>
        <v>http://dx.doi.org/10.1111/j.1366-9516.2006.00216.x</v>
      </c>
      <c r="G94" s="14" t="s">
        <v>550</v>
      </c>
      <c r="H94" s="14" t="s">
        <v>8686</v>
      </c>
      <c r="N94" s="16">
        <v>1.0</v>
      </c>
    </row>
    <row r="95" ht="12.75" customHeight="1">
      <c r="A95" s="14" t="s">
        <v>97</v>
      </c>
      <c r="B95" s="14" t="s">
        <v>8767</v>
      </c>
      <c r="C95" s="14" t="s">
        <v>8768</v>
      </c>
      <c r="D95" s="14" t="s">
        <v>8771</v>
      </c>
      <c r="E95" s="14" t="s">
        <v>8777</v>
      </c>
      <c r="F95" s="15" t="str">
        <f>HYPERLINK("http://dx.doi.org/10.1017/S0030605305001080","http://dx.doi.org/10.1017/S0030605305001080")</f>
        <v>http://dx.doi.org/10.1017/S0030605305001080</v>
      </c>
      <c r="G95" s="14" t="s">
        <v>550</v>
      </c>
      <c r="H95" s="14" t="s">
        <v>8779</v>
      </c>
      <c r="J95" s="16">
        <v>1.0</v>
      </c>
    </row>
    <row r="96" ht="12.75" customHeight="1">
      <c r="A96" s="14" t="s">
        <v>97</v>
      </c>
      <c r="B96" s="14" t="s">
        <v>8699</v>
      </c>
      <c r="C96" s="14" t="s">
        <v>8700</v>
      </c>
      <c r="D96" s="14" t="s">
        <v>8703</v>
      </c>
      <c r="E96" s="14" t="s">
        <v>8714</v>
      </c>
      <c r="F96" s="15" t="str">
        <f>HYPERLINK("http://dx.doi.org/10.1139/X05-208","http://dx.doi.org/10.1139/X05-208")</f>
        <v>http://dx.doi.org/10.1139/X05-208</v>
      </c>
      <c r="G96" s="14" t="s">
        <v>281</v>
      </c>
      <c r="H96" s="14" t="s">
        <v>8716</v>
      </c>
      <c r="I96" s="16">
        <v>1.0</v>
      </c>
    </row>
    <row r="97" ht="12.75" customHeight="1">
      <c r="A97" s="14" t="s">
        <v>97</v>
      </c>
      <c r="B97" s="14" t="s">
        <v>8602</v>
      </c>
      <c r="C97" s="14" t="s">
        <v>8603</v>
      </c>
      <c r="D97" s="14" t="s">
        <v>8606</v>
      </c>
      <c r="E97" s="14" t="s">
        <v>8613</v>
      </c>
      <c r="F97" s="15" t="str">
        <f>HYPERLINK("http://dx.doi.org/10.1016/j.gloenvcha.2005.11.001","http://dx.doi.org/10.1016/j.gloenvcha.2005.11.001")</f>
        <v>http://dx.doi.org/10.1016/j.gloenvcha.2005.11.001</v>
      </c>
      <c r="G97" s="14" t="s">
        <v>2350</v>
      </c>
      <c r="H97" s="14" t="s">
        <v>8615</v>
      </c>
      <c r="N97" s="16">
        <v>1.0</v>
      </c>
    </row>
    <row r="98" ht="12.75" customHeight="1">
      <c r="A98" s="14" t="s">
        <v>97</v>
      </c>
      <c r="B98" s="14" t="s">
        <v>8523</v>
      </c>
      <c r="C98" s="14" t="s">
        <v>8524</v>
      </c>
      <c r="D98" s="14" t="s">
        <v>8527</v>
      </c>
      <c r="E98" s="14" t="s">
        <v>8534</v>
      </c>
      <c r="F98" s="15" t="str">
        <f>HYPERLINK("http://dx.doi.org/10.1016/j.agee.2005.10.019","http://dx.doi.org/10.1016/j.agee.2005.10.019")</f>
        <v>http://dx.doi.org/10.1016/j.agee.2005.10.019</v>
      </c>
      <c r="G98" s="14" t="s">
        <v>5622</v>
      </c>
      <c r="H98" s="14" t="s">
        <v>8536</v>
      </c>
      <c r="L98" s="16">
        <v>1.0</v>
      </c>
    </row>
    <row r="99" ht="12.75" customHeight="1">
      <c r="A99" s="14" t="s">
        <v>97</v>
      </c>
      <c r="B99" s="14" t="s">
        <v>8588</v>
      </c>
      <c r="C99" s="14" t="s">
        <v>8589</v>
      </c>
      <c r="D99" s="14" t="s">
        <v>8592</v>
      </c>
      <c r="E99" s="14" t="s">
        <v>8599</v>
      </c>
      <c r="F99" s="15" t="str">
        <f>HYPERLINK("http://dx.doi.org/10.1111/j.1365-2486.2006.01115.x","http://dx.doi.org/10.1111/j.1365-2486.2006.01115.x")</f>
        <v>http://dx.doi.org/10.1111/j.1365-2486.2006.01115.x</v>
      </c>
      <c r="G99" s="14" t="s">
        <v>351</v>
      </c>
      <c r="H99" s="14" t="s">
        <v>8601</v>
      </c>
      <c r="N99" s="16">
        <v>1.0</v>
      </c>
    </row>
    <row r="100" ht="12.75" customHeight="1">
      <c r="A100" s="14" t="s">
        <v>97</v>
      </c>
      <c r="B100" s="14" t="s">
        <v>8537</v>
      </c>
      <c r="C100" s="14" t="s">
        <v>8538</v>
      </c>
      <c r="D100" s="14" t="s">
        <v>8541</v>
      </c>
      <c r="E100" s="14" t="s">
        <v>8548</v>
      </c>
      <c r="F100" s="15" t="str">
        <f>HYPERLINK("http://dx.doi.org/10.1111/j.1523-1739.2006.00364.x","http://dx.doi.org/10.1111/j.1523-1739.2006.00364.x")</f>
        <v>http://dx.doi.org/10.1111/j.1523-1739.2006.00364.x</v>
      </c>
      <c r="G100" s="14" t="s">
        <v>351</v>
      </c>
      <c r="H100" s="14" t="s">
        <v>8550</v>
      </c>
      <c r="N100" s="16">
        <v>1.0</v>
      </c>
    </row>
    <row r="101" ht="12.75" customHeight="1">
      <c r="A101" s="14" t="s">
        <v>97</v>
      </c>
      <c r="B101" s="14" t="s">
        <v>8551</v>
      </c>
      <c r="C101" s="14" t="s">
        <v>8552</v>
      </c>
      <c r="D101" s="14" t="s">
        <v>8555</v>
      </c>
      <c r="E101" s="14" t="s">
        <v>8562</v>
      </c>
      <c r="F101" s="15" t="str">
        <f>HYPERLINK("http://dx.doi.org/10.1016/j.biocon.2005.10.017","http://dx.doi.org/10.1016/j.biocon.2005.10.017")</f>
        <v>http://dx.doi.org/10.1016/j.biocon.2005.10.017</v>
      </c>
      <c r="G101" s="14" t="s">
        <v>351</v>
      </c>
      <c r="H101" s="14" t="s">
        <v>8564</v>
      </c>
      <c r="J101" s="16">
        <v>1.0</v>
      </c>
    </row>
    <row r="102" ht="12.75" customHeight="1">
      <c r="A102" s="14" t="s">
        <v>97</v>
      </c>
      <c r="B102" s="14" t="s">
        <v>8660</v>
      </c>
      <c r="C102" s="14" t="s">
        <v>8661</v>
      </c>
      <c r="D102" s="14" t="s">
        <v>8664</v>
      </c>
      <c r="E102" s="14" t="s">
        <v>8671</v>
      </c>
      <c r="F102" s="15" t="str">
        <f>HYPERLINK("http://dx.doi.org/10.1016/j.envsci.2005.11.003","http://dx.doi.org/10.1016/j.envsci.2005.11.003")</f>
        <v>http://dx.doi.org/10.1016/j.envsci.2005.11.003</v>
      </c>
      <c r="G102" s="14" t="s">
        <v>1041</v>
      </c>
      <c r="H102" s="14" t="s">
        <v>8672</v>
      </c>
      <c r="N102" s="16">
        <v>1.0</v>
      </c>
    </row>
    <row r="103" ht="12.75" customHeight="1">
      <c r="A103" s="14" t="s">
        <v>97</v>
      </c>
      <c r="B103" s="14" t="s">
        <v>8641</v>
      </c>
      <c r="C103" s="14" t="s">
        <v>8642</v>
      </c>
      <c r="D103" s="14" t="s">
        <v>8646</v>
      </c>
      <c r="E103" s="14" t="s">
        <v>8657</v>
      </c>
      <c r="F103" s="15" t="str">
        <f>HYPERLINK("http://dx.doi.org/10.1016/j.envsci.2005.11.005","http://dx.doi.org/10.1016/j.envsci.2005.11.005")</f>
        <v>http://dx.doi.org/10.1016/j.envsci.2005.11.005</v>
      </c>
      <c r="G103" s="14" t="s">
        <v>1041</v>
      </c>
      <c r="H103" s="14" t="s">
        <v>8659</v>
      </c>
      <c r="N103" s="16">
        <v>1.0</v>
      </c>
    </row>
    <row r="104" ht="12.75" customHeight="1">
      <c r="A104" s="14" t="s">
        <v>97</v>
      </c>
      <c r="B104" s="14" t="s">
        <v>8483</v>
      </c>
      <c r="C104" s="14" t="s">
        <v>8485</v>
      </c>
      <c r="D104" s="14" t="s">
        <v>8488</v>
      </c>
      <c r="E104" s="14" t="s">
        <v>8493</v>
      </c>
      <c r="F104" s="15" t="str">
        <f>HYPERLINK("http://dx.doi.org/10.1111/j.1365-2028.2006.00629.x","http://dx.doi.org/10.1111/j.1365-2028.2006.00629.x")</f>
        <v>http://dx.doi.org/10.1111/j.1365-2028.2006.00629.x</v>
      </c>
      <c r="G104" s="14" t="s">
        <v>259</v>
      </c>
      <c r="H104" s="14" t="s">
        <v>8495</v>
      </c>
      <c r="J104" s="16">
        <v>1.0</v>
      </c>
    </row>
    <row r="105" ht="12.75" customHeight="1">
      <c r="A105" s="14" t="s">
        <v>97</v>
      </c>
      <c r="B105" s="14" t="s">
        <v>8496</v>
      </c>
      <c r="C105" s="14" t="s">
        <v>8498</v>
      </c>
      <c r="D105" s="14" t="s">
        <v>8501</v>
      </c>
      <c r="E105" s="14" t="s">
        <v>8508</v>
      </c>
      <c r="F105" s="15" t="str">
        <f>HYPERLINK("http://dx.doi.org/10.1016/j.biocon.2005.11.025","http://dx.doi.org/10.1016/j.biocon.2005.11.025")</f>
        <v>http://dx.doi.org/10.1016/j.biocon.2005.11.025</v>
      </c>
      <c r="G105" s="14" t="s">
        <v>351</v>
      </c>
      <c r="H105" s="14" t="s">
        <v>8510</v>
      </c>
      <c r="J105" s="16">
        <v>1.0</v>
      </c>
    </row>
    <row r="106" ht="12.75" customHeight="1">
      <c r="A106" s="14" t="s">
        <v>97</v>
      </c>
      <c r="B106" s="14" t="s">
        <v>8436</v>
      </c>
      <c r="C106" s="14" t="s">
        <v>8438</v>
      </c>
      <c r="D106" s="14" t="s">
        <v>8441</v>
      </c>
      <c r="E106" s="14" t="s">
        <v>8448</v>
      </c>
      <c r="F106" s="15" t="str">
        <f>HYPERLINK("http://dx.doi.org/10.1016/j.foreco.2006.03.034","http://dx.doi.org/10.1016/j.foreco.2006.03.034")</f>
        <v>http://dx.doi.org/10.1016/j.foreco.2006.03.034</v>
      </c>
      <c r="G106" s="14" t="s">
        <v>281</v>
      </c>
      <c r="H106" s="14" t="s">
        <v>8450</v>
      </c>
      <c r="I106" s="16">
        <v>1.0</v>
      </c>
    </row>
    <row r="107" ht="12.75" customHeight="1">
      <c r="A107" s="14" t="s">
        <v>97</v>
      </c>
      <c r="B107" s="14" t="s">
        <v>8422</v>
      </c>
      <c r="C107" s="14" t="s">
        <v>8424</v>
      </c>
      <c r="D107" s="14" t="s">
        <v>8427</v>
      </c>
      <c r="E107" s="14" t="s">
        <v>8433</v>
      </c>
      <c r="F107" s="15" t="str">
        <f>HYPERLINK("http://dx.doi.org/10.1111/j.1365-2486.2006.01191.x","http://dx.doi.org/10.1111/j.1365-2486.2006.01191.x")</f>
        <v>http://dx.doi.org/10.1111/j.1365-2486.2006.01191.x</v>
      </c>
      <c r="G107" s="14" t="s">
        <v>351</v>
      </c>
      <c r="H107" s="14" t="s">
        <v>8435</v>
      </c>
      <c r="N107" s="16">
        <v>1.0</v>
      </c>
    </row>
    <row r="108" ht="12.75" customHeight="1">
      <c r="A108" s="14" t="s">
        <v>97</v>
      </c>
      <c r="B108" s="14" t="s">
        <v>8511</v>
      </c>
      <c r="C108" s="14" t="s">
        <v>8513</v>
      </c>
      <c r="D108" s="14" t="s">
        <v>8515</v>
      </c>
      <c r="E108" s="14" t="s">
        <v>8520</v>
      </c>
      <c r="F108" s="15" t="str">
        <f>HYPERLINK("http://dx.doi.org/10.1007/s10584-005-9014-1","http://dx.doi.org/10.1007/s10584-005-9014-1")</f>
        <v>http://dx.doi.org/10.1007/s10584-005-9014-1</v>
      </c>
      <c r="G108" s="14" t="s">
        <v>573</v>
      </c>
      <c r="H108" s="14" t="s">
        <v>8522</v>
      </c>
      <c r="N108" s="16">
        <v>1.0</v>
      </c>
    </row>
    <row r="109" ht="12.75" customHeight="1">
      <c r="A109" s="14" t="s">
        <v>97</v>
      </c>
      <c r="B109" s="14" t="s">
        <v>8384</v>
      </c>
      <c r="C109" s="14" t="s">
        <v>8386</v>
      </c>
      <c r="D109" s="14" t="s">
        <v>8393</v>
      </c>
      <c r="E109" s="14" t="s">
        <v>8404</v>
      </c>
      <c r="F109" s="15" t="str">
        <f>HYPERLINK("http://dx.doi.org/10.1016/j.envint.2006.05.002","http://dx.doi.org/10.1016/j.envint.2006.05.002")</f>
        <v>http://dx.doi.org/10.1016/j.envint.2006.05.002</v>
      </c>
      <c r="G109" s="14" t="s">
        <v>1041</v>
      </c>
      <c r="H109" s="14" t="s">
        <v>8406</v>
      </c>
      <c r="K109" s="16">
        <v>1.0</v>
      </c>
    </row>
    <row r="110" ht="12.75" customHeight="1">
      <c r="A110" s="14" t="s">
        <v>97</v>
      </c>
      <c r="B110" s="14" t="s">
        <v>8284</v>
      </c>
      <c r="C110" s="14" t="s">
        <v>8286</v>
      </c>
      <c r="D110" s="14" t="s">
        <v>8289</v>
      </c>
      <c r="E110" s="14" t="s">
        <v>8296</v>
      </c>
      <c r="F110" s="15" t="str">
        <f>HYPERLINK("http://dx.doi.org/10.1111/j.1365-2745.2006.01140.x","http://dx.doi.org/10.1111/j.1365-2745.2006.01140.x")</f>
        <v>http://dx.doi.org/10.1111/j.1365-2745.2006.01140.x</v>
      </c>
      <c r="G110" s="14" t="s">
        <v>2924</v>
      </c>
      <c r="H110" s="14" t="s">
        <v>8298</v>
      </c>
      <c r="L110" s="16">
        <v>1.0</v>
      </c>
    </row>
    <row r="111" ht="12.75" customHeight="1">
      <c r="A111" s="14" t="s">
        <v>97</v>
      </c>
      <c r="B111" s="14" t="s">
        <v>8407</v>
      </c>
      <c r="C111" s="14" t="s">
        <v>8409</v>
      </c>
      <c r="D111" s="14" t="s">
        <v>8412</v>
      </c>
      <c r="E111" s="14" t="s">
        <v>8419</v>
      </c>
      <c r="F111" s="15" t="str">
        <f>HYPERLINK("http://dx.doi.org/10.1111/j.1523-1739.2006.00420.x","http://dx.doi.org/10.1111/j.1523-1739.2006.00420.x")</f>
        <v>http://dx.doi.org/10.1111/j.1523-1739.2006.00420.x</v>
      </c>
      <c r="G111" s="14" t="s">
        <v>351</v>
      </c>
      <c r="H111" s="14" t="s">
        <v>8421</v>
      </c>
      <c r="J111" s="16">
        <v>1.0</v>
      </c>
    </row>
    <row r="112" ht="12.75" customHeight="1">
      <c r="A112" s="14" t="s">
        <v>97</v>
      </c>
      <c r="B112" s="14" t="s">
        <v>8299</v>
      </c>
      <c r="C112" s="14" t="s">
        <v>8301</v>
      </c>
      <c r="D112" s="14" t="s">
        <v>8304</v>
      </c>
      <c r="E112" s="14" t="s">
        <v>8311</v>
      </c>
      <c r="F112" s="15" t="str">
        <f>HYPERLINK("http://dx.doi.org/10.1111/j.1366-9516.2006.00273.x","http://dx.doi.org/10.1111/j.1366-9516.2006.00273.x")</f>
        <v>http://dx.doi.org/10.1111/j.1366-9516.2006.00273.x</v>
      </c>
      <c r="G112" s="14" t="s">
        <v>550</v>
      </c>
      <c r="H112" s="14" t="s">
        <v>8313</v>
      </c>
      <c r="N112" s="16">
        <v>1.0</v>
      </c>
    </row>
    <row r="113" ht="12.75" customHeight="1">
      <c r="A113" s="14" t="s">
        <v>97</v>
      </c>
      <c r="B113" s="14" t="s">
        <v>8360</v>
      </c>
      <c r="C113" s="14" t="s">
        <v>8362</v>
      </c>
      <c r="D113" s="14" t="s">
        <v>8370</v>
      </c>
      <c r="E113" s="14" t="s">
        <v>8381</v>
      </c>
      <c r="F113" s="15" t="str">
        <f>HYPERLINK("http://dx.doi.org/10.1098/rsta.2006.1816","http://dx.doi.org/10.1098/rsta.2006.1816")</f>
        <v>http://dx.doi.org/10.1098/rsta.2006.1816</v>
      </c>
      <c r="G113" s="14" t="s">
        <v>799</v>
      </c>
      <c r="H113" s="14" t="s">
        <v>8383</v>
      </c>
      <c r="K113" s="16">
        <v>1.0</v>
      </c>
    </row>
    <row r="114" ht="12.75" customHeight="1">
      <c r="A114" s="14" t="s">
        <v>97</v>
      </c>
      <c r="B114" s="14" t="s">
        <v>8314</v>
      </c>
      <c r="C114" s="14" t="s">
        <v>8316</v>
      </c>
      <c r="D114" s="14" t="s">
        <v>8319</v>
      </c>
      <c r="E114" s="14" t="s">
        <v>8326</v>
      </c>
      <c r="F114" s="15" t="str">
        <f>HYPERLINK("http://dx.doi.org/10.1111/j.1365-2486.2006.01231.x","http://dx.doi.org/10.1111/j.1365-2486.2006.01231.x")</f>
        <v>http://dx.doi.org/10.1111/j.1365-2486.2006.01231.x</v>
      </c>
      <c r="G114" s="14" t="s">
        <v>351</v>
      </c>
      <c r="H114" s="14" t="s">
        <v>8328</v>
      </c>
      <c r="N114" s="16">
        <v>1.0</v>
      </c>
    </row>
    <row r="115" ht="12.75" customHeight="1">
      <c r="A115" s="14" t="s">
        <v>97</v>
      </c>
      <c r="B115" s="14" t="s">
        <v>8270</v>
      </c>
      <c r="C115" s="14" t="s">
        <v>8272</v>
      </c>
      <c r="D115" s="14" t="s">
        <v>8275</v>
      </c>
      <c r="E115" s="14" t="s">
        <v>8281</v>
      </c>
      <c r="F115" s="15" t="str">
        <f>HYPERLINK("http://dx.doi.org/10.1016/j.gloplacha.2006.04.001","http://dx.doi.org/10.1016/j.gloplacha.2006.04.001")</f>
        <v>http://dx.doi.org/10.1016/j.gloplacha.2006.04.001</v>
      </c>
      <c r="G115" s="14" t="s">
        <v>3035</v>
      </c>
      <c r="H115" s="14" t="s">
        <v>8283</v>
      </c>
      <c r="K115" s="16">
        <v>1.0</v>
      </c>
    </row>
    <row r="116" ht="12.75" customHeight="1">
      <c r="A116" s="14" t="s">
        <v>97</v>
      </c>
      <c r="B116" s="14" t="s">
        <v>8451</v>
      </c>
      <c r="C116" s="14" t="s">
        <v>8453</v>
      </c>
      <c r="D116" s="14" t="s">
        <v>8456</v>
      </c>
      <c r="E116" s="14" t="s">
        <v>8462</v>
      </c>
      <c r="F116" s="15" t="str">
        <f>HYPERLINK("http://dx.doi.org/10.1007/s10531-005-5406-9","http://dx.doi.org/10.1007/s10531-005-5406-9")</f>
        <v>http://dx.doi.org/10.1007/s10531-005-5406-9</v>
      </c>
      <c r="G116" s="14" t="s">
        <v>351</v>
      </c>
      <c r="H116" s="14" t="s">
        <v>8464</v>
      </c>
      <c r="J116" s="16">
        <v>1.0</v>
      </c>
    </row>
    <row r="117" ht="12.75" customHeight="1">
      <c r="A117" s="14" t="s">
        <v>97</v>
      </c>
      <c r="B117" s="14" t="s">
        <v>8347</v>
      </c>
      <c r="C117" s="14" t="s">
        <v>8349</v>
      </c>
      <c r="D117" s="14" t="s">
        <v>8352</v>
      </c>
      <c r="E117" s="14" t="s">
        <v>8357</v>
      </c>
      <c r="F117" s="15" t="str">
        <f>HYPERLINK("http://dx.doi.org/10.1007/s10531-005-1345-8","http://dx.doi.org/10.1007/s10531-005-1345-8")</f>
        <v>http://dx.doi.org/10.1007/s10531-005-1345-8</v>
      </c>
      <c r="G117" s="14" t="s">
        <v>351</v>
      </c>
      <c r="H117" s="14" t="s">
        <v>8359</v>
      </c>
      <c r="N117" s="16">
        <v>1.0</v>
      </c>
    </row>
    <row r="118" ht="12.75" customHeight="1">
      <c r="A118" s="14" t="s">
        <v>97</v>
      </c>
      <c r="B118" s="14" t="s">
        <v>8329</v>
      </c>
      <c r="C118" s="14" t="s">
        <v>8331</v>
      </c>
      <c r="D118" s="14" t="s">
        <v>8334</v>
      </c>
      <c r="E118" s="14" t="s">
        <v>8344</v>
      </c>
      <c r="F118" s="15" t="str">
        <f>HYPERLINK("http://dx.doi.org/10.1162/jiec.2006.10.4.133","http://dx.doi.org/10.1162/jiec.2006.10.4.133")</f>
        <v>http://dx.doi.org/10.1162/jiec.2006.10.4.133</v>
      </c>
      <c r="G118" s="14" t="s">
        <v>1848</v>
      </c>
      <c r="H118" s="14" t="s">
        <v>8346</v>
      </c>
      <c r="K118" s="16">
        <v>1.0</v>
      </c>
    </row>
    <row r="119" ht="12.75" customHeight="1">
      <c r="A119" s="14" t="s">
        <v>97</v>
      </c>
      <c r="B119" s="14" t="s">
        <v>8186</v>
      </c>
      <c r="C119" s="14" t="s">
        <v>8188</v>
      </c>
      <c r="D119" s="14" t="s">
        <v>8191</v>
      </c>
      <c r="E119" s="14" t="s">
        <v>8196</v>
      </c>
      <c r="F119" s="15" t="str">
        <f>HYPERLINK("http://dx.doi.org/10.1051/forest:2006087","http://dx.doi.org/10.1051/forest:2006087")</f>
        <v>http://dx.doi.org/10.1051/forest:2006087</v>
      </c>
      <c r="G119" s="14" t="s">
        <v>281</v>
      </c>
      <c r="H119" s="14" t="s">
        <v>8198</v>
      </c>
      <c r="I119" s="16">
        <v>1.0</v>
      </c>
    </row>
    <row r="120" ht="12.75" customHeight="1">
      <c r="A120" s="14" t="s">
        <v>97</v>
      </c>
      <c r="B120" s="14" t="s">
        <v>8199</v>
      </c>
      <c r="C120" s="14" t="s">
        <v>8201</v>
      </c>
      <c r="D120" s="14" t="s">
        <v>8204</v>
      </c>
      <c r="E120" s="14" t="s">
        <v>8210</v>
      </c>
      <c r="F120" s="15" t="str">
        <f>HYPERLINK("http://dx.doi.org/10.1016/j.agee.2006.05.028","http://dx.doi.org/10.1016/j.agee.2006.05.028")</f>
        <v>http://dx.doi.org/10.1016/j.agee.2006.05.028</v>
      </c>
      <c r="G120" s="14" t="s">
        <v>5622</v>
      </c>
      <c r="H120" s="14" t="s">
        <v>8212</v>
      </c>
      <c r="I120" s="16">
        <v>1.0</v>
      </c>
    </row>
    <row r="121" ht="12.75" customHeight="1">
      <c r="A121" s="14" t="s">
        <v>97</v>
      </c>
      <c r="B121" s="14" t="s">
        <v>8157</v>
      </c>
      <c r="C121" s="14" t="s">
        <v>8159</v>
      </c>
      <c r="D121" s="14" t="s">
        <v>8162</v>
      </c>
      <c r="E121" s="14" t="s">
        <v>8169</v>
      </c>
      <c r="F121" s="15" t="str">
        <f>HYPERLINK("http://dx.doi.org/10.1016/j.ecss.2006.08.018","http://dx.doi.org/10.1016/j.ecss.2006.08.018")</f>
        <v>http://dx.doi.org/10.1016/j.ecss.2006.08.018</v>
      </c>
      <c r="G121" s="14" t="s">
        <v>720</v>
      </c>
      <c r="H121" s="14" t="s">
        <v>8171</v>
      </c>
      <c r="L121" s="16">
        <v>1.0</v>
      </c>
    </row>
    <row r="122" ht="12.75" customHeight="1">
      <c r="A122" s="14" t="s">
        <v>97</v>
      </c>
      <c r="B122" s="14" t="s">
        <v>8142</v>
      </c>
      <c r="C122" s="14" t="s">
        <v>8144</v>
      </c>
      <c r="D122" s="14" t="s">
        <v>8147</v>
      </c>
      <c r="E122" s="14" t="s">
        <v>8154</v>
      </c>
      <c r="F122" s="15" t="str">
        <f>HYPERLINK("http://dx.doi.org/10.1007/s10531-005-6198-7","http://dx.doi.org/10.1007/s10531-005-6198-7")</f>
        <v>http://dx.doi.org/10.1007/s10531-005-6198-7</v>
      </c>
      <c r="G122" s="14" t="s">
        <v>351</v>
      </c>
      <c r="H122" s="14" t="s">
        <v>8156</v>
      </c>
      <c r="J122" s="16">
        <v>1.0</v>
      </c>
    </row>
    <row r="123" ht="12.75" customHeight="1">
      <c r="A123" s="14" t="s">
        <v>97</v>
      </c>
      <c r="B123" s="14" t="s">
        <v>8127</v>
      </c>
      <c r="C123" s="14" t="s">
        <v>8129</v>
      </c>
      <c r="D123" s="14" t="s">
        <v>8132</v>
      </c>
      <c r="E123" s="14" t="s">
        <v>8139</v>
      </c>
      <c r="F123" s="15" t="str">
        <f>HYPERLINK("http://dx.doi.org/10.1007/s00442-006-0655-1","http://dx.doi.org/10.1007/s00442-006-0655-1")</f>
        <v>http://dx.doi.org/10.1007/s00442-006-0655-1</v>
      </c>
      <c r="G123" s="14" t="s">
        <v>259</v>
      </c>
      <c r="H123" s="14" t="s">
        <v>8141</v>
      </c>
      <c r="L123" s="16">
        <v>1.0</v>
      </c>
    </row>
    <row r="124" ht="12.75" customHeight="1">
      <c r="A124" s="14" t="s">
        <v>97</v>
      </c>
      <c r="B124" s="14" t="s">
        <v>8250</v>
      </c>
      <c r="C124" s="14" t="s">
        <v>8252</v>
      </c>
      <c r="D124" s="14" t="s">
        <v>8256</v>
      </c>
      <c r="E124" s="14" t="s">
        <v>8267</v>
      </c>
      <c r="F124" s="15" t="str">
        <f>HYPERLINK("http://dx.doi.org/10.1016/j.jnc.2006.09.001","http://dx.doi.org/10.1016/j.jnc.2006.09.001")</f>
        <v>http://dx.doi.org/10.1016/j.jnc.2006.09.001</v>
      </c>
      <c r="G124" s="14" t="s">
        <v>550</v>
      </c>
      <c r="H124" s="14" t="s">
        <v>8269</v>
      </c>
      <c r="N124" s="16">
        <v>1.0</v>
      </c>
    </row>
    <row r="125" ht="12.75" customHeight="1">
      <c r="A125" s="14" t="s">
        <v>97</v>
      </c>
      <c r="B125" s="14" t="s">
        <v>8048</v>
      </c>
      <c r="C125" s="14" t="s">
        <v>8050</v>
      </c>
      <c r="D125" s="14" t="s">
        <v>8053</v>
      </c>
      <c r="E125" s="14" t="s">
        <v>8059</v>
      </c>
      <c r="F125" s="15" t="str">
        <f>HYPERLINK("http://dx.doi.org/10.1111/j.1744-7429.2007.00275.x","http://dx.doi.org/10.1111/j.1744-7429.2007.00275.x")</f>
        <v>http://dx.doi.org/10.1111/j.1744-7429.2007.00275.x</v>
      </c>
      <c r="G125" s="14" t="s">
        <v>259</v>
      </c>
      <c r="H125" s="14" t="s">
        <v>8060</v>
      </c>
      <c r="J125" s="16">
        <v>1.0</v>
      </c>
    </row>
    <row r="126" ht="12.75" customHeight="1">
      <c r="A126" s="14" t="s">
        <v>97</v>
      </c>
      <c r="B126" s="14" t="s">
        <v>8031</v>
      </c>
      <c r="C126" s="14" t="s">
        <v>8033</v>
      </c>
      <c r="D126" s="14" t="s">
        <v>8039</v>
      </c>
      <c r="E126" s="14" t="s">
        <v>8045</v>
      </c>
      <c r="F126" s="15" t="str">
        <f>HYPERLINK("http://dx.doi.org/10.1111/j.1744-7429.2007.00276.x","http://dx.doi.org/10.1111/j.1744-7429.2007.00276.x")</f>
        <v>http://dx.doi.org/10.1111/j.1744-7429.2007.00276.x</v>
      </c>
      <c r="G126" s="14" t="s">
        <v>259</v>
      </c>
      <c r="H126" s="14" t="s">
        <v>8047</v>
      </c>
      <c r="J126" s="16">
        <v>1.0</v>
      </c>
    </row>
    <row r="127" ht="12.75" customHeight="1">
      <c r="A127" s="14" t="s">
        <v>97</v>
      </c>
      <c r="B127" s="14" t="s">
        <v>8018</v>
      </c>
      <c r="C127" s="14" t="s">
        <v>8020</v>
      </c>
      <c r="D127" s="14" t="s">
        <v>8022</v>
      </c>
      <c r="E127" s="14" t="s">
        <v>8028</v>
      </c>
      <c r="F127" s="15" t="str">
        <f>HYPERLINK("http://dx.doi.org/10.1021/es062147h","http://dx.doi.org/10.1021/es062147h")</f>
        <v>http://dx.doi.org/10.1021/es062147h</v>
      </c>
      <c r="G127" s="14" t="s">
        <v>1439</v>
      </c>
      <c r="H127" s="14" t="s">
        <v>8030</v>
      </c>
      <c r="K127" s="16">
        <v>1.0</v>
      </c>
    </row>
    <row r="128" ht="12.75" customHeight="1">
      <c r="A128" s="14" t="s">
        <v>97</v>
      </c>
      <c r="B128" s="14" t="s">
        <v>8003</v>
      </c>
      <c r="C128" s="14" t="s">
        <v>8005</v>
      </c>
      <c r="D128" s="14" t="s">
        <v>8008</v>
      </c>
      <c r="E128" s="14" t="s">
        <v>8015</v>
      </c>
      <c r="F128" s="15" t="str">
        <f>HYPERLINK("http://dx.doi.org/10.1073/pnas.0609568104","http://dx.doi.org/10.1073/pnas.0609568104")</f>
        <v>http://dx.doi.org/10.1073/pnas.0609568104</v>
      </c>
      <c r="G128" s="14" t="s">
        <v>799</v>
      </c>
      <c r="H128" s="14" t="s">
        <v>8017</v>
      </c>
      <c r="K128" s="16">
        <v>1.0</v>
      </c>
    </row>
    <row r="129" ht="12.75" customHeight="1">
      <c r="A129" s="14" t="s">
        <v>97</v>
      </c>
      <c r="B129" s="14" t="s">
        <v>8172</v>
      </c>
      <c r="C129" s="14" t="s">
        <v>8174</v>
      </c>
      <c r="D129" s="14" t="s">
        <v>8177</v>
      </c>
      <c r="E129" s="14" t="s">
        <v>8183</v>
      </c>
      <c r="F129" s="15" t="str">
        <f>HYPERLINK("http://dx.doi.org/10.3354/meps336063","http://dx.doi.org/10.3354/meps336063")</f>
        <v>http://dx.doi.org/10.3354/meps336063</v>
      </c>
      <c r="G129" s="14" t="s">
        <v>301</v>
      </c>
      <c r="H129" s="14" t="s">
        <v>8185</v>
      </c>
      <c r="M129" s="16">
        <v>1.0</v>
      </c>
    </row>
    <row r="130" ht="12.75" customHeight="1">
      <c r="A130" s="14" t="s">
        <v>97</v>
      </c>
      <c r="B130" s="14" t="s">
        <v>7966</v>
      </c>
      <c r="C130" s="14" t="s">
        <v>7968</v>
      </c>
      <c r="D130" s="14" t="s">
        <v>7971</v>
      </c>
      <c r="E130" s="14" t="s">
        <v>7978</v>
      </c>
      <c r="F130" s="15" t="str">
        <f>HYPERLINK("http://dx.doi.org/10.1007/s10531-006-9146-2","http://dx.doi.org/10.1007/s10531-006-9146-2")</f>
        <v>http://dx.doi.org/10.1007/s10531-006-9146-2</v>
      </c>
      <c r="G130" s="14" t="s">
        <v>351</v>
      </c>
      <c r="H130" s="14" t="s">
        <v>7980</v>
      </c>
      <c r="I130" s="16">
        <v>1.0</v>
      </c>
    </row>
    <row r="131" ht="12.75" customHeight="1">
      <c r="A131" s="14" t="s">
        <v>97</v>
      </c>
      <c r="B131" s="14" t="s">
        <v>8076</v>
      </c>
      <c r="C131" s="14" t="s">
        <v>8078</v>
      </c>
      <c r="D131" s="14" t="s">
        <v>8081</v>
      </c>
      <c r="E131" s="14" t="s">
        <v>8087</v>
      </c>
      <c r="F131" s="15" t="str">
        <f>HYPERLINK("http://dx.doi.org/10.1017/S0030605307001883","http://dx.doi.org/10.1017/S0030605307001883")</f>
        <v>http://dx.doi.org/10.1017/S0030605307001883</v>
      </c>
      <c r="G131" s="14" t="s">
        <v>550</v>
      </c>
      <c r="H131" s="14" t="s">
        <v>8089</v>
      </c>
      <c r="L131" s="16">
        <v>1.0</v>
      </c>
    </row>
    <row r="132" ht="12.75" customHeight="1">
      <c r="A132" s="14" t="s">
        <v>97</v>
      </c>
      <c r="B132" s="14" t="s">
        <v>8090</v>
      </c>
      <c r="C132" s="14" t="s">
        <v>8092</v>
      </c>
      <c r="D132" s="14" t="s">
        <v>8096</v>
      </c>
      <c r="E132" s="14" t="s">
        <v>8107</v>
      </c>
      <c r="F132" s="15" t="str">
        <f>HYPERLINK("http://dx.doi.org/10.1080/14634980701350686","http://dx.doi.org/10.1080/14634980701350686")</f>
        <v>http://dx.doi.org/10.1080/14634980701350686</v>
      </c>
      <c r="G132" s="14" t="s">
        <v>8108</v>
      </c>
      <c r="H132" s="14" t="s">
        <v>8110</v>
      </c>
      <c r="L132" s="16">
        <v>1.0</v>
      </c>
    </row>
    <row r="133" ht="12.75" customHeight="1">
      <c r="A133" s="14" t="s">
        <v>97</v>
      </c>
      <c r="B133" s="14" t="s">
        <v>7939</v>
      </c>
      <c r="C133" s="14" t="s">
        <v>7941</v>
      </c>
      <c r="D133" s="14" t="s">
        <v>7944</v>
      </c>
      <c r="E133" s="14" t="s">
        <v>7948</v>
      </c>
      <c r="F133" s="15" t="str">
        <f>HYPERLINK("http://dx.doi.org/10.1111/j.1523-1739.2007.00719.x","http://dx.doi.org/10.1111/j.1523-1739.2007.00719.x")</f>
        <v>http://dx.doi.org/10.1111/j.1523-1739.2007.00719.x</v>
      </c>
      <c r="G133" s="14" t="s">
        <v>351</v>
      </c>
      <c r="H133" s="14" t="s">
        <v>7950</v>
      </c>
      <c r="N133" s="16">
        <v>1.0</v>
      </c>
    </row>
    <row r="134" ht="12.75" customHeight="1">
      <c r="A134" s="14" t="s">
        <v>97</v>
      </c>
      <c r="B134" s="14" t="s">
        <v>7951</v>
      </c>
      <c r="C134" s="14" t="s">
        <v>7953</v>
      </c>
      <c r="D134" s="14" t="s">
        <v>7956</v>
      </c>
      <c r="E134" s="14" t="s">
        <v>7963</v>
      </c>
      <c r="F134" s="15" t="str">
        <f>HYPERLINK("http://dx.doi.org/10.1111/j.1365-2486.2007.01357.x","http://dx.doi.org/10.1111/j.1365-2486.2007.01357.x")</f>
        <v>http://dx.doi.org/10.1111/j.1365-2486.2007.01357.x</v>
      </c>
      <c r="G134" s="14" t="s">
        <v>351</v>
      </c>
      <c r="H134" s="14" t="s">
        <v>7965</v>
      </c>
      <c r="N134" s="16">
        <v>1.0</v>
      </c>
    </row>
    <row r="135" ht="12.75" customHeight="1">
      <c r="A135" s="14" t="s">
        <v>97</v>
      </c>
      <c r="B135" s="14" t="s">
        <v>7922</v>
      </c>
      <c r="C135" s="14" t="s">
        <v>7924</v>
      </c>
      <c r="D135" s="14" t="s">
        <v>7928</v>
      </c>
      <c r="E135" s="14" t="s">
        <v>7936</v>
      </c>
      <c r="F135" s="15" t="str">
        <f>HYPERLINK("http://dx.doi.org/10.1007/s10342-007-0173-7","http://dx.doi.org/10.1007/s10342-007-0173-7")</f>
        <v>http://dx.doi.org/10.1007/s10342-007-0173-7</v>
      </c>
      <c r="G135" s="14" t="s">
        <v>281</v>
      </c>
      <c r="H135" s="14" t="s">
        <v>7938</v>
      </c>
      <c r="I135" s="16">
        <v>1.0</v>
      </c>
    </row>
    <row r="136" ht="12.75" customHeight="1">
      <c r="A136" s="14" t="s">
        <v>97</v>
      </c>
      <c r="B136" s="14" t="s">
        <v>8228</v>
      </c>
      <c r="C136" s="14" t="s">
        <v>8230</v>
      </c>
      <c r="D136" s="14" t="s">
        <v>8236</v>
      </c>
      <c r="E136" s="14" t="s">
        <v>8245</v>
      </c>
      <c r="F136" s="15" t="str">
        <f>HYPERLINK("http://dx.doi.org/10.1016/j.pce.2007.07.033","http://dx.doi.org/10.1016/j.pce.2007.07.033")</f>
        <v>http://dx.doi.org/10.1016/j.pce.2007.07.033</v>
      </c>
      <c r="G136" s="14" t="s">
        <v>8246</v>
      </c>
      <c r="H136" s="14" t="s">
        <v>8249</v>
      </c>
      <c r="K136" s="16">
        <v>1.0</v>
      </c>
    </row>
    <row r="137" ht="12.75" customHeight="1">
      <c r="A137" s="14" t="s">
        <v>97</v>
      </c>
      <c r="B137" s="14" t="s">
        <v>7848</v>
      </c>
      <c r="C137" s="14" t="s">
        <v>7850</v>
      </c>
      <c r="D137" s="14" t="s">
        <v>7853</v>
      </c>
      <c r="E137" s="14" t="s">
        <v>7860</v>
      </c>
      <c r="F137" s="15" t="str">
        <f>HYPERLINK("http://dx.doi.org/10.1007/s10531-007-9181-7","http://dx.doi.org/10.1007/s10531-007-9181-7")</f>
        <v>http://dx.doi.org/10.1007/s10531-007-9181-7</v>
      </c>
      <c r="G137" s="14" t="s">
        <v>351</v>
      </c>
      <c r="H137" s="14" t="s">
        <v>7862</v>
      </c>
      <c r="N137" s="16">
        <v>1.0</v>
      </c>
    </row>
    <row r="138" ht="12.75" customHeight="1">
      <c r="A138" s="14" t="s">
        <v>97</v>
      </c>
      <c r="B138" s="14" t="s">
        <v>7863</v>
      </c>
      <c r="C138" s="14" t="s">
        <v>7865</v>
      </c>
      <c r="D138" s="14" t="s">
        <v>7868</v>
      </c>
      <c r="E138" s="14" t="s">
        <v>7875</v>
      </c>
      <c r="F138" s="15" t="str">
        <f>HYPERLINK("http://dx.doi.org/10.1007/s10531-007-9152-z","http://dx.doi.org/10.1007/s10531-007-9152-z")</f>
        <v>http://dx.doi.org/10.1007/s10531-007-9152-z</v>
      </c>
      <c r="G138" s="14" t="s">
        <v>351</v>
      </c>
      <c r="H138" s="14" t="s">
        <v>7877</v>
      </c>
      <c r="N138" s="16">
        <v>1.0</v>
      </c>
    </row>
    <row r="139" ht="12.75" customHeight="1">
      <c r="A139" s="14" t="s">
        <v>97</v>
      </c>
      <c r="B139" s="14" t="s">
        <v>7878</v>
      </c>
      <c r="C139" s="14" t="s">
        <v>7880</v>
      </c>
      <c r="D139" s="14" t="s">
        <v>7883</v>
      </c>
      <c r="E139" s="14" t="s">
        <v>7890</v>
      </c>
      <c r="F139" s="15" t="str">
        <f>HYPERLINK("http://dx.doi.org/10.1016/j.fishres.2006.12.009","http://dx.doi.org/10.1016/j.fishres.2006.12.009")</f>
        <v>http://dx.doi.org/10.1016/j.fishres.2006.12.009</v>
      </c>
      <c r="G139" s="14" t="s">
        <v>894</v>
      </c>
      <c r="H139" s="14" t="s">
        <v>7892</v>
      </c>
      <c r="M139" s="16">
        <v>1.0</v>
      </c>
    </row>
    <row r="140" ht="12.75" customHeight="1">
      <c r="A140" s="14" t="s">
        <v>97</v>
      </c>
      <c r="B140" s="14" t="s">
        <v>7834</v>
      </c>
      <c r="C140" s="14" t="s">
        <v>7836</v>
      </c>
      <c r="D140" s="14" t="s">
        <v>7839</v>
      </c>
      <c r="E140" s="14" t="s">
        <v>7845</v>
      </c>
      <c r="F140" s="15" t="str">
        <f>HYPERLINK("http://dx.doi.org/10.1111/j.1523-1739.2007.00814.x","http://dx.doi.org/10.1111/j.1523-1739.2007.00814.x")</f>
        <v>http://dx.doi.org/10.1111/j.1523-1739.2007.00814.x</v>
      </c>
      <c r="G140" s="14" t="s">
        <v>351</v>
      </c>
      <c r="H140" s="14" t="s">
        <v>7847</v>
      </c>
      <c r="N140" s="16">
        <v>1.0</v>
      </c>
    </row>
    <row r="141" ht="12.75" customHeight="1">
      <c r="A141" s="14" t="s">
        <v>97</v>
      </c>
      <c r="B141" s="14" t="s">
        <v>8213</v>
      </c>
      <c r="C141" s="14" t="s">
        <v>8215</v>
      </c>
      <c r="D141" s="14" t="s">
        <v>8218</v>
      </c>
      <c r="E141" s="14" t="s">
        <v>8225</v>
      </c>
      <c r="F141" s="15" t="str">
        <f>HYPERLINK("http://dx.doi.org/10.3354/meps07138","http://dx.doi.org/10.3354/meps07138")</f>
        <v>http://dx.doi.org/10.3354/meps07138</v>
      </c>
      <c r="G141" s="14" t="s">
        <v>301</v>
      </c>
      <c r="H141" s="14" t="s">
        <v>8227</v>
      </c>
      <c r="M141" s="16">
        <v>1.0</v>
      </c>
    </row>
    <row r="142" ht="12.75" customHeight="1">
      <c r="A142" s="14" t="s">
        <v>97</v>
      </c>
      <c r="B142" s="14" t="s">
        <v>7790</v>
      </c>
      <c r="C142" s="14" t="s">
        <v>7792</v>
      </c>
      <c r="D142" s="14" t="s">
        <v>7796</v>
      </c>
      <c r="E142" s="14" t="s">
        <v>7809</v>
      </c>
      <c r="F142" s="15" t="str">
        <f>HYPERLINK("http://dx.doi.org/10.1086/523949","http://dx.doi.org/10.1086/523949")</f>
        <v>http://dx.doi.org/10.1086/523949</v>
      </c>
      <c r="G142" s="14" t="s">
        <v>1224</v>
      </c>
      <c r="H142" s="14" t="s">
        <v>7811</v>
      </c>
      <c r="N142" s="16">
        <v>1.0</v>
      </c>
    </row>
    <row r="143" ht="12.75" customHeight="1">
      <c r="A143" s="14" t="s">
        <v>97</v>
      </c>
      <c r="B143" s="14" t="s">
        <v>7758</v>
      </c>
      <c r="C143" s="14" t="s">
        <v>7760</v>
      </c>
      <c r="D143" s="14" t="s">
        <v>7763</v>
      </c>
      <c r="E143" s="14" t="s">
        <v>7769</v>
      </c>
      <c r="F143" s="15" t="str">
        <f>HYPERLINK("http://dx.doi.org/10.1016/j.foreco.2007.08.005","http://dx.doi.org/10.1016/j.foreco.2007.08.005")</f>
        <v>http://dx.doi.org/10.1016/j.foreco.2007.08.005</v>
      </c>
      <c r="G143" s="14" t="s">
        <v>281</v>
      </c>
      <c r="H143" s="14" t="s">
        <v>7771</v>
      </c>
      <c r="I143" s="16">
        <v>1.0</v>
      </c>
    </row>
    <row r="144" ht="12.75" customHeight="1">
      <c r="A144" s="14" t="s">
        <v>97</v>
      </c>
      <c r="B144" s="14" t="s">
        <v>7743</v>
      </c>
      <c r="C144" s="14" t="s">
        <v>7745</v>
      </c>
      <c r="D144" s="14" t="s">
        <v>7748</v>
      </c>
      <c r="E144" s="14" t="s">
        <v>7755</v>
      </c>
      <c r="F144" s="15" t="str">
        <f>HYPERLINK("http://dx.doi.org/10.1111/j.1523-1739.2007.00852.x","http://dx.doi.org/10.1111/j.1523-1739.2007.00852.x")</f>
        <v>http://dx.doi.org/10.1111/j.1523-1739.2007.00852.x</v>
      </c>
      <c r="G144" s="14" t="s">
        <v>351</v>
      </c>
      <c r="H144" s="14" t="s">
        <v>7757</v>
      </c>
      <c r="N144" s="16">
        <v>1.0</v>
      </c>
    </row>
    <row r="145" ht="12.75" customHeight="1">
      <c r="A145" s="14" t="s">
        <v>97</v>
      </c>
      <c r="B145" s="14" t="s">
        <v>7696</v>
      </c>
      <c r="C145" s="14" t="s">
        <v>7698</v>
      </c>
      <c r="D145" s="14" t="s">
        <v>7701</v>
      </c>
      <c r="E145" s="14" t="s">
        <v>7708</v>
      </c>
      <c r="F145" s="15" t="str">
        <f>HYPERLINK("http://dx.doi.org/10.1111/j.1365-2486.2007.01527.x","http://dx.doi.org/10.1111/j.1365-2486.2007.01527.x")</f>
        <v>http://dx.doi.org/10.1111/j.1365-2486.2007.01527.x</v>
      </c>
      <c r="G145" s="14" t="s">
        <v>351</v>
      </c>
      <c r="H145" s="14" t="s">
        <v>7710</v>
      </c>
      <c r="N145" s="16">
        <v>1.0</v>
      </c>
    </row>
    <row r="146" ht="12.75" customHeight="1">
      <c r="A146" s="14" t="s">
        <v>97</v>
      </c>
      <c r="B146" s="14" t="s">
        <v>7711</v>
      </c>
      <c r="C146" s="14" t="s">
        <v>7713</v>
      </c>
      <c r="D146" s="14" t="s">
        <v>7715</v>
      </c>
      <c r="E146" s="14" t="s">
        <v>7722</v>
      </c>
      <c r="F146" s="15" t="str">
        <f>HYPERLINK("http://dx.doi.org/10.1126/science.1149345","http://dx.doi.org/10.1126/science.1149345")</f>
        <v>http://dx.doi.org/10.1126/science.1149345</v>
      </c>
      <c r="G146" s="14" t="s">
        <v>799</v>
      </c>
      <c r="H146" s="14" t="s">
        <v>7724</v>
      </c>
      <c r="K146" s="16">
        <v>1.0</v>
      </c>
    </row>
    <row r="147" ht="12.75" customHeight="1">
      <c r="A147" s="14" t="s">
        <v>97</v>
      </c>
      <c r="B147" s="14" t="s">
        <v>7725</v>
      </c>
      <c r="C147" s="14" t="s">
        <v>7727</v>
      </c>
      <c r="D147" s="14" t="s">
        <v>7734</v>
      </c>
      <c r="E147" s="14" t="s">
        <v>7740</v>
      </c>
      <c r="F147" s="15" t="str">
        <f>HYPERLINK("http://dx.doi.org/10.1016/j.foreco.2007.07.023","http://dx.doi.org/10.1016/j.foreco.2007.07.023")</f>
        <v>http://dx.doi.org/10.1016/j.foreco.2007.07.023</v>
      </c>
      <c r="G147" s="14" t="s">
        <v>281</v>
      </c>
      <c r="H147" s="14" t="s">
        <v>7742</v>
      </c>
      <c r="N147" s="16">
        <v>1.0</v>
      </c>
    </row>
    <row r="148" ht="12.75" customHeight="1">
      <c r="A148" s="14" t="s">
        <v>97</v>
      </c>
      <c r="B148" s="14" t="s">
        <v>7656</v>
      </c>
      <c r="C148" s="14" t="s">
        <v>7658</v>
      </c>
      <c r="D148" s="14" t="s">
        <v>7662</v>
      </c>
      <c r="E148" s="14" t="s">
        <v>7672</v>
      </c>
      <c r="F148" s="15" t="str">
        <f>HYPERLINK("http://dx.doi.org/10.1007/s10841-006-9065-2","http://dx.doi.org/10.1007/s10841-006-9065-2")</f>
        <v>http://dx.doi.org/10.1007/s10841-006-9065-2</v>
      </c>
      <c r="G148" s="14" t="s">
        <v>7673</v>
      </c>
      <c r="H148" s="14" t="s">
        <v>7676</v>
      </c>
      <c r="I148" s="16">
        <v>1.0</v>
      </c>
    </row>
    <row r="149" ht="12.75" customHeight="1">
      <c r="A149" s="14" t="s">
        <v>97</v>
      </c>
      <c r="B149" s="14" t="s">
        <v>7677</v>
      </c>
      <c r="C149" s="14" t="s">
        <v>7679</v>
      </c>
      <c r="D149" s="14" t="s">
        <v>7683</v>
      </c>
      <c r="E149" s="14" t="s">
        <v>7693</v>
      </c>
      <c r="F149" s="15" t="str">
        <f>HYPERLINK("http://dx.doi.org/10.1007/s10530-007-9138-5","http://dx.doi.org/10.1007/s10530-007-9138-5")</f>
        <v>http://dx.doi.org/10.1007/s10530-007-9138-5</v>
      </c>
      <c r="G149" s="14" t="s">
        <v>550</v>
      </c>
      <c r="H149" s="14" t="s">
        <v>7695</v>
      </c>
      <c r="L149" s="16">
        <v>1.0</v>
      </c>
    </row>
    <row r="150" ht="12.75" customHeight="1">
      <c r="A150" s="14" t="s">
        <v>97</v>
      </c>
      <c r="B150" s="14" t="s">
        <v>240</v>
      </c>
      <c r="C150" s="14" t="s">
        <v>242</v>
      </c>
      <c r="D150" s="14" t="s">
        <v>246</v>
      </c>
      <c r="E150" s="14" t="s">
        <v>99</v>
      </c>
      <c r="F150" s="14" t="s">
        <v>99</v>
      </c>
      <c r="G150" s="14" t="s">
        <v>259</v>
      </c>
      <c r="H150" s="14" t="s">
        <v>262</v>
      </c>
      <c r="I150" s="16">
        <v>1.0</v>
      </c>
    </row>
    <row r="151" ht="12.75" customHeight="1">
      <c r="A151" s="14" t="s">
        <v>97</v>
      </c>
      <c r="B151" s="14" t="s">
        <v>7569</v>
      </c>
      <c r="C151" s="14" t="s">
        <v>7571</v>
      </c>
      <c r="D151" s="14" t="s">
        <v>7574</v>
      </c>
      <c r="E151" s="14" t="s">
        <v>7582</v>
      </c>
      <c r="F151" s="15" t="str">
        <f>HYPERLINK("http://dx.doi.org/10.1016/j.agee.2008.01.005","http://dx.doi.org/10.1016/j.agee.2008.01.005")</f>
        <v>http://dx.doi.org/10.1016/j.agee.2008.01.005</v>
      </c>
      <c r="G151" s="14" t="s">
        <v>5622</v>
      </c>
      <c r="H151" s="14" t="s">
        <v>7584</v>
      </c>
      <c r="I151" s="16">
        <v>1.0</v>
      </c>
    </row>
    <row r="152" ht="12.75" customHeight="1">
      <c r="A152" s="14" t="s">
        <v>97</v>
      </c>
      <c r="B152" s="14" t="s">
        <v>7615</v>
      </c>
      <c r="C152" s="14" t="s">
        <v>7617</v>
      </c>
      <c r="D152" s="14" t="s">
        <v>7620</v>
      </c>
      <c r="E152" s="14" t="s">
        <v>7627</v>
      </c>
      <c r="F152" s="15" t="str">
        <f>HYPERLINK("http://dx.doi.org/10.3170/2008-7-18348","http://dx.doi.org/10.3170/2008-7-18348")</f>
        <v>http://dx.doi.org/10.3170/2008-7-18348</v>
      </c>
      <c r="G152" s="14" t="s">
        <v>1141</v>
      </c>
      <c r="H152" s="14" t="s">
        <v>7629</v>
      </c>
      <c r="N152" s="16">
        <v>1.0</v>
      </c>
    </row>
    <row r="153" ht="12.75" customHeight="1">
      <c r="A153" s="14" t="s">
        <v>97</v>
      </c>
      <c r="B153" s="14" t="s">
        <v>7489</v>
      </c>
      <c r="C153" s="14" t="s">
        <v>7491</v>
      </c>
      <c r="D153" s="14" t="s">
        <v>7494</v>
      </c>
      <c r="E153" s="14" t="s">
        <v>7501</v>
      </c>
      <c r="F153" s="15" t="str">
        <f>HYPERLINK("http://dx.doi.org/10.1016/j.agee.2008.01.013","http://dx.doi.org/10.1016/j.agee.2008.01.013")</f>
        <v>http://dx.doi.org/10.1016/j.agee.2008.01.013</v>
      </c>
      <c r="G153" s="14" t="s">
        <v>5622</v>
      </c>
      <c r="H153" s="14" t="s">
        <v>7503</v>
      </c>
      <c r="N153" s="16">
        <v>1.0</v>
      </c>
    </row>
    <row r="154" ht="12.75" customHeight="1">
      <c r="A154" s="14" t="s">
        <v>97</v>
      </c>
      <c r="B154" s="14" t="s">
        <v>7474</v>
      </c>
      <c r="C154" s="14" t="s">
        <v>7476</v>
      </c>
      <c r="D154" s="14" t="s">
        <v>7479</v>
      </c>
      <c r="E154" s="14" t="s">
        <v>7486</v>
      </c>
      <c r="F154" s="15" t="str">
        <f>HYPERLINK("http://dx.doi.org/10.1111/j.1365-2486.2008.01559.x","http://dx.doi.org/10.1111/j.1365-2486.2008.01559.x")</f>
        <v>http://dx.doi.org/10.1111/j.1365-2486.2008.01559.x</v>
      </c>
      <c r="G154" s="14" t="s">
        <v>351</v>
      </c>
      <c r="H154" s="14" t="s">
        <v>7488</v>
      </c>
      <c r="N154" s="16">
        <v>1.0</v>
      </c>
    </row>
    <row r="155" ht="12.75" customHeight="1">
      <c r="A155" s="14" t="s">
        <v>97</v>
      </c>
      <c r="B155" s="14" t="s">
        <v>7585</v>
      </c>
      <c r="C155" s="14" t="s">
        <v>7587</v>
      </c>
      <c r="D155" s="14" t="s">
        <v>7590</v>
      </c>
      <c r="E155" s="14" t="s">
        <v>7597</v>
      </c>
      <c r="F155" s="15" t="str">
        <f>HYPERLINK("http://dx.doi.org/10.1007/s10531-007-9300-5","http://dx.doi.org/10.1007/s10531-007-9300-5")</f>
        <v>http://dx.doi.org/10.1007/s10531-007-9300-5</v>
      </c>
      <c r="G155" s="14" t="s">
        <v>351</v>
      </c>
      <c r="H155" s="14" t="s">
        <v>7599</v>
      </c>
      <c r="J155" s="16">
        <v>1.0</v>
      </c>
    </row>
    <row r="156" ht="12.75" customHeight="1">
      <c r="A156" s="14" t="s">
        <v>97</v>
      </c>
      <c r="B156" s="14" t="s">
        <v>7553</v>
      </c>
      <c r="C156" s="14" t="s">
        <v>7555</v>
      </c>
      <c r="D156" s="14" t="s">
        <v>7558</v>
      </c>
      <c r="E156" s="14" t="s">
        <v>7566</v>
      </c>
      <c r="F156" s="15" t="str">
        <f>HYPERLINK("http://dx.doi.org/10.1016/j.foreco.2008.01.069","http://dx.doi.org/10.1016/j.foreco.2008.01.069")</f>
        <v>http://dx.doi.org/10.1016/j.foreco.2008.01.069</v>
      </c>
      <c r="G156" s="14" t="s">
        <v>281</v>
      </c>
      <c r="H156" s="14" t="s">
        <v>7568</v>
      </c>
      <c r="I156" s="16">
        <v>1.0</v>
      </c>
    </row>
    <row r="157" ht="12.75" customHeight="1">
      <c r="A157" s="14" t="s">
        <v>97</v>
      </c>
      <c r="B157" s="14" t="s">
        <v>7504</v>
      </c>
      <c r="C157" s="14" t="s">
        <v>7506</v>
      </c>
      <c r="D157" s="14" t="s">
        <v>7510</v>
      </c>
      <c r="E157" s="14" t="s">
        <v>7520</v>
      </c>
      <c r="F157" s="15" t="str">
        <f>HYPERLINK("http://dx.doi.org/10.1007/s10021-008-9146-z","http://dx.doi.org/10.1007/s10021-008-9146-z")</f>
        <v>http://dx.doi.org/10.1007/s10021-008-9146-z</v>
      </c>
      <c r="G157" s="14" t="s">
        <v>259</v>
      </c>
      <c r="H157" s="14" t="s">
        <v>7522</v>
      </c>
      <c r="K157" s="16">
        <v>1.0</v>
      </c>
    </row>
    <row r="158" ht="12.75" customHeight="1">
      <c r="A158" s="14" t="s">
        <v>97</v>
      </c>
      <c r="B158" s="14" t="s">
        <v>7425</v>
      </c>
      <c r="C158" s="14" t="s">
        <v>7427</v>
      </c>
      <c r="D158" s="14" t="s">
        <v>7431</v>
      </c>
      <c r="E158" s="14" t="s">
        <v>7441</v>
      </c>
      <c r="F158" s="15" t="str">
        <f>HYPERLINK("http://dx.doi.org/10.1111/j.1365-2745.2008.01369.x","http://dx.doi.org/10.1111/j.1365-2745.2008.01369.x")</f>
        <v>http://dx.doi.org/10.1111/j.1365-2745.2008.01369.x</v>
      </c>
      <c r="G158" s="14" t="s">
        <v>2924</v>
      </c>
      <c r="H158" s="14" t="s">
        <v>7443</v>
      </c>
      <c r="N158" s="16">
        <v>1.0</v>
      </c>
    </row>
    <row r="159" ht="12.75" customHeight="1">
      <c r="A159" s="14" t="s">
        <v>97</v>
      </c>
      <c r="B159" s="14" t="s">
        <v>7600</v>
      </c>
      <c r="C159" s="14" t="s">
        <v>7602</v>
      </c>
      <c r="D159" s="14" t="s">
        <v>7605</v>
      </c>
      <c r="E159" s="14" t="s">
        <v>7612</v>
      </c>
      <c r="F159" s="15" t="str">
        <f>HYPERLINK("http://dx.doi.org/10.1016/j.biocon.2008.03.007","http://dx.doi.org/10.1016/j.biocon.2008.03.007")</f>
        <v>http://dx.doi.org/10.1016/j.biocon.2008.03.007</v>
      </c>
      <c r="G159" s="14" t="s">
        <v>351</v>
      </c>
      <c r="H159" s="14" t="s">
        <v>7614</v>
      </c>
      <c r="N159" s="16">
        <v>1.0</v>
      </c>
    </row>
    <row r="160" ht="12.75" customHeight="1">
      <c r="A160" s="14" t="s">
        <v>97</v>
      </c>
      <c r="B160" s="14" t="s">
        <v>7444</v>
      </c>
      <c r="C160" s="14" t="s">
        <v>7446</v>
      </c>
      <c r="D160" s="14" t="s">
        <v>7449</v>
      </c>
      <c r="E160" s="14" t="s">
        <v>7456</v>
      </c>
      <c r="F160" s="15" t="str">
        <f>HYPERLINK("http://dx.doi.org/10.1007/s10531-007-9267-2","http://dx.doi.org/10.1007/s10531-007-9267-2")</f>
        <v>http://dx.doi.org/10.1007/s10531-007-9267-2</v>
      </c>
      <c r="G160" s="14" t="s">
        <v>351</v>
      </c>
      <c r="H160" s="14" t="s">
        <v>7457</v>
      </c>
      <c r="I160" s="16">
        <v>1.0</v>
      </c>
    </row>
    <row r="161" ht="12.75" customHeight="1">
      <c r="A161" s="14" t="s">
        <v>97</v>
      </c>
      <c r="B161" s="14" t="s">
        <v>7317</v>
      </c>
      <c r="C161" s="14" t="s">
        <v>7319</v>
      </c>
      <c r="D161" s="14" t="s">
        <v>7322</v>
      </c>
      <c r="E161" s="14" t="s">
        <v>7329</v>
      </c>
      <c r="F161" s="15" t="str">
        <f>HYPERLINK("http://dx.doi.org/10.1111/j.1365-2664.2008.01488.x","http://dx.doi.org/10.1111/j.1365-2664.2008.01488.x")</f>
        <v>http://dx.doi.org/10.1111/j.1365-2664.2008.01488.x</v>
      </c>
      <c r="G161" s="14" t="s">
        <v>550</v>
      </c>
      <c r="H161" s="14" t="s">
        <v>7331</v>
      </c>
      <c r="M161" s="16">
        <v>1.0</v>
      </c>
    </row>
    <row r="162" ht="12.75" customHeight="1">
      <c r="A162" s="14" t="s">
        <v>97</v>
      </c>
      <c r="B162" s="14" t="s">
        <v>7523</v>
      </c>
      <c r="C162" s="14" t="s">
        <v>7525</v>
      </c>
      <c r="D162" s="14" t="s">
        <v>7528</v>
      </c>
      <c r="E162" s="14" t="s">
        <v>7535</v>
      </c>
      <c r="F162" s="15" t="str">
        <f>HYPERLINK("http://dx.doi.org/10.1016/j.biocon.2008.03.020","http://dx.doi.org/10.1016/j.biocon.2008.03.020")</f>
        <v>http://dx.doi.org/10.1016/j.biocon.2008.03.020</v>
      </c>
      <c r="G162" s="14" t="s">
        <v>351</v>
      </c>
      <c r="H162" s="14" t="s">
        <v>7537</v>
      </c>
      <c r="J162" s="16">
        <v>1.0</v>
      </c>
    </row>
    <row r="163" ht="12.75" customHeight="1">
      <c r="A163" s="14" t="s">
        <v>97</v>
      </c>
      <c r="B163" s="14" t="s">
        <v>7358</v>
      </c>
      <c r="C163" s="14" t="s">
        <v>7360</v>
      </c>
      <c r="D163" s="14" t="s">
        <v>7363</v>
      </c>
      <c r="E163" s="14" t="s">
        <v>7369</v>
      </c>
      <c r="F163" s="15" t="str">
        <f>HYPERLINK("http://dx.doi.org/10.1111/j.1365-2486.2008.01596.x","http://dx.doi.org/10.1111/j.1365-2486.2008.01596.x")</f>
        <v>http://dx.doi.org/10.1111/j.1365-2486.2008.01596.x</v>
      </c>
      <c r="G163" s="14" t="s">
        <v>351</v>
      </c>
      <c r="H163" s="14" t="s">
        <v>7371</v>
      </c>
      <c r="N163" s="16">
        <v>1.0</v>
      </c>
    </row>
    <row r="164" ht="12.75" customHeight="1">
      <c r="A164" s="14" t="s">
        <v>97</v>
      </c>
      <c r="B164" s="14" t="s">
        <v>7372</v>
      </c>
      <c r="C164" s="14" t="s">
        <v>7374</v>
      </c>
      <c r="D164" s="14" t="s">
        <v>7377</v>
      </c>
      <c r="E164" s="14" t="s">
        <v>7386</v>
      </c>
      <c r="F164" s="15" t="str">
        <f>HYPERLINK("http://dx.doi.org/10.1016/j.biocon.2008.04.024","http://dx.doi.org/10.1016/j.biocon.2008.04.024")</f>
        <v>http://dx.doi.org/10.1016/j.biocon.2008.04.024</v>
      </c>
      <c r="G164" s="14" t="s">
        <v>351</v>
      </c>
      <c r="H164" s="14" t="s">
        <v>7388</v>
      </c>
      <c r="L164" s="16">
        <v>1.0</v>
      </c>
    </row>
    <row r="165" ht="12.75" customHeight="1">
      <c r="A165" s="14" t="s">
        <v>97</v>
      </c>
      <c r="B165" s="14" t="s">
        <v>7332</v>
      </c>
      <c r="C165" s="14" t="s">
        <v>7334</v>
      </c>
      <c r="D165" s="14" t="s">
        <v>7342</v>
      </c>
      <c r="E165" s="14" t="s">
        <v>7355</v>
      </c>
      <c r="F165" s="15" t="str">
        <f>HYPERLINK("http://dx.doi.org/10.1007/s10764-008-9254-9","http://dx.doi.org/10.1007/s10764-008-9254-9")</f>
        <v>http://dx.doi.org/10.1007/s10764-008-9254-9</v>
      </c>
      <c r="G165" s="14" t="s">
        <v>121</v>
      </c>
      <c r="H165" s="14" t="s">
        <v>7357</v>
      </c>
      <c r="J165" s="16">
        <v>1.0</v>
      </c>
    </row>
    <row r="166" ht="12.75" customHeight="1">
      <c r="A166" s="14" t="s">
        <v>97</v>
      </c>
      <c r="B166" s="14" t="s">
        <v>7219</v>
      </c>
      <c r="C166" s="14" t="s">
        <v>7221</v>
      </c>
      <c r="D166" s="14" t="s">
        <v>7224</v>
      </c>
      <c r="E166" s="14" t="s">
        <v>7235</v>
      </c>
      <c r="F166" s="15" t="str">
        <f>HYPERLINK("http://dx.doi.org/10.1098/rsbl.2008.0231","http://dx.doi.org/10.1098/rsbl.2008.0231")</f>
        <v>http://dx.doi.org/10.1098/rsbl.2008.0231</v>
      </c>
      <c r="G166" s="14" t="s">
        <v>1552</v>
      </c>
      <c r="H166" s="14" t="s">
        <v>7237</v>
      </c>
      <c r="N166" s="16">
        <v>1.0</v>
      </c>
    </row>
    <row r="167" ht="12.75" customHeight="1">
      <c r="A167" s="14" t="s">
        <v>97</v>
      </c>
      <c r="B167" s="14" t="s">
        <v>7279</v>
      </c>
      <c r="C167" s="14" t="s">
        <v>7281</v>
      </c>
      <c r="D167" s="14" t="s">
        <v>7283</v>
      </c>
      <c r="E167" s="14" t="s">
        <v>7295</v>
      </c>
      <c r="F167" s="15" t="str">
        <f>HYPERLINK("http://dx.doi.org/10.1017/S0959270908000439","http://dx.doi.org/10.1017/S0959270908000439")</f>
        <v>http://dx.doi.org/10.1017/S0959270908000439</v>
      </c>
      <c r="G167" s="14" t="s">
        <v>5102</v>
      </c>
      <c r="H167" s="14" t="s">
        <v>7297</v>
      </c>
      <c r="L167" s="16">
        <v>1.0</v>
      </c>
    </row>
    <row r="168" ht="12.75" customHeight="1">
      <c r="A168" s="14" t="s">
        <v>97</v>
      </c>
      <c r="B168" s="14" t="s">
        <v>7238</v>
      </c>
      <c r="C168" s="14" t="s">
        <v>7240</v>
      </c>
      <c r="D168" s="14" t="s">
        <v>7242</v>
      </c>
      <c r="E168" s="14" t="s">
        <v>7253</v>
      </c>
      <c r="F168" s="15" t="str">
        <f>HYPERLINK("http://dx.doi.org/10.1126/science.1162547","http://dx.doi.org/10.1126/science.1162547")</f>
        <v>http://dx.doi.org/10.1126/science.1162547</v>
      </c>
      <c r="G168" s="14" t="s">
        <v>799</v>
      </c>
      <c r="H168" s="14" t="s">
        <v>7255</v>
      </c>
      <c r="N168" s="16">
        <v>1.0</v>
      </c>
    </row>
    <row r="169" ht="12.75" customHeight="1">
      <c r="A169" s="14" t="s">
        <v>97</v>
      </c>
      <c r="B169" s="14" t="s">
        <v>7772</v>
      </c>
      <c r="C169" s="14" t="s">
        <v>7774</v>
      </c>
      <c r="D169" s="14" t="s">
        <v>7775</v>
      </c>
      <c r="E169" s="14" t="s">
        <v>7787</v>
      </c>
      <c r="F169" s="15" t="str">
        <f>HYPERLINK("http://dx.doi.org/10.1371/journal.pone.0001439","http://dx.doi.org/10.1371/journal.pone.0001439")</f>
        <v>http://dx.doi.org/10.1371/journal.pone.0001439</v>
      </c>
      <c r="G169" s="14" t="s">
        <v>799</v>
      </c>
      <c r="H169" s="14" t="s">
        <v>7789</v>
      </c>
      <c r="N169" s="16">
        <v>1.0</v>
      </c>
    </row>
    <row r="170" ht="12.75" customHeight="1">
      <c r="A170" s="14" t="s">
        <v>97</v>
      </c>
      <c r="B170" s="14" t="s">
        <v>7194</v>
      </c>
      <c r="C170" s="14" t="s">
        <v>7196</v>
      </c>
      <c r="D170" s="14" t="s">
        <v>7199</v>
      </c>
      <c r="E170" s="14" t="s">
        <v>7215</v>
      </c>
      <c r="F170" s="15" t="str">
        <f>HYPERLINK("http://dx.doi.org/10.1086/588171","http://dx.doi.org/10.1086/588171")</f>
        <v>http://dx.doi.org/10.1086/588171</v>
      </c>
      <c r="G170" s="14" t="s">
        <v>7216</v>
      </c>
      <c r="H170" s="14" t="s">
        <v>7218</v>
      </c>
      <c r="N170" s="16">
        <v>1.0</v>
      </c>
    </row>
    <row r="171" ht="12.75" customHeight="1">
      <c r="A171" s="14" t="s">
        <v>97</v>
      </c>
      <c r="B171" s="14" t="s">
        <v>7256</v>
      </c>
      <c r="C171" s="14" t="s">
        <v>7258</v>
      </c>
      <c r="D171" s="14" t="s">
        <v>7262</v>
      </c>
      <c r="E171" s="14" t="s">
        <v>7276</v>
      </c>
      <c r="F171" s="15" t="str">
        <f>HYPERLINK("http://dx.doi.org/10.1007/BF03195197","http://dx.doi.org/10.1007/BF03195197")</f>
        <v>http://dx.doi.org/10.1007/BF03195197</v>
      </c>
      <c r="G171" s="14" t="s">
        <v>121</v>
      </c>
      <c r="H171" s="14" t="s">
        <v>7278</v>
      </c>
      <c r="J171" s="16">
        <v>1.0</v>
      </c>
    </row>
    <row r="172" ht="12.75" customHeight="1">
      <c r="A172" s="14" t="s">
        <v>97</v>
      </c>
      <c r="B172" s="14" t="s">
        <v>7157</v>
      </c>
      <c r="C172" s="14" t="s">
        <v>7159</v>
      </c>
      <c r="D172" s="14" t="s">
        <v>7163</v>
      </c>
      <c r="E172" s="14" t="s">
        <v>7172</v>
      </c>
      <c r="F172" s="15" t="str">
        <f>HYPERLINK("http://dx.doi.org/10.1007/s10236-008-0141-x","http://dx.doi.org/10.1007/s10236-008-0141-x")</f>
        <v>http://dx.doi.org/10.1007/s10236-008-0141-x</v>
      </c>
      <c r="G172" s="14" t="s">
        <v>2034</v>
      </c>
      <c r="H172" s="14" t="s">
        <v>7174</v>
      </c>
      <c r="M172" s="16">
        <v>1.0</v>
      </c>
    </row>
    <row r="173" ht="12.75" customHeight="1">
      <c r="A173" s="14" t="s">
        <v>97</v>
      </c>
      <c r="B173" s="14" t="s">
        <v>7058</v>
      </c>
      <c r="C173" s="14" t="s">
        <v>7060</v>
      </c>
      <c r="D173" s="14" t="s">
        <v>7063</v>
      </c>
      <c r="E173" s="14" t="s">
        <v>7073</v>
      </c>
      <c r="F173" s="15" t="str">
        <f>HYPERLINK("http://dx.doi.org/10.1111/j.1365-2028.2007.00881.x","http://dx.doi.org/10.1111/j.1365-2028.2007.00881.x")</f>
        <v>http://dx.doi.org/10.1111/j.1365-2028.2007.00881.x</v>
      </c>
      <c r="G173" s="14" t="s">
        <v>259</v>
      </c>
      <c r="H173" s="14" t="s">
        <v>7075</v>
      </c>
      <c r="J173" s="16">
        <v>1.0</v>
      </c>
    </row>
    <row r="174" ht="12.75" customHeight="1">
      <c r="A174" s="14" t="s">
        <v>97</v>
      </c>
      <c r="B174" s="14" t="s">
        <v>7076</v>
      </c>
      <c r="C174" s="14" t="s">
        <v>7078</v>
      </c>
      <c r="D174" s="14" t="s">
        <v>7081</v>
      </c>
      <c r="E174" s="14" t="s">
        <v>7093</v>
      </c>
      <c r="F174" s="15" t="str">
        <f>HYPERLINK("http://dx.doi.org/10.1890/07-1748.1","http://dx.doi.org/10.1890/07-1748.1")</f>
        <v>http://dx.doi.org/10.1890/07-1748.1</v>
      </c>
      <c r="G174" s="14" t="s">
        <v>259</v>
      </c>
      <c r="H174" s="14" t="s">
        <v>7095</v>
      </c>
      <c r="N174" s="16">
        <v>1.0</v>
      </c>
    </row>
    <row r="175" ht="12.75" customHeight="1">
      <c r="A175" s="14" t="s">
        <v>97</v>
      </c>
      <c r="B175" s="14" t="s">
        <v>7096</v>
      </c>
      <c r="C175" s="14" t="s">
        <v>7098</v>
      </c>
      <c r="D175" s="14" t="s">
        <v>7101</v>
      </c>
      <c r="E175" s="14" t="s">
        <v>7114</v>
      </c>
      <c r="F175" s="15" t="str">
        <f>HYPERLINK("http://dx.doi.org/10.1894/CLG-10.1","http://dx.doi.org/10.1894/CLG-10.1")</f>
        <v>http://dx.doi.org/10.1894/CLG-10.1</v>
      </c>
      <c r="G175" s="14" t="s">
        <v>550</v>
      </c>
      <c r="H175" s="14" t="s">
        <v>7116</v>
      </c>
      <c r="I175" s="16">
        <v>1.0</v>
      </c>
    </row>
    <row r="176" ht="12.75" customHeight="1">
      <c r="A176" s="14" t="s">
        <v>97</v>
      </c>
      <c r="B176" s="14" t="s">
        <v>150</v>
      </c>
      <c r="C176" s="14" t="s">
        <v>152</v>
      </c>
      <c r="D176" s="14" t="s">
        <v>155</v>
      </c>
      <c r="E176" s="14" t="s">
        <v>99</v>
      </c>
      <c r="F176" s="14" t="s">
        <v>99</v>
      </c>
      <c r="G176" s="14" t="s">
        <v>169</v>
      </c>
      <c r="H176" s="14" t="s">
        <v>172</v>
      </c>
      <c r="I176" s="16">
        <v>1.0</v>
      </c>
    </row>
    <row r="177" ht="12.75" customHeight="1">
      <c r="A177" s="14" t="s">
        <v>97</v>
      </c>
      <c r="B177" s="14" t="s">
        <v>7117</v>
      </c>
      <c r="C177" s="14" t="s">
        <v>7119</v>
      </c>
      <c r="D177" s="14" t="s">
        <v>7122</v>
      </c>
      <c r="E177" s="14" t="s">
        <v>7130</v>
      </c>
      <c r="F177" s="15" t="str">
        <f>HYPERLINK("http://dx.doi.org/10.1890/07-1254.1","http://dx.doi.org/10.1890/07-1254.1")</f>
        <v>http://dx.doi.org/10.1890/07-1254.1</v>
      </c>
      <c r="G177" s="14" t="s">
        <v>423</v>
      </c>
      <c r="H177" s="14" t="s">
        <v>7132</v>
      </c>
      <c r="L177" s="16">
        <v>1.0</v>
      </c>
    </row>
    <row r="178" ht="12.75" customHeight="1">
      <c r="A178" s="14" t="s">
        <v>97</v>
      </c>
      <c r="B178" s="14" t="s">
        <v>6933</v>
      </c>
      <c r="C178" s="14" t="s">
        <v>6935</v>
      </c>
      <c r="D178" s="14" t="s">
        <v>6938</v>
      </c>
      <c r="E178" s="14" t="s">
        <v>6948</v>
      </c>
      <c r="F178" s="15" t="str">
        <f>HYPERLINK("http://dx.doi.org/10.1007/s11258-008-9490-2","http://dx.doi.org/10.1007/s11258-008-9490-2")</f>
        <v>http://dx.doi.org/10.1007/s11258-008-9490-2</v>
      </c>
      <c r="G178" s="14" t="s">
        <v>1141</v>
      </c>
      <c r="H178" s="14" t="s">
        <v>6950</v>
      </c>
      <c r="I178" s="16">
        <v>1.0</v>
      </c>
    </row>
    <row r="179" ht="12.75" customHeight="1">
      <c r="A179" s="14" t="s">
        <v>97</v>
      </c>
      <c r="B179" s="14" t="s">
        <v>7458</v>
      </c>
      <c r="C179" s="14" t="s">
        <v>7460</v>
      </c>
      <c r="D179" s="14" t="s">
        <v>7462</v>
      </c>
      <c r="E179" s="14" t="s">
        <v>7471</v>
      </c>
      <c r="F179" s="15" t="str">
        <f>HYPERLINK("http://dx.doi.org/10.1371/journal.pone.0002502","http://dx.doi.org/10.1371/journal.pone.0002502")</f>
        <v>http://dx.doi.org/10.1371/journal.pone.0002502</v>
      </c>
      <c r="G179" s="14" t="s">
        <v>799</v>
      </c>
      <c r="H179" s="14" t="s">
        <v>7473</v>
      </c>
      <c r="N179" s="16">
        <v>1.0</v>
      </c>
    </row>
    <row r="180" ht="12.75" customHeight="1">
      <c r="A180" s="14" t="s">
        <v>97</v>
      </c>
      <c r="B180" s="14" t="s">
        <v>7630</v>
      </c>
      <c r="C180" s="14" t="s">
        <v>7632</v>
      </c>
      <c r="D180" s="14" t="s">
        <v>7636</v>
      </c>
      <c r="E180" s="14" t="s">
        <v>7652</v>
      </c>
      <c r="F180" s="15" t="str">
        <f>HYPERLINK("http://dx.doi.org/10.1007/s11625-008-0042-4","http://dx.doi.org/10.1007/s11625-008-0042-4")</f>
        <v>http://dx.doi.org/10.1007/s11625-008-0042-4</v>
      </c>
      <c r="G180" s="14" t="s">
        <v>7653</v>
      </c>
      <c r="H180" s="14" t="s">
        <v>7655</v>
      </c>
      <c r="K180" s="16">
        <v>1.0</v>
      </c>
    </row>
    <row r="181" ht="12.75" customHeight="1">
      <c r="A181" s="14" t="s">
        <v>97</v>
      </c>
      <c r="B181" s="14" t="s">
        <v>6889</v>
      </c>
      <c r="C181" s="14" t="s">
        <v>6891</v>
      </c>
      <c r="D181" s="14" t="s">
        <v>6894</v>
      </c>
      <c r="E181" s="14" t="s">
        <v>6905</v>
      </c>
      <c r="F181" s="15" t="str">
        <f>HYPERLINK("http://dx.doi.org/10.1098/rspb.2008.1681","http://dx.doi.org/10.1098/rspb.2008.1681")</f>
        <v>http://dx.doi.org/10.1098/rspb.2008.1681</v>
      </c>
      <c r="G181" s="14" t="s">
        <v>1552</v>
      </c>
      <c r="H181" s="14" t="s">
        <v>6907</v>
      </c>
      <c r="N181" s="16">
        <v>1.0</v>
      </c>
    </row>
    <row r="182" ht="12.75" customHeight="1">
      <c r="A182" s="14" t="s">
        <v>97</v>
      </c>
      <c r="B182" s="14" t="s">
        <v>7298</v>
      </c>
      <c r="C182" s="14" t="s">
        <v>7300</v>
      </c>
      <c r="D182" s="14" t="s">
        <v>7302</v>
      </c>
      <c r="E182" s="14" t="s">
        <v>7314</v>
      </c>
      <c r="F182" s="15" t="str">
        <f>HYPERLINK("http://dx.doi.org/10.1371/journal.pone.0003039","http://dx.doi.org/10.1371/journal.pone.0003039")</f>
        <v>http://dx.doi.org/10.1371/journal.pone.0003039</v>
      </c>
      <c r="G182" s="14" t="s">
        <v>799</v>
      </c>
      <c r="H182" s="14" t="s">
        <v>7316</v>
      </c>
      <c r="L182" s="16">
        <v>1.0</v>
      </c>
    </row>
    <row r="183" ht="12.75" customHeight="1">
      <c r="A183" s="14" t="s">
        <v>97</v>
      </c>
      <c r="B183" s="14" t="s">
        <v>6976</v>
      </c>
      <c r="C183" s="14" t="s">
        <v>6978</v>
      </c>
      <c r="D183" s="14" t="s">
        <v>6980</v>
      </c>
      <c r="E183" s="14" t="s">
        <v>6990</v>
      </c>
      <c r="F183" s="15" t="str">
        <f>HYPERLINK("http://dx.doi.org/10.1111/j.1600-0587.2009.05789.x","http://dx.doi.org/10.1111/j.1600-0587.2009.05789.x")</f>
        <v>http://dx.doi.org/10.1111/j.1600-0587.2009.05789.x</v>
      </c>
      <c r="G183" s="14" t="s">
        <v>550</v>
      </c>
      <c r="H183" s="14" t="s">
        <v>6993</v>
      </c>
      <c r="N183" s="16">
        <v>1.0</v>
      </c>
    </row>
    <row r="184" ht="12.75" customHeight="1">
      <c r="A184" s="14" t="s">
        <v>97</v>
      </c>
      <c r="B184" s="14" t="s">
        <v>6951</v>
      </c>
      <c r="C184" s="14" t="s">
        <v>6953</v>
      </c>
      <c r="D184" s="14" t="s">
        <v>6957</v>
      </c>
      <c r="E184" s="14" t="s">
        <v>6973</v>
      </c>
      <c r="F184" s="15" t="str">
        <f>HYPERLINK("http://dx.doi.org/10.1007/s00027-009-9159-5","http://dx.doi.org/10.1007/s00027-009-9159-5")</f>
        <v>http://dx.doi.org/10.1007/s00027-009-9159-5</v>
      </c>
      <c r="G184" s="14" t="s">
        <v>2121</v>
      </c>
      <c r="H184" s="14" t="s">
        <v>6975</v>
      </c>
      <c r="N184" s="16">
        <v>1.0</v>
      </c>
    </row>
    <row r="185" ht="12.75" customHeight="1">
      <c r="A185" s="14" t="s">
        <v>97</v>
      </c>
      <c r="B185" s="14" t="s">
        <v>6818</v>
      </c>
      <c r="C185" s="14" t="s">
        <v>6820</v>
      </c>
      <c r="D185" s="14" t="s">
        <v>6823</v>
      </c>
      <c r="E185" s="14" t="s">
        <v>6832</v>
      </c>
      <c r="F185" s="15" t="str">
        <f>HYPERLINK("http://dx.doi.org/10.1016/j.agee.2009.02.005","http://dx.doi.org/10.1016/j.agee.2009.02.005")</f>
        <v>http://dx.doi.org/10.1016/j.agee.2009.02.005</v>
      </c>
      <c r="G185" s="14" t="s">
        <v>5622</v>
      </c>
      <c r="H185" s="14" t="s">
        <v>6834</v>
      </c>
      <c r="I185" s="16">
        <v>1.0</v>
      </c>
    </row>
    <row r="186" ht="12.75" customHeight="1">
      <c r="A186" s="14" t="s">
        <v>97</v>
      </c>
      <c r="B186" s="14" t="s">
        <v>6835</v>
      </c>
      <c r="C186" s="14" t="s">
        <v>6837</v>
      </c>
      <c r="D186" s="14" t="s">
        <v>6840</v>
      </c>
      <c r="E186" s="14" t="s">
        <v>6850</v>
      </c>
      <c r="F186" s="15" t="str">
        <f>HYPERLINK("http://dx.doi.org/10.1111/j.1365-2486.2008.01766.x","http://dx.doi.org/10.1111/j.1365-2486.2008.01766.x")</f>
        <v>http://dx.doi.org/10.1111/j.1365-2486.2008.01766.x</v>
      </c>
      <c r="G186" s="14" t="s">
        <v>351</v>
      </c>
      <c r="H186" s="14" t="s">
        <v>6852</v>
      </c>
      <c r="N186" s="16">
        <v>1.0</v>
      </c>
    </row>
    <row r="187" ht="12.75" customHeight="1">
      <c r="A187" s="14" t="s">
        <v>97</v>
      </c>
      <c r="B187" s="14" t="s">
        <v>6869</v>
      </c>
      <c r="C187" s="14" t="s">
        <v>6871</v>
      </c>
      <c r="D187" s="14" t="s">
        <v>6875</v>
      </c>
      <c r="E187" s="14" t="s">
        <v>6886</v>
      </c>
      <c r="F187" s="15" t="str">
        <f>HYPERLINK("http://dx.doi.org/10.1890/08-0134.1","http://dx.doi.org/10.1890/08-0134.1")</f>
        <v>http://dx.doi.org/10.1890/08-0134.1</v>
      </c>
      <c r="G187" s="14" t="s">
        <v>259</v>
      </c>
      <c r="H187" s="14" t="s">
        <v>6888</v>
      </c>
      <c r="N187" s="16">
        <v>1.0</v>
      </c>
    </row>
    <row r="188" ht="12.75" customHeight="1">
      <c r="A188" s="14" t="s">
        <v>97</v>
      </c>
      <c r="B188" s="14" t="s">
        <v>6853</v>
      </c>
      <c r="C188" s="14" t="s">
        <v>6855</v>
      </c>
      <c r="D188" s="14" t="s">
        <v>6858</v>
      </c>
      <c r="E188" s="14" t="s">
        <v>6866</v>
      </c>
      <c r="F188" s="15" t="str">
        <f>HYPERLINK("http://dx.doi.org/10.1007/s10531-008-9481-6","http://dx.doi.org/10.1007/s10531-008-9481-6")</f>
        <v>http://dx.doi.org/10.1007/s10531-008-9481-6</v>
      </c>
      <c r="G188" s="14" t="s">
        <v>351</v>
      </c>
      <c r="H188" s="14" t="s">
        <v>6868</v>
      </c>
      <c r="J188" s="16">
        <v>1.0</v>
      </c>
    </row>
    <row r="189" ht="12.75" customHeight="1">
      <c r="A189" s="14" t="s">
        <v>97</v>
      </c>
      <c r="B189" s="14" t="s">
        <v>6781</v>
      </c>
      <c r="C189" s="14" t="s">
        <v>6783</v>
      </c>
      <c r="D189" s="14" t="s">
        <v>6786</v>
      </c>
      <c r="E189" s="14" t="s">
        <v>6794</v>
      </c>
      <c r="F189" s="15" t="str">
        <f>HYPERLINK("http://dx.doi.org/10.1016/j.biocon.2009.02.032","http://dx.doi.org/10.1016/j.biocon.2009.02.032")</f>
        <v>http://dx.doi.org/10.1016/j.biocon.2009.02.032</v>
      </c>
      <c r="G189" s="14" t="s">
        <v>351</v>
      </c>
      <c r="H189" s="14" t="s">
        <v>6796</v>
      </c>
      <c r="J189" s="16">
        <v>1.0</v>
      </c>
    </row>
    <row r="190" ht="12.75" customHeight="1">
      <c r="A190" s="14" t="s">
        <v>97</v>
      </c>
      <c r="B190" s="14" t="s">
        <v>6768</v>
      </c>
      <c r="C190" s="14" t="s">
        <v>6770</v>
      </c>
      <c r="D190" s="14" t="s">
        <v>6773</v>
      </c>
      <c r="E190" s="14" t="s">
        <v>6778</v>
      </c>
      <c r="F190" s="15" t="str">
        <f>HYPERLINK("http://dx.doi.org/10.1016/j.marpolbul.2009.03.009","http://dx.doi.org/10.1016/j.marpolbul.2009.03.009")</f>
        <v>http://dx.doi.org/10.1016/j.marpolbul.2009.03.009</v>
      </c>
      <c r="G190" s="14" t="s">
        <v>396</v>
      </c>
      <c r="H190" s="14" t="s">
        <v>6780</v>
      </c>
      <c r="M190" s="16">
        <v>1.0</v>
      </c>
    </row>
    <row r="191" ht="12.75" customHeight="1">
      <c r="A191" s="14" t="s">
        <v>97</v>
      </c>
      <c r="B191" s="14" t="s">
        <v>6732</v>
      </c>
      <c r="C191" s="14" t="s">
        <v>6734</v>
      </c>
      <c r="D191" s="14" t="s">
        <v>6736</v>
      </c>
      <c r="E191" s="14" t="s">
        <v>6747</v>
      </c>
      <c r="F191" s="15" t="str">
        <f>HYPERLINK("http://dx.doi.org/10.1126/science.1173146","http://dx.doi.org/10.1126/science.1173146")</f>
        <v>http://dx.doi.org/10.1126/science.1173146</v>
      </c>
      <c r="G191" s="14" t="s">
        <v>799</v>
      </c>
      <c r="H191" s="14" t="s">
        <v>6749</v>
      </c>
      <c r="K191" s="16">
        <v>1.0</v>
      </c>
    </row>
    <row r="192" ht="12.75" customHeight="1">
      <c r="A192" s="14" t="s">
        <v>97</v>
      </c>
      <c r="B192" s="14" t="s">
        <v>7023</v>
      </c>
      <c r="C192" s="14" t="s">
        <v>7025</v>
      </c>
      <c r="D192" s="14" t="s">
        <v>7028</v>
      </c>
      <c r="E192" s="14" t="s">
        <v>7039</v>
      </c>
      <c r="F192" s="15" t="str">
        <f>HYPERLINK("http://dx.doi.org/10.1016/j.baae.2008.10.004","http://dx.doi.org/10.1016/j.baae.2008.10.004")</f>
        <v>http://dx.doi.org/10.1016/j.baae.2008.10.004</v>
      </c>
      <c r="G192" s="14" t="s">
        <v>259</v>
      </c>
      <c r="H192" s="14" t="s">
        <v>7041</v>
      </c>
      <c r="I192" s="16">
        <v>1.0</v>
      </c>
    </row>
    <row r="193" ht="12.75" customHeight="1">
      <c r="A193" s="14" t="s">
        <v>97</v>
      </c>
      <c r="B193" s="14" t="s">
        <v>6710</v>
      </c>
      <c r="C193" s="14" t="s">
        <v>6712</v>
      </c>
      <c r="D193" s="14" t="s">
        <v>6716</v>
      </c>
      <c r="E193" s="14" t="s">
        <v>6729</v>
      </c>
      <c r="F193" s="15" t="str">
        <f>HYPERLINK("http://dx.doi.org/10.1111/j.1442-9993.2009.01979.x","http://dx.doi.org/10.1111/j.1442-9993.2009.01979.x")</f>
        <v>http://dx.doi.org/10.1111/j.1442-9993.2009.01979.x</v>
      </c>
      <c r="G193" s="14" t="s">
        <v>259</v>
      </c>
      <c r="H193" s="14" t="s">
        <v>6731</v>
      </c>
      <c r="L193" s="16">
        <v>1.0</v>
      </c>
    </row>
    <row r="194" ht="12.75" customHeight="1">
      <c r="A194" s="14" t="s">
        <v>97</v>
      </c>
      <c r="B194" s="14" t="s">
        <v>6908</v>
      </c>
      <c r="C194" s="14" t="s">
        <v>6910</v>
      </c>
      <c r="D194" s="14" t="s">
        <v>6914</v>
      </c>
      <c r="E194" s="14" t="s">
        <v>6930</v>
      </c>
      <c r="F194" s="15" t="str">
        <f>HYPERLINK("http://dx.doi.org/10.3957/056.039.0108","http://dx.doi.org/10.3957/056.039.0108")</f>
        <v>http://dx.doi.org/10.3957/056.039.0108</v>
      </c>
      <c r="G194" s="14" t="s">
        <v>189</v>
      </c>
      <c r="H194" s="14" t="s">
        <v>6932</v>
      </c>
      <c r="J194" s="16">
        <v>1.0</v>
      </c>
    </row>
    <row r="195" ht="12.75" customHeight="1">
      <c r="A195" s="14" t="s">
        <v>97</v>
      </c>
      <c r="B195" s="14" t="s">
        <v>6677</v>
      </c>
      <c r="C195" s="14" t="s">
        <v>6679</v>
      </c>
      <c r="D195" s="14" t="s">
        <v>6682</v>
      </c>
      <c r="E195" s="14" t="s">
        <v>6692</v>
      </c>
      <c r="F195" s="15" t="str">
        <f>HYPERLINK("http://dx.doi.org/10.1111/j.1523-1739.2009.01224.x","http://dx.doi.org/10.1111/j.1523-1739.2009.01224.x")</f>
        <v>http://dx.doi.org/10.1111/j.1523-1739.2009.01224.x</v>
      </c>
      <c r="G195" s="14" t="s">
        <v>351</v>
      </c>
      <c r="H195" s="14" t="s">
        <v>6694</v>
      </c>
      <c r="J195" s="16">
        <v>1.0</v>
      </c>
    </row>
    <row r="196" ht="12.75" customHeight="1">
      <c r="A196" s="14" t="s">
        <v>97</v>
      </c>
      <c r="B196" s="14" t="s">
        <v>6695</v>
      </c>
      <c r="C196" s="14" t="s">
        <v>6697</v>
      </c>
      <c r="D196" s="14" t="s">
        <v>6700</v>
      </c>
      <c r="E196" s="14" t="s">
        <v>6707</v>
      </c>
      <c r="F196" s="15" t="str">
        <f>HYPERLINK("http://dx.doi.org/10.1016/j.foreco.2009.07.013","http://dx.doi.org/10.1016/j.foreco.2009.07.013")</f>
        <v>http://dx.doi.org/10.1016/j.foreco.2009.07.013</v>
      </c>
      <c r="G196" s="14" t="s">
        <v>281</v>
      </c>
      <c r="H196" s="14" t="s">
        <v>6709</v>
      </c>
      <c r="L196" s="16">
        <v>1.0</v>
      </c>
    </row>
    <row r="197" ht="12.75" customHeight="1">
      <c r="A197" s="14" t="s">
        <v>284</v>
      </c>
      <c r="B197" s="14" t="s">
        <v>6933</v>
      </c>
      <c r="C197" s="14" t="s">
        <v>6935</v>
      </c>
      <c r="D197" s="14" t="s">
        <v>6938</v>
      </c>
      <c r="E197" s="14" t="s">
        <v>7000</v>
      </c>
      <c r="F197" s="15" t="str">
        <f>HYPERLINK("http://dx.doi.org/10.1007/978-90-481-2795-5_16","http://dx.doi.org/10.1007/978-90-481-2795-5_16")</f>
        <v>http://dx.doi.org/10.1007/978-90-481-2795-5_16</v>
      </c>
      <c r="G197" s="14" t="s">
        <v>7002</v>
      </c>
      <c r="H197" s="14" t="s">
        <v>7005</v>
      </c>
      <c r="I197" s="16">
        <v>1.0</v>
      </c>
    </row>
    <row r="198" ht="12.75" customHeight="1">
      <c r="A198" s="14" t="s">
        <v>97</v>
      </c>
      <c r="B198" s="14" t="s">
        <v>6660</v>
      </c>
      <c r="C198" s="14" t="s">
        <v>6662</v>
      </c>
      <c r="D198" s="14" t="s">
        <v>6665</v>
      </c>
      <c r="E198" s="14" t="s">
        <v>6675</v>
      </c>
      <c r="F198" s="15" t="str">
        <f>HYPERLINK("http://dx.doi.org/10.1111/j.1365-2494.2009.00709.x","http://dx.doi.org/10.1111/j.1365-2494.2009.00709.x")</f>
        <v>http://dx.doi.org/10.1111/j.1365-2494.2009.00709.x</v>
      </c>
      <c r="G198" s="14" t="s">
        <v>2968</v>
      </c>
      <c r="H198" s="14" t="s">
        <v>6676</v>
      </c>
      <c r="I198" s="16">
        <v>1.0</v>
      </c>
    </row>
    <row r="199" ht="12.75" customHeight="1">
      <c r="A199" s="14" t="s">
        <v>97</v>
      </c>
      <c r="B199" s="14" t="s">
        <v>6613</v>
      </c>
      <c r="C199" s="14" t="s">
        <v>6615</v>
      </c>
      <c r="D199" s="14" t="s">
        <v>6617</v>
      </c>
      <c r="E199" s="14" t="s">
        <v>6629</v>
      </c>
      <c r="F199" s="15" t="str">
        <f>HYPERLINK("http://dx.doi.org/10.1038/nature08649","http://dx.doi.org/10.1038/nature08649")</f>
        <v>http://dx.doi.org/10.1038/nature08649</v>
      </c>
      <c r="G199" s="14" t="s">
        <v>799</v>
      </c>
      <c r="H199" s="14" t="s">
        <v>6631</v>
      </c>
      <c r="K199" s="16">
        <v>1.0</v>
      </c>
    </row>
    <row r="200" ht="12.75" customHeight="1">
      <c r="A200" s="14" t="s">
        <v>97</v>
      </c>
      <c r="B200" s="14" t="s">
        <v>7006</v>
      </c>
      <c r="C200" s="14" t="s">
        <v>7008</v>
      </c>
      <c r="D200" s="14" t="s">
        <v>7011</v>
      </c>
      <c r="E200" s="14" t="s">
        <v>7020</v>
      </c>
      <c r="F200" s="15" t="str">
        <f>HYPERLINK("http://dx.doi.org/10.1016/j.baae.2009.09.001","http://dx.doi.org/10.1016/j.baae.2009.09.001")</f>
        <v>http://dx.doi.org/10.1016/j.baae.2009.09.001</v>
      </c>
      <c r="G200" s="14" t="s">
        <v>259</v>
      </c>
      <c r="H200" s="14" t="s">
        <v>7022</v>
      </c>
      <c r="I200" s="16">
        <v>1.0</v>
      </c>
    </row>
    <row r="201" ht="12.75" customHeight="1">
      <c r="A201" s="14" t="s">
        <v>97</v>
      </c>
      <c r="B201" s="14" t="s">
        <v>6576</v>
      </c>
      <c r="C201" s="14" t="s">
        <v>6578</v>
      </c>
      <c r="D201" s="14" t="s">
        <v>6581</v>
      </c>
      <c r="E201" s="14" t="s">
        <v>6593</v>
      </c>
      <c r="F201" s="15" t="str">
        <f>HYPERLINK("http://dx.doi.org/10.1111/j.1472-4642.2009.00633.x","http://dx.doi.org/10.1111/j.1472-4642.2009.00633.x")</f>
        <v>http://dx.doi.org/10.1111/j.1472-4642.2009.00633.x</v>
      </c>
      <c r="G201" s="14" t="s">
        <v>550</v>
      </c>
      <c r="H201" s="14" t="s">
        <v>6595</v>
      </c>
      <c r="L201" s="16">
        <v>1.0</v>
      </c>
    </row>
    <row r="202" ht="12.75" customHeight="1">
      <c r="A202" s="14" t="s">
        <v>97</v>
      </c>
      <c r="B202" s="14" t="s">
        <v>6596</v>
      </c>
      <c r="C202" s="14" t="s">
        <v>6598</v>
      </c>
      <c r="D202" s="14" t="s">
        <v>6601</v>
      </c>
      <c r="E202" s="14" t="s">
        <v>6611</v>
      </c>
      <c r="F202" s="15" t="str">
        <f>HYPERLINK("http://dx.doi.org/10.1111/j.1472-4642.2009.00623.x","http://dx.doi.org/10.1111/j.1472-4642.2009.00623.x")</f>
        <v>http://dx.doi.org/10.1111/j.1472-4642.2009.00623.x</v>
      </c>
      <c r="G202" s="14" t="s">
        <v>550</v>
      </c>
      <c r="H202" s="14" t="s">
        <v>6612</v>
      </c>
      <c r="N202" s="16">
        <v>1.0</v>
      </c>
    </row>
    <row r="203" ht="12.75" customHeight="1">
      <c r="A203" s="14" t="s">
        <v>97</v>
      </c>
      <c r="B203" s="14" t="s">
        <v>6545</v>
      </c>
      <c r="C203" s="14" t="s">
        <v>6547</v>
      </c>
      <c r="D203" s="14" t="s">
        <v>6549</v>
      </c>
      <c r="E203" s="14" t="s">
        <v>6559</v>
      </c>
      <c r="F203" s="15" t="str">
        <f>HYPERLINK("http://dx.doi.org/10.1126/science.1180568","http://dx.doi.org/10.1126/science.1180568")</f>
        <v>http://dx.doi.org/10.1126/science.1180568</v>
      </c>
      <c r="G203" s="14" t="s">
        <v>799</v>
      </c>
      <c r="H203" s="14" t="s">
        <v>6561</v>
      </c>
      <c r="K203" s="16">
        <v>1.0</v>
      </c>
    </row>
    <row r="204" ht="12.75" customHeight="1">
      <c r="A204" s="14" t="s">
        <v>97</v>
      </c>
      <c r="B204" s="14" t="s">
        <v>6492</v>
      </c>
      <c r="C204" s="14" t="s">
        <v>6494</v>
      </c>
      <c r="D204" s="14" t="s">
        <v>6497</v>
      </c>
      <c r="E204" s="14" t="s">
        <v>6507</v>
      </c>
      <c r="F204" s="15" t="str">
        <f>HYPERLINK("http://dx.doi.org/10.1111/j.1365-2028.2009.01084.x","http://dx.doi.org/10.1111/j.1365-2028.2009.01084.x")</f>
        <v>http://dx.doi.org/10.1111/j.1365-2028.2009.01084.x</v>
      </c>
      <c r="G204" s="14" t="s">
        <v>259</v>
      </c>
      <c r="H204" s="14" t="s">
        <v>6509</v>
      </c>
      <c r="I204" s="16">
        <v>1.0</v>
      </c>
    </row>
    <row r="205" ht="12.75" customHeight="1">
      <c r="A205" s="14" t="s">
        <v>97</v>
      </c>
      <c r="B205" s="14" t="s">
        <v>6474</v>
      </c>
      <c r="C205" s="14" t="s">
        <v>6476</v>
      </c>
      <c r="D205" s="14" t="s">
        <v>6479</v>
      </c>
      <c r="E205" s="14" t="s">
        <v>6489</v>
      </c>
      <c r="F205" s="15" t="str">
        <f>HYPERLINK("http://dx.doi.org/10.1007/s10531-009-9728-x","http://dx.doi.org/10.1007/s10531-009-9728-x")</f>
        <v>http://dx.doi.org/10.1007/s10531-009-9728-x</v>
      </c>
      <c r="G205" s="14" t="s">
        <v>351</v>
      </c>
      <c r="H205" s="14" t="s">
        <v>6491</v>
      </c>
      <c r="N205" s="16">
        <v>1.0</v>
      </c>
    </row>
    <row r="206" ht="12.75" customHeight="1">
      <c r="A206" s="14" t="s">
        <v>97</v>
      </c>
      <c r="B206" s="14" t="s">
        <v>6527</v>
      </c>
      <c r="C206" s="14" t="s">
        <v>6529</v>
      </c>
      <c r="D206" s="14" t="s">
        <v>6532</v>
      </c>
      <c r="E206" s="14" t="s">
        <v>6542</v>
      </c>
      <c r="F206" s="15" t="str">
        <f>HYPERLINK("http://dx.doi.org/10.1111/j.1365-2486.2009.02021.x","http://dx.doi.org/10.1111/j.1365-2486.2009.02021.x")</f>
        <v>http://dx.doi.org/10.1111/j.1365-2486.2009.02021.x</v>
      </c>
      <c r="G206" s="14" t="s">
        <v>351</v>
      </c>
      <c r="H206" s="14" t="s">
        <v>6544</v>
      </c>
      <c r="N206" s="16">
        <v>1.0</v>
      </c>
    </row>
    <row r="207" ht="12.75" customHeight="1">
      <c r="A207" s="14" t="s">
        <v>97</v>
      </c>
      <c r="B207" s="14" t="s">
        <v>6510</v>
      </c>
      <c r="C207" s="14" t="s">
        <v>6512</v>
      </c>
      <c r="D207" s="14" t="s">
        <v>6515</v>
      </c>
      <c r="E207" s="14" t="s">
        <v>6524</v>
      </c>
      <c r="F207" s="15" t="str">
        <f>HYPERLINK("http://dx.doi.org/10.1016/j.scitotenv.2009.12.031","http://dx.doi.org/10.1016/j.scitotenv.2009.12.031")</f>
        <v>http://dx.doi.org/10.1016/j.scitotenv.2009.12.031</v>
      </c>
      <c r="G207" s="14" t="s">
        <v>1041</v>
      </c>
      <c r="H207" s="14" t="s">
        <v>6526</v>
      </c>
      <c r="M207" s="16">
        <v>1.0</v>
      </c>
    </row>
    <row r="208" ht="12.75" customHeight="1">
      <c r="A208" s="14" t="s">
        <v>97</v>
      </c>
      <c r="B208" s="14" t="s">
        <v>6452</v>
      </c>
      <c r="C208" s="14" t="s">
        <v>6454</v>
      </c>
      <c r="D208" s="14" t="s">
        <v>6458</v>
      </c>
      <c r="E208" s="14" t="s">
        <v>6471</v>
      </c>
      <c r="F208" s="15" t="str">
        <f>HYPERLINK("http://dx.doi.org/10.1111/j.1744-7429.2009.00546.x","http://dx.doi.org/10.1111/j.1744-7429.2009.00546.x")</f>
        <v>http://dx.doi.org/10.1111/j.1744-7429.2009.00546.x</v>
      </c>
      <c r="G208" s="14" t="s">
        <v>259</v>
      </c>
      <c r="H208" s="14" t="s">
        <v>6473</v>
      </c>
      <c r="J208" s="16">
        <v>1.0</v>
      </c>
    </row>
    <row r="209" ht="12.75" customHeight="1">
      <c r="A209" s="14" t="s">
        <v>97</v>
      </c>
      <c r="B209" s="14" t="s">
        <v>6346</v>
      </c>
      <c r="C209" s="14" t="s">
        <v>6348</v>
      </c>
      <c r="D209" s="14" t="s">
        <v>6351</v>
      </c>
      <c r="E209" s="14" t="s">
        <v>6362</v>
      </c>
      <c r="F209" s="15" t="str">
        <f>HYPERLINK("http://dx.doi.org/10.1098/rspb.2009.1020","http://dx.doi.org/10.1098/rspb.2009.1020")</f>
        <v>http://dx.doi.org/10.1098/rspb.2009.1020</v>
      </c>
      <c r="G209" s="14" t="s">
        <v>1552</v>
      </c>
      <c r="H209" s="14" t="s">
        <v>6364</v>
      </c>
      <c r="L209" s="16">
        <v>1.0</v>
      </c>
    </row>
    <row r="210" ht="12.75" customHeight="1">
      <c r="A210" s="14" t="s">
        <v>97</v>
      </c>
      <c r="B210" s="14" t="s">
        <v>6436</v>
      </c>
      <c r="C210" s="14" t="s">
        <v>6438</v>
      </c>
      <c r="D210" s="14" t="s">
        <v>6441</v>
      </c>
      <c r="E210" s="14" t="s">
        <v>6449</v>
      </c>
      <c r="F210" s="15" t="str">
        <f>HYPERLINK("http://dx.doi.org/10.1016/j.foreco.2010.01.028","http://dx.doi.org/10.1016/j.foreco.2010.01.028")</f>
        <v>http://dx.doi.org/10.1016/j.foreco.2010.01.028</v>
      </c>
      <c r="G210" s="14" t="s">
        <v>281</v>
      </c>
      <c r="H210" s="14" t="s">
        <v>6451</v>
      </c>
      <c r="I210" s="16">
        <v>1.0</v>
      </c>
    </row>
    <row r="211" ht="12.75" customHeight="1">
      <c r="A211" s="14" t="s">
        <v>97</v>
      </c>
      <c r="B211" s="14" t="s">
        <v>6418</v>
      </c>
      <c r="C211" s="14" t="s">
        <v>6420</v>
      </c>
      <c r="D211" s="14" t="s">
        <v>6422</v>
      </c>
      <c r="E211" s="14" t="s">
        <v>6433</v>
      </c>
      <c r="F211" s="15" t="str">
        <f>HYPERLINK("http://dx.doi.org/10.1371/journal.pone.0010095","http://dx.doi.org/10.1371/journal.pone.0010095")</f>
        <v>http://dx.doi.org/10.1371/journal.pone.0010095</v>
      </c>
      <c r="G211" s="14" t="s">
        <v>799</v>
      </c>
      <c r="H211" s="14" t="s">
        <v>6435</v>
      </c>
      <c r="L211" s="16">
        <v>1.0</v>
      </c>
    </row>
    <row r="212" ht="12.75" customHeight="1">
      <c r="A212" s="14" t="s">
        <v>97</v>
      </c>
      <c r="B212" s="14" t="s">
        <v>6400</v>
      </c>
      <c r="C212" s="14" t="s">
        <v>6402</v>
      </c>
      <c r="D212" s="14" t="s">
        <v>6404</v>
      </c>
      <c r="E212" s="14" t="s">
        <v>6415</v>
      </c>
      <c r="F212" s="15" t="str">
        <f>HYPERLINK("http://dx.doi.org/10.1371/journal.pone.0010294","http://dx.doi.org/10.1371/journal.pone.0010294")</f>
        <v>http://dx.doi.org/10.1371/journal.pone.0010294</v>
      </c>
      <c r="G212" s="14" t="s">
        <v>799</v>
      </c>
      <c r="H212" s="14" t="s">
        <v>6417</v>
      </c>
      <c r="J212" s="16">
        <v>1.0</v>
      </c>
    </row>
    <row r="213" ht="12.75" customHeight="1">
      <c r="A213" s="14" t="s">
        <v>97</v>
      </c>
      <c r="B213" s="14" t="s">
        <v>6383</v>
      </c>
      <c r="C213" s="14" t="s">
        <v>6385</v>
      </c>
      <c r="D213" s="14" t="s">
        <v>6387</v>
      </c>
      <c r="E213" s="14" t="s">
        <v>6397</v>
      </c>
      <c r="F213" s="15" t="str">
        <f>HYPERLINK("http://dx.doi.org/10.1038/ngeo838","http://dx.doi.org/10.1038/ngeo838")</f>
        <v>http://dx.doi.org/10.1038/ngeo838</v>
      </c>
      <c r="G213" s="14" t="s">
        <v>990</v>
      </c>
      <c r="H213" s="14" t="s">
        <v>6399</v>
      </c>
      <c r="K213" s="16">
        <v>1.0</v>
      </c>
    </row>
    <row r="214" ht="12.75" customHeight="1">
      <c r="A214" s="14" t="s">
        <v>97</v>
      </c>
      <c r="B214" s="14" t="s">
        <v>6328</v>
      </c>
      <c r="C214" s="14" t="s">
        <v>6330</v>
      </c>
      <c r="D214" s="14" t="s">
        <v>6332</v>
      </c>
      <c r="E214" s="14" t="s">
        <v>6343</v>
      </c>
      <c r="F214" s="15" t="str">
        <f>HYPERLINK("http://dx.doi.org/10.1126/science.1184695","http://dx.doi.org/10.1126/science.1184695")</f>
        <v>http://dx.doi.org/10.1126/science.1184695</v>
      </c>
      <c r="G214" s="14" t="s">
        <v>799</v>
      </c>
      <c r="H214" s="14" t="s">
        <v>6345</v>
      </c>
      <c r="N214" s="16">
        <v>1.0</v>
      </c>
    </row>
    <row r="215" ht="12.75" customHeight="1">
      <c r="A215" s="14" t="s">
        <v>97</v>
      </c>
      <c r="B215" s="14" t="s">
        <v>6365</v>
      </c>
      <c r="C215" s="14" t="s">
        <v>6367</v>
      </c>
      <c r="D215" s="14" t="s">
        <v>6370</v>
      </c>
      <c r="E215" s="14" t="s">
        <v>6380</v>
      </c>
      <c r="F215" s="15" t="str">
        <f>HYPERLINK("http://dx.doi.org/10.1002/aqc.1079","http://dx.doi.org/10.1002/aqc.1079")</f>
        <v>http://dx.doi.org/10.1002/aqc.1079</v>
      </c>
      <c r="G215" s="14" t="s">
        <v>844</v>
      </c>
      <c r="H215" s="14" t="s">
        <v>6382</v>
      </c>
      <c r="L215" s="16">
        <v>1.0</v>
      </c>
    </row>
    <row r="216" ht="12.75" customHeight="1">
      <c r="A216" s="14" t="s">
        <v>97</v>
      </c>
      <c r="B216" s="14" t="s">
        <v>6310</v>
      </c>
      <c r="C216" s="14" t="s">
        <v>6312</v>
      </c>
      <c r="D216" s="14" t="s">
        <v>6314</v>
      </c>
      <c r="E216" s="14" t="s">
        <v>6325</v>
      </c>
      <c r="F216" s="15" t="str">
        <f>HYPERLINK("http://dx.doi.org/10.1126/science.1187512","http://dx.doi.org/10.1126/science.1187512")</f>
        <v>http://dx.doi.org/10.1126/science.1187512</v>
      </c>
      <c r="G216" s="14" t="s">
        <v>799</v>
      </c>
      <c r="H216" s="14" t="s">
        <v>6327</v>
      </c>
      <c r="K216" s="16">
        <v>1.0</v>
      </c>
    </row>
    <row r="217" ht="12.75" customHeight="1">
      <c r="A217" s="14" t="s">
        <v>97</v>
      </c>
      <c r="B217" s="14" t="s">
        <v>6262</v>
      </c>
      <c r="C217" s="14" t="s">
        <v>6264</v>
      </c>
      <c r="D217" s="14" t="s">
        <v>6268</v>
      </c>
      <c r="E217" s="14" t="s">
        <v>6279</v>
      </c>
      <c r="F217" s="15" t="str">
        <f>HYPERLINK("http://dx.doi.org/10.1111/j.1749-4877.2010.00198.x","http://dx.doi.org/10.1111/j.1749-4877.2010.00198.x")</f>
        <v>http://dx.doi.org/10.1111/j.1749-4877.2010.00198.x</v>
      </c>
      <c r="G217" s="14" t="s">
        <v>121</v>
      </c>
      <c r="H217" s="14" t="s">
        <v>6281</v>
      </c>
      <c r="N217" s="16">
        <v>1.0</v>
      </c>
    </row>
    <row r="218" ht="12.75" customHeight="1">
      <c r="A218" s="14" t="s">
        <v>97</v>
      </c>
      <c r="B218" s="14" t="s">
        <v>6282</v>
      </c>
      <c r="C218" s="14" t="s">
        <v>6284</v>
      </c>
      <c r="D218" s="14" t="s">
        <v>6288</v>
      </c>
      <c r="E218" s="14" t="s">
        <v>6305</v>
      </c>
      <c r="F218" s="15" t="str">
        <f>HYPERLINK("http://dx.doi.org/10.1289/ehp.0901623","http://dx.doi.org/10.1289/ehp.0901623")</f>
        <v>http://dx.doi.org/10.1289/ehp.0901623</v>
      </c>
      <c r="G218" s="14" t="s">
        <v>6306</v>
      </c>
      <c r="H218" s="14" t="s">
        <v>6309</v>
      </c>
      <c r="K218" s="16">
        <v>1.0</v>
      </c>
    </row>
    <row r="219" ht="12.75" customHeight="1">
      <c r="A219" s="14" t="s">
        <v>97</v>
      </c>
      <c r="B219" s="14" t="s">
        <v>6214</v>
      </c>
      <c r="C219" s="14" t="s">
        <v>6216</v>
      </c>
      <c r="D219" s="14" t="s">
        <v>6219</v>
      </c>
      <c r="E219" s="14" t="s">
        <v>6236</v>
      </c>
      <c r="F219" s="15" t="str">
        <f>HYPERLINK("http://dx.doi.org/10.1093/icb/icq072","http://dx.doi.org/10.1093/icb/icq072")</f>
        <v>http://dx.doi.org/10.1093/icb/icq072</v>
      </c>
      <c r="G219" s="14" t="s">
        <v>121</v>
      </c>
      <c r="H219" s="14" t="s">
        <v>6238</v>
      </c>
      <c r="L219" s="16">
        <v>1.0</v>
      </c>
    </row>
    <row r="220" ht="12.75" customHeight="1">
      <c r="A220" s="14" t="s">
        <v>97</v>
      </c>
      <c r="B220" s="14" t="s">
        <v>6176</v>
      </c>
      <c r="C220" s="14" t="s">
        <v>6178</v>
      </c>
      <c r="D220" s="14" t="s">
        <v>6182</v>
      </c>
      <c r="E220" s="14" t="s">
        <v>6196</v>
      </c>
      <c r="F220" s="15" t="str">
        <f>HYPERLINK("http://dx.doi.org/10.1016/j.dsr2.2010.02.018","http://dx.doi.org/10.1016/j.dsr2.2010.02.018")</f>
        <v>http://dx.doi.org/10.1016/j.dsr2.2010.02.018</v>
      </c>
      <c r="G220" s="14" t="s">
        <v>2034</v>
      </c>
      <c r="H220" s="14" t="s">
        <v>6198</v>
      </c>
      <c r="K220" s="16">
        <v>1.0</v>
      </c>
    </row>
    <row r="221" ht="12.75" customHeight="1">
      <c r="A221" s="14" t="s">
        <v>97</v>
      </c>
      <c r="B221" s="14" t="s">
        <v>6141</v>
      </c>
      <c r="C221" s="14" t="s">
        <v>6143</v>
      </c>
      <c r="D221" s="14" t="s">
        <v>6146</v>
      </c>
      <c r="E221" s="14" t="s">
        <v>6154</v>
      </c>
      <c r="F221" s="15" t="str">
        <f>HYPERLINK("http://dx.doi.org/10.1016/j.cropro.2010.05.001","http://dx.doi.org/10.1016/j.cropro.2010.05.001")</f>
        <v>http://dx.doi.org/10.1016/j.cropro.2010.05.001</v>
      </c>
      <c r="G221" s="14" t="s">
        <v>2968</v>
      </c>
      <c r="H221" s="14" t="s">
        <v>6156</v>
      </c>
      <c r="I221" s="16">
        <v>1.0</v>
      </c>
    </row>
    <row r="222" ht="12.75" customHeight="1">
      <c r="A222" s="14" t="s">
        <v>97</v>
      </c>
      <c r="B222" s="14" t="s">
        <v>6239</v>
      </c>
      <c r="C222" s="14" t="s">
        <v>6241</v>
      </c>
      <c r="D222" s="14" t="s">
        <v>6245</v>
      </c>
      <c r="E222" s="14" t="s">
        <v>6259</v>
      </c>
      <c r="F222" s="15" t="str">
        <f>HYPERLINK("http://dx.doi.org/10.1007/s12224-010-9062-9","http://dx.doi.org/10.1007/s12224-010-9062-9")</f>
        <v>http://dx.doi.org/10.1007/s12224-010-9062-9</v>
      </c>
      <c r="G222" s="14" t="s">
        <v>214</v>
      </c>
      <c r="H222" s="14" t="s">
        <v>6261</v>
      </c>
      <c r="I222" s="16">
        <v>1.0</v>
      </c>
    </row>
    <row r="223" ht="12.75" customHeight="1">
      <c r="A223" s="14" t="s">
        <v>97</v>
      </c>
      <c r="B223" s="14" t="s">
        <v>6157</v>
      </c>
      <c r="C223" s="14" t="s">
        <v>6159</v>
      </c>
      <c r="D223" s="14" t="s">
        <v>6162</v>
      </c>
      <c r="E223" s="14" t="s">
        <v>6173</v>
      </c>
      <c r="F223" s="15" t="str">
        <f>HYPERLINK("http://dx.doi.org/10.1073/pnas.0914471107","http://dx.doi.org/10.1073/pnas.0914471107")</f>
        <v>http://dx.doi.org/10.1073/pnas.0914471107</v>
      </c>
      <c r="G223" s="14" t="s">
        <v>799</v>
      </c>
      <c r="H223" s="14" t="s">
        <v>6175</v>
      </c>
      <c r="K223" s="16">
        <v>1.0</v>
      </c>
    </row>
    <row r="224" ht="12.75" customHeight="1">
      <c r="A224" s="14" t="s">
        <v>97</v>
      </c>
      <c r="B224" s="14" t="s">
        <v>6199</v>
      </c>
      <c r="C224" s="14" t="s">
        <v>6201</v>
      </c>
      <c r="D224" s="14" t="s">
        <v>6204</v>
      </c>
      <c r="E224" s="14" t="s">
        <v>6211</v>
      </c>
      <c r="F224" s="15" t="str">
        <f>HYPERLINK("http://dx.doi.org/10.1016/j.marpolbul.2010.03.012","http://dx.doi.org/10.1016/j.marpolbul.2010.03.012")</f>
        <v>http://dx.doi.org/10.1016/j.marpolbul.2010.03.012</v>
      </c>
      <c r="G224" s="14" t="s">
        <v>396</v>
      </c>
      <c r="H224" s="14" t="s">
        <v>6213</v>
      </c>
      <c r="M224" s="16">
        <v>1.0</v>
      </c>
    </row>
    <row r="225" ht="12.75" customHeight="1">
      <c r="A225" s="14" t="s">
        <v>97</v>
      </c>
      <c r="B225" s="14" t="s">
        <v>6102</v>
      </c>
      <c r="C225" s="14" t="s">
        <v>6104</v>
      </c>
      <c r="D225" s="14" t="s">
        <v>6106</v>
      </c>
      <c r="E225" s="14" t="s">
        <v>6117</v>
      </c>
      <c r="F225" s="15" t="str">
        <f>HYPERLINK("http://dx.doi.org/10.1126/science.1192321","http://dx.doi.org/10.1126/science.1192321")</f>
        <v>http://dx.doi.org/10.1126/science.1192321</v>
      </c>
      <c r="G225" s="14" t="s">
        <v>799</v>
      </c>
      <c r="H225" s="14" t="s">
        <v>6119</v>
      </c>
      <c r="K225" s="16">
        <v>1.0</v>
      </c>
    </row>
    <row r="226" ht="12.75" customHeight="1">
      <c r="A226" s="14" t="s">
        <v>97</v>
      </c>
      <c r="B226" s="14" t="s">
        <v>6120</v>
      </c>
      <c r="C226" s="14" t="s">
        <v>6122</v>
      </c>
      <c r="D226" s="14" t="s">
        <v>6126</v>
      </c>
      <c r="E226" s="14" t="s">
        <v>6137</v>
      </c>
      <c r="F226" s="15" t="str">
        <f>HYPERLINK("http://dx.doi.org/10.1016/j.aquatox.2010.05.019","http://dx.doi.org/10.1016/j.aquatox.2010.05.019")</f>
        <v>http://dx.doi.org/10.1016/j.aquatox.2010.05.019</v>
      </c>
      <c r="G226" s="14" t="s">
        <v>6138</v>
      </c>
      <c r="H226" s="14" t="s">
        <v>6140</v>
      </c>
      <c r="K226" s="16">
        <v>1.0</v>
      </c>
    </row>
    <row r="227" ht="12.75" customHeight="1">
      <c r="A227" s="14" t="s">
        <v>97</v>
      </c>
      <c r="B227" s="14" t="s">
        <v>6562</v>
      </c>
      <c r="C227" s="14" t="s">
        <v>6564</v>
      </c>
      <c r="D227" s="14" t="s">
        <v>6567</v>
      </c>
      <c r="E227" s="14" t="s">
        <v>6572</v>
      </c>
      <c r="F227" s="15" t="str">
        <f>HYPERLINK("http://dx.doi.org/10.3354/meps08592","http://dx.doi.org/10.3354/meps08592")</f>
        <v>http://dx.doi.org/10.3354/meps08592</v>
      </c>
      <c r="G227" s="14" t="s">
        <v>301</v>
      </c>
      <c r="H227" s="14" t="s">
        <v>6575</v>
      </c>
      <c r="L227" s="16">
        <v>1.0</v>
      </c>
    </row>
    <row r="228" ht="12.75" customHeight="1">
      <c r="A228" s="14" t="s">
        <v>97</v>
      </c>
      <c r="B228" s="14" t="s">
        <v>6083</v>
      </c>
      <c r="C228" s="14" t="s">
        <v>6085</v>
      </c>
      <c r="D228" s="14" t="s">
        <v>6088</v>
      </c>
      <c r="E228" s="14" t="s">
        <v>6099</v>
      </c>
      <c r="F228" s="15" t="str">
        <f>HYPERLINK("http://dx.doi.org/10.1073/pnas.0910275107","http://dx.doi.org/10.1073/pnas.0910275107")</f>
        <v>http://dx.doi.org/10.1073/pnas.0910275107</v>
      </c>
      <c r="G228" s="14" t="s">
        <v>799</v>
      </c>
      <c r="H228" s="14" t="s">
        <v>6101</v>
      </c>
      <c r="K228" s="16">
        <v>1.0</v>
      </c>
    </row>
    <row r="229" ht="12.75" customHeight="1">
      <c r="A229" s="14" t="s">
        <v>97</v>
      </c>
      <c r="B229" s="14" t="s">
        <v>6065</v>
      </c>
      <c r="C229" s="14" t="s">
        <v>6067</v>
      </c>
      <c r="D229" s="14" t="s">
        <v>6070</v>
      </c>
      <c r="E229" s="14" t="s">
        <v>6080</v>
      </c>
      <c r="F229" s="15" t="str">
        <f>HYPERLINK("http://dx.doi.org/10.1111/j.1469-1795.2010.00369.x","http://dx.doi.org/10.1111/j.1469-1795.2010.00369.x")</f>
        <v>http://dx.doi.org/10.1111/j.1469-1795.2010.00369.x</v>
      </c>
      <c r="G229" s="14" t="s">
        <v>550</v>
      </c>
      <c r="H229" s="14" t="s">
        <v>6082</v>
      </c>
      <c r="L229" s="16">
        <v>1.0</v>
      </c>
    </row>
    <row r="230" ht="12.75" customHeight="1">
      <c r="A230" s="14" t="s">
        <v>97</v>
      </c>
      <c r="B230" s="14" t="s">
        <v>5924</v>
      </c>
      <c r="C230" s="14" t="s">
        <v>5926</v>
      </c>
      <c r="D230" s="14" t="s">
        <v>5929</v>
      </c>
      <c r="E230" s="14" t="s">
        <v>5936</v>
      </c>
      <c r="F230" s="15" t="str">
        <f>HYPERLINK("http://dx.doi.org/10.1111/j.1466-8238.2010.00575.x","http://dx.doi.org/10.1111/j.1466-8238.2010.00575.x")</f>
        <v>http://dx.doi.org/10.1111/j.1466-8238.2010.00575.x</v>
      </c>
      <c r="G230" s="14" t="s">
        <v>869</v>
      </c>
      <c r="H230" s="14" t="s">
        <v>5938</v>
      </c>
      <c r="L230" s="16">
        <v>1.0</v>
      </c>
    </row>
    <row r="231" ht="12.75" customHeight="1">
      <c r="A231" s="14" t="s">
        <v>97</v>
      </c>
      <c r="B231" s="14" t="s">
        <v>6025</v>
      </c>
      <c r="C231" s="14" t="s">
        <v>6027</v>
      </c>
      <c r="D231" s="14" t="s">
        <v>6029</v>
      </c>
      <c r="E231" s="14" t="s">
        <v>6040</v>
      </c>
      <c r="F231" s="15" t="str">
        <f>HYPERLINK("http://dx.doi.org/10.1371/journal.pone.0014327","http://dx.doi.org/10.1371/journal.pone.0014327")</f>
        <v>http://dx.doi.org/10.1371/journal.pone.0014327</v>
      </c>
      <c r="G231" s="14" t="s">
        <v>799</v>
      </c>
      <c r="H231" s="14" t="s">
        <v>6042</v>
      </c>
      <c r="K231" s="16">
        <v>1.0</v>
      </c>
    </row>
    <row r="232" ht="12.75" customHeight="1">
      <c r="A232" s="14" t="s">
        <v>97</v>
      </c>
      <c r="B232" s="14" t="s">
        <v>5837</v>
      </c>
      <c r="C232" s="14" t="s">
        <v>5839</v>
      </c>
      <c r="D232" s="14" t="s">
        <v>5842</v>
      </c>
      <c r="E232" s="14" t="s">
        <v>5857</v>
      </c>
      <c r="F232" s="15" t="str">
        <f>HYPERLINK("http://dx.doi.org/10.1038/NGEO1057","http://dx.doi.org/10.1038/NGEO1057")</f>
        <v>http://dx.doi.org/10.1038/NGEO1057</v>
      </c>
      <c r="G232" s="14" t="s">
        <v>990</v>
      </c>
      <c r="H232" s="14" t="s">
        <v>5859</v>
      </c>
      <c r="K232" s="16">
        <v>1.0</v>
      </c>
    </row>
    <row r="233" ht="12.75" customHeight="1">
      <c r="A233" s="14" t="s">
        <v>97</v>
      </c>
      <c r="B233" s="14" t="s">
        <v>5821</v>
      </c>
      <c r="C233" s="14" t="s">
        <v>5823</v>
      </c>
      <c r="D233" s="14" t="s">
        <v>5826</v>
      </c>
      <c r="E233" s="14" t="s">
        <v>5834</v>
      </c>
      <c r="F233" s="15" t="str">
        <f>HYPERLINK("http://dx.doi.org/10.1111/j.1365-2028.2010.01229.x","http://dx.doi.org/10.1111/j.1365-2028.2010.01229.x")</f>
        <v>http://dx.doi.org/10.1111/j.1365-2028.2010.01229.x</v>
      </c>
      <c r="G233" s="14" t="s">
        <v>259</v>
      </c>
      <c r="H233" s="14" t="s">
        <v>5836</v>
      </c>
      <c r="J233" s="16">
        <v>1.0</v>
      </c>
    </row>
    <row r="234" ht="12.75" customHeight="1">
      <c r="A234" s="14" t="s">
        <v>97</v>
      </c>
      <c r="B234" s="14" t="s">
        <v>5989</v>
      </c>
      <c r="C234" s="14" t="s">
        <v>5991</v>
      </c>
      <c r="D234" s="14" t="s">
        <v>5994</v>
      </c>
      <c r="E234" s="14" t="s">
        <v>6004</v>
      </c>
      <c r="F234" s="15" t="str">
        <f>HYPERLINK("http://dx.doi.org/10.1016/j.biocon.2010.08.011","http://dx.doi.org/10.1016/j.biocon.2010.08.011")</f>
        <v>http://dx.doi.org/10.1016/j.biocon.2010.08.011</v>
      </c>
      <c r="G234" s="14" t="s">
        <v>351</v>
      </c>
      <c r="H234" s="14" t="s">
        <v>6006</v>
      </c>
      <c r="I234" s="16">
        <v>1.0</v>
      </c>
    </row>
    <row r="235" ht="12.75" customHeight="1">
      <c r="A235" s="14" t="s">
        <v>97</v>
      </c>
      <c r="B235" s="14" t="s">
        <v>6007</v>
      </c>
      <c r="C235" s="14" t="s">
        <v>6009</v>
      </c>
      <c r="D235" s="14" t="s">
        <v>6012</v>
      </c>
      <c r="E235" s="14" t="s">
        <v>6022</v>
      </c>
      <c r="F235" s="15" t="str">
        <f>HYPERLINK("http://dx.doi.org/10.1016/j.agee.2010.09.018","http://dx.doi.org/10.1016/j.agee.2010.09.018")</f>
        <v>http://dx.doi.org/10.1016/j.agee.2010.09.018</v>
      </c>
      <c r="G235" s="14" t="s">
        <v>5622</v>
      </c>
      <c r="H235" s="14" t="s">
        <v>6024</v>
      </c>
      <c r="I235" s="16">
        <v>1.0</v>
      </c>
    </row>
    <row r="236" ht="12.75" customHeight="1">
      <c r="A236" s="14" t="s">
        <v>97</v>
      </c>
      <c r="B236" s="14" t="s">
        <v>5802</v>
      </c>
      <c r="C236" s="14" t="s">
        <v>5804</v>
      </c>
      <c r="D236" s="14" t="s">
        <v>5807</v>
      </c>
      <c r="E236" s="14" t="s">
        <v>5818</v>
      </c>
      <c r="F236" s="15" t="str">
        <f>HYPERLINK("http://dx.doi.org/10.1073/pnas.1100480108","http://dx.doi.org/10.1073/pnas.1100480108")</f>
        <v>http://dx.doi.org/10.1073/pnas.1100480108</v>
      </c>
      <c r="G236" s="14" t="s">
        <v>799</v>
      </c>
      <c r="H236" s="14" t="s">
        <v>5820</v>
      </c>
      <c r="K236" s="16">
        <v>1.0</v>
      </c>
    </row>
    <row r="237" ht="12.75" customHeight="1">
      <c r="A237" s="14" t="s">
        <v>97</v>
      </c>
      <c r="B237" s="14" t="s">
        <v>5860</v>
      </c>
      <c r="C237" s="14" t="s">
        <v>5862</v>
      </c>
      <c r="D237" s="14" t="s">
        <v>5865</v>
      </c>
      <c r="E237" s="14" t="s">
        <v>5872</v>
      </c>
      <c r="F237" s="15" t="str">
        <f>HYPERLINK("http://dx.doi.org/10.1016/j.biocon.2010.10.023","http://dx.doi.org/10.1016/j.biocon.2010.10.023")</f>
        <v>http://dx.doi.org/10.1016/j.biocon.2010.10.023</v>
      </c>
      <c r="G237" s="14" t="s">
        <v>351</v>
      </c>
      <c r="H237" s="14" t="s">
        <v>5874</v>
      </c>
      <c r="J237" s="16">
        <v>1.0</v>
      </c>
    </row>
    <row r="238" ht="12.75" customHeight="1">
      <c r="A238" s="14" t="s">
        <v>97</v>
      </c>
      <c r="B238" s="14" t="s">
        <v>5777</v>
      </c>
      <c r="C238" s="14" t="s">
        <v>5779</v>
      </c>
      <c r="D238" s="14" t="s">
        <v>5782</v>
      </c>
      <c r="E238" s="14" t="s">
        <v>5797</v>
      </c>
      <c r="F238" s="15" t="str">
        <f>HYPERLINK("http://dx.doi.org/10.1029/2010GB003838","http://dx.doi.org/10.1029/2010GB003838")</f>
        <v>http://dx.doi.org/10.1029/2010GB003838</v>
      </c>
      <c r="G238" s="14" t="s">
        <v>5798</v>
      </c>
      <c r="H238" s="14" t="s">
        <v>5801</v>
      </c>
      <c r="L238" s="16">
        <v>1.0</v>
      </c>
    </row>
    <row r="239" ht="12.75" customHeight="1">
      <c r="A239" s="14" t="s">
        <v>97</v>
      </c>
      <c r="B239" s="14" t="s">
        <v>5705</v>
      </c>
      <c r="C239" s="14" t="s">
        <v>5707</v>
      </c>
      <c r="D239" s="14" t="s">
        <v>5711</v>
      </c>
      <c r="E239" s="14" t="s">
        <v>5723</v>
      </c>
      <c r="F239" s="15" t="str">
        <f>HYPERLINK("http://dx.doi.org/10.1111/j.1365-2028.2010.01239.x","http://dx.doi.org/10.1111/j.1365-2028.2010.01239.x")</f>
        <v>http://dx.doi.org/10.1111/j.1365-2028.2010.01239.x</v>
      </c>
      <c r="G239" s="14" t="s">
        <v>259</v>
      </c>
      <c r="H239" s="14" t="s">
        <v>5725</v>
      </c>
      <c r="J239" s="16">
        <v>1.0</v>
      </c>
    </row>
    <row r="240" ht="12.75" customHeight="1">
      <c r="A240" s="14" t="s">
        <v>97</v>
      </c>
      <c r="B240" s="14" t="s">
        <v>5762</v>
      </c>
      <c r="C240" s="14" t="s">
        <v>5764</v>
      </c>
      <c r="D240" s="14" t="s">
        <v>5767</v>
      </c>
      <c r="E240" s="14" t="s">
        <v>5774</v>
      </c>
      <c r="F240" s="15" t="str">
        <f>HYPERLINK("http://dx.doi.org/10.1890/10-0715.1","http://dx.doi.org/10.1890/10-0715.1")</f>
        <v>http://dx.doi.org/10.1890/10-0715.1</v>
      </c>
      <c r="G240" s="14" t="s">
        <v>423</v>
      </c>
      <c r="H240" s="14" t="s">
        <v>5776</v>
      </c>
      <c r="I240" s="16">
        <v>1.0</v>
      </c>
    </row>
    <row r="241" ht="12.75" customHeight="1">
      <c r="A241" s="14" t="s">
        <v>97</v>
      </c>
      <c r="B241" s="14" t="s">
        <v>5726</v>
      </c>
      <c r="C241" s="14" t="s">
        <v>5728</v>
      </c>
      <c r="D241" s="14" t="s">
        <v>5731</v>
      </c>
      <c r="E241" s="14" t="s">
        <v>5741</v>
      </c>
      <c r="F241" s="15" t="str">
        <f>HYPERLINK("http://dx.doi.org/10.1111/j.1469-1795.2010.00426.x","http://dx.doi.org/10.1111/j.1469-1795.2010.00426.x")</f>
        <v>http://dx.doi.org/10.1111/j.1469-1795.2010.00426.x</v>
      </c>
      <c r="G241" s="14" t="s">
        <v>550</v>
      </c>
      <c r="H241" s="14" t="s">
        <v>5743</v>
      </c>
      <c r="J241" s="16">
        <v>1.0</v>
      </c>
    </row>
    <row r="242" ht="12.75" customHeight="1">
      <c r="A242" s="14" t="s">
        <v>97</v>
      </c>
      <c r="B242" s="14" t="s">
        <v>5688</v>
      </c>
      <c r="C242" s="14" t="s">
        <v>5690</v>
      </c>
      <c r="D242" s="14" t="s">
        <v>5693</v>
      </c>
      <c r="E242" s="14" t="s">
        <v>5702</v>
      </c>
      <c r="F242" s="15" t="str">
        <f>HYPERLINK("http://dx.doi.org/10.1016/j.foreco.2011.02.012","http://dx.doi.org/10.1016/j.foreco.2011.02.012")</f>
        <v>http://dx.doi.org/10.1016/j.foreco.2011.02.012</v>
      </c>
      <c r="G242" s="14" t="s">
        <v>281</v>
      </c>
      <c r="H242" s="14" t="s">
        <v>5704</v>
      </c>
      <c r="I242" s="16">
        <v>1.0</v>
      </c>
    </row>
    <row r="243" ht="12.75" customHeight="1">
      <c r="A243" s="14" t="s">
        <v>97</v>
      </c>
      <c r="B243" s="14" t="s">
        <v>5646</v>
      </c>
      <c r="C243" s="14" t="s">
        <v>5648</v>
      </c>
      <c r="D243" s="14" t="s">
        <v>5651</v>
      </c>
      <c r="E243" s="14" t="s">
        <v>5661</v>
      </c>
      <c r="F243" s="15" t="str">
        <f>HYPERLINK("http://dx.doi.org/10.1111/j.1365-2486.2010.02393.x","http://dx.doi.org/10.1111/j.1365-2486.2010.02393.x")</f>
        <v>http://dx.doi.org/10.1111/j.1365-2486.2010.02393.x</v>
      </c>
      <c r="G243" s="14" t="s">
        <v>351</v>
      </c>
      <c r="H243" s="14" t="s">
        <v>5663</v>
      </c>
      <c r="N243" s="16">
        <v>1.0</v>
      </c>
    </row>
    <row r="244" ht="12.75" customHeight="1">
      <c r="A244" s="14" t="s">
        <v>97</v>
      </c>
      <c r="B244" s="14" t="s">
        <v>5664</v>
      </c>
      <c r="C244" s="14" t="s">
        <v>5666</v>
      </c>
      <c r="D244" s="14" t="s">
        <v>5670</v>
      </c>
      <c r="E244" s="14" t="s">
        <v>5683</v>
      </c>
      <c r="F244" s="15" t="str">
        <f>HYPERLINK("http://dx.doi.org/10.1007/s13593-011-0008-2","http://dx.doi.org/10.1007/s13593-011-0008-2")</f>
        <v>http://dx.doi.org/10.1007/s13593-011-0008-2</v>
      </c>
      <c r="G244" s="14" t="s">
        <v>5684</v>
      </c>
      <c r="H244" s="14" t="s">
        <v>5687</v>
      </c>
      <c r="I244" s="16">
        <v>1.0</v>
      </c>
    </row>
    <row r="245" ht="12.75" customHeight="1">
      <c r="A245" s="14" t="s">
        <v>97</v>
      </c>
      <c r="B245" s="14" t="s">
        <v>5583</v>
      </c>
      <c r="C245" s="14" t="s">
        <v>5585</v>
      </c>
      <c r="D245" s="14" t="s">
        <v>5588</v>
      </c>
      <c r="E245" s="14" t="s">
        <v>5597</v>
      </c>
      <c r="F245" s="15" t="str">
        <f>HYPERLINK("http://dx.doi.org/10.1016/j.foreco.2011.03.036","http://dx.doi.org/10.1016/j.foreco.2011.03.036")</f>
        <v>http://dx.doi.org/10.1016/j.foreco.2011.03.036</v>
      </c>
      <c r="G245" s="14" t="s">
        <v>281</v>
      </c>
      <c r="H245" s="14" t="s">
        <v>5599</v>
      </c>
      <c r="N245" s="16">
        <v>1.0</v>
      </c>
    </row>
    <row r="246" ht="12.75" customHeight="1">
      <c r="A246" s="14" t="s">
        <v>97</v>
      </c>
      <c r="B246" s="14" t="s">
        <v>5626</v>
      </c>
      <c r="C246" s="14" t="s">
        <v>5628</v>
      </c>
      <c r="D246" s="14" t="s">
        <v>5635</v>
      </c>
      <c r="E246" s="14" t="s">
        <v>5643</v>
      </c>
      <c r="F246" s="15" t="str">
        <f>HYPERLINK("http://dx.doi.org/10.1016/j.ecolmodel.2011.03.042","http://dx.doi.org/10.1016/j.ecolmodel.2011.03.042")</f>
        <v>http://dx.doi.org/10.1016/j.ecolmodel.2011.03.042</v>
      </c>
      <c r="G246" s="14" t="s">
        <v>259</v>
      </c>
      <c r="H246" s="14" t="s">
        <v>5645</v>
      </c>
      <c r="L246" s="16">
        <v>1.0</v>
      </c>
    </row>
    <row r="247" ht="12.75" customHeight="1">
      <c r="A247" s="14" t="s">
        <v>97</v>
      </c>
      <c r="B247" s="14" t="s">
        <v>5566</v>
      </c>
      <c r="C247" s="14" t="s">
        <v>5568</v>
      </c>
      <c r="D247" s="14" t="s">
        <v>5571</v>
      </c>
      <c r="E247" s="14" t="s">
        <v>5580</v>
      </c>
      <c r="F247" s="15" t="str">
        <f>HYPERLINK("http://dx.doi.org/10.1111/j.1469-1795.2011.00437.x","http://dx.doi.org/10.1111/j.1469-1795.2011.00437.x")</f>
        <v>http://dx.doi.org/10.1111/j.1469-1795.2011.00437.x</v>
      </c>
      <c r="G247" s="14" t="s">
        <v>550</v>
      </c>
      <c r="H247" s="14" t="s">
        <v>5582</v>
      </c>
      <c r="J247" s="16">
        <v>1.0</v>
      </c>
    </row>
    <row r="248" ht="12.75" customHeight="1">
      <c r="A248" s="14" t="s">
        <v>97</v>
      </c>
      <c r="B248" s="14" t="s">
        <v>5490</v>
      </c>
      <c r="C248" s="14" t="s">
        <v>5492</v>
      </c>
      <c r="D248" s="14" t="s">
        <v>5495</v>
      </c>
      <c r="E248" s="14" t="s">
        <v>5505</v>
      </c>
      <c r="F248" s="15" t="str">
        <f>HYPERLINK("http://dx.doi.org/10.1111/j.1466-8238.2010.00646.x","http://dx.doi.org/10.1111/j.1466-8238.2010.00646.x")</f>
        <v>http://dx.doi.org/10.1111/j.1466-8238.2010.00646.x</v>
      </c>
      <c r="G248" s="14" t="s">
        <v>869</v>
      </c>
      <c r="H248" s="14" t="s">
        <v>5507</v>
      </c>
      <c r="N248" s="16">
        <v>1.0</v>
      </c>
    </row>
    <row r="249" ht="12.75" customHeight="1">
      <c r="A249" s="14" t="s">
        <v>97</v>
      </c>
      <c r="B249" s="14" t="s">
        <v>5548</v>
      </c>
      <c r="C249" s="14" t="s">
        <v>5550</v>
      </c>
      <c r="D249" s="14" t="s">
        <v>5553</v>
      </c>
      <c r="E249" s="14" t="s">
        <v>5563</v>
      </c>
      <c r="F249" s="15" t="str">
        <f>HYPERLINK("http://dx.doi.org/10.1073/pnas.1103097108","http://dx.doi.org/10.1073/pnas.1103097108")</f>
        <v>http://dx.doi.org/10.1073/pnas.1103097108</v>
      </c>
      <c r="G249" s="14" t="s">
        <v>799</v>
      </c>
      <c r="H249" s="14" t="s">
        <v>5565</v>
      </c>
      <c r="N249" s="16">
        <v>1.0</v>
      </c>
    </row>
    <row r="250" ht="12.75" customHeight="1">
      <c r="A250" s="14" t="s">
        <v>97</v>
      </c>
      <c r="B250" s="14" t="s">
        <v>5525</v>
      </c>
      <c r="C250" s="14" t="s">
        <v>5527</v>
      </c>
      <c r="D250" s="14" t="s">
        <v>5531</v>
      </c>
      <c r="E250" s="14" t="s">
        <v>5545</v>
      </c>
      <c r="F250" s="15" t="str">
        <f>HYPERLINK("http://dx.doi.org/10.1111/j.1469-7998.2011.00826.x","http://dx.doi.org/10.1111/j.1469-7998.2011.00826.x")</f>
        <v>http://dx.doi.org/10.1111/j.1469-7998.2011.00826.x</v>
      </c>
      <c r="G250" s="14" t="s">
        <v>121</v>
      </c>
      <c r="H250" s="14" t="s">
        <v>5547</v>
      </c>
      <c r="J250" s="16">
        <v>1.0</v>
      </c>
    </row>
    <row r="251" ht="12.75" customHeight="1">
      <c r="A251" s="14" t="s">
        <v>97</v>
      </c>
      <c r="B251" s="14" t="s">
        <v>5400</v>
      </c>
      <c r="C251" s="14" t="s">
        <v>5402</v>
      </c>
      <c r="D251" s="14" t="s">
        <v>5405</v>
      </c>
      <c r="E251" s="14" t="s">
        <v>5411</v>
      </c>
      <c r="F251" s="15" t="str">
        <f>HYPERLINK("http://dx.doi.org/10.1111/j.1365-2427.2011.02631.x","http://dx.doi.org/10.1111/j.1365-2427.2011.02631.x")</f>
        <v>http://dx.doi.org/10.1111/j.1365-2427.2011.02631.x</v>
      </c>
      <c r="G251" s="14" t="s">
        <v>1274</v>
      </c>
      <c r="H251" s="14" t="s">
        <v>5413</v>
      </c>
      <c r="N251" s="16">
        <v>1.0</v>
      </c>
    </row>
    <row r="252" ht="12.75" customHeight="1">
      <c r="A252" s="14" t="s">
        <v>97</v>
      </c>
      <c r="B252" s="14" t="s">
        <v>5875</v>
      </c>
      <c r="C252" s="14" t="s">
        <v>5877</v>
      </c>
      <c r="D252" s="14" t="s">
        <v>5881</v>
      </c>
      <c r="E252" s="14" t="s">
        <v>5897</v>
      </c>
      <c r="F252" s="15" t="str">
        <f>HYPERLINK("http://dx.doi.org/10.1071/MF10286","http://dx.doi.org/10.1071/MF10286")</f>
        <v>http://dx.doi.org/10.1071/MF10286</v>
      </c>
      <c r="G252" s="14" t="s">
        <v>5898</v>
      </c>
      <c r="H252" s="14" t="s">
        <v>5900</v>
      </c>
      <c r="N252" s="16">
        <v>1.0</v>
      </c>
    </row>
    <row r="253" ht="12.75" customHeight="1">
      <c r="A253" s="14" t="s">
        <v>97</v>
      </c>
      <c r="B253" s="14" t="s">
        <v>5600</v>
      </c>
      <c r="C253" s="14" t="s">
        <v>5602</v>
      </c>
      <c r="D253" s="14" t="s">
        <v>5606</v>
      </c>
      <c r="E253" s="14" t="s">
        <v>5621</v>
      </c>
      <c r="F253" s="15" t="str">
        <f>HYPERLINK("http://dx.doi.org/10.1016/j.agee.2011.06.009","http://dx.doi.org/10.1016/j.agee.2011.06.009")</f>
        <v>http://dx.doi.org/10.1016/j.agee.2011.06.009</v>
      </c>
      <c r="G253" s="14" t="s">
        <v>5622</v>
      </c>
      <c r="H253" s="14" t="s">
        <v>5625</v>
      </c>
      <c r="I253" s="16">
        <v>1.0</v>
      </c>
    </row>
    <row r="254" ht="12.75" customHeight="1">
      <c r="A254" s="14" t="s">
        <v>97</v>
      </c>
      <c r="B254" s="14" t="s">
        <v>5432</v>
      </c>
      <c r="C254" s="14" t="s">
        <v>5434</v>
      </c>
      <c r="D254" s="14" t="s">
        <v>5438</v>
      </c>
      <c r="E254" s="14" t="s">
        <v>5452</v>
      </c>
      <c r="F254" s="15" t="str">
        <f>HYPERLINK("http://dx.doi.org/10.1016/j.envpol.2011.06.008","http://dx.doi.org/10.1016/j.envpol.2011.06.008")</f>
        <v>http://dx.doi.org/10.1016/j.envpol.2011.06.008</v>
      </c>
      <c r="G254" s="14" t="s">
        <v>1041</v>
      </c>
      <c r="H254" s="14" t="s">
        <v>5454</v>
      </c>
      <c r="M254" s="16">
        <v>1.0</v>
      </c>
    </row>
    <row r="255" ht="12.75" customHeight="1">
      <c r="A255" s="14" t="s">
        <v>97</v>
      </c>
      <c r="B255" s="14" t="s">
        <v>5474</v>
      </c>
      <c r="C255" s="14" t="s">
        <v>5476</v>
      </c>
      <c r="D255" s="14" t="s">
        <v>5478</v>
      </c>
      <c r="E255" s="14" t="s">
        <v>5487</v>
      </c>
      <c r="F255" s="15" t="str">
        <f>HYPERLINK("http://dx.doi.org/10.1038/NCLIMATE1191","http://dx.doi.org/10.1038/NCLIMATE1191")</f>
        <v>http://dx.doi.org/10.1038/NCLIMATE1191</v>
      </c>
      <c r="G255" s="14" t="s">
        <v>2810</v>
      </c>
      <c r="H255" s="14" t="s">
        <v>5489</v>
      </c>
      <c r="N255" s="16">
        <v>1.0</v>
      </c>
    </row>
    <row r="256" ht="12.75" customHeight="1">
      <c r="A256" s="14" t="s">
        <v>97</v>
      </c>
      <c r="B256" s="14" t="s">
        <v>5382</v>
      </c>
      <c r="C256" s="14" t="s">
        <v>5384</v>
      </c>
      <c r="D256" s="14" t="s">
        <v>5387</v>
      </c>
      <c r="E256" s="14" t="s">
        <v>5397</v>
      </c>
      <c r="F256" s="15" t="str">
        <f>HYPERLINK("http://dx.doi.org/10.1111/j.1461-0248.2011.01681.x","http://dx.doi.org/10.1111/j.1461-0248.2011.01681.x")</f>
        <v>http://dx.doi.org/10.1111/j.1461-0248.2011.01681.x</v>
      </c>
      <c r="G256" s="14" t="s">
        <v>259</v>
      </c>
      <c r="H256" s="14" t="s">
        <v>5399</v>
      </c>
      <c r="N256" s="16">
        <v>1.0</v>
      </c>
    </row>
    <row r="257" ht="12.75" customHeight="1">
      <c r="A257" s="14" t="s">
        <v>97</v>
      </c>
      <c r="B257" s="14" t="s">
        <v>5304</v>
      </c>
      <c r="C257" s="14" t="s">
        <v>5306</v>
      </c>
      <c r="D257" s="14" t="s">
        <v>5310</v>
      </c>
      <c r="E257" s="14" t="s">
        <v>5323</v>
      </c>
      <c r="F257" s="15" t="str">
        <f>HYPERLINK("http://dx.doi.org/10.1111/j.1461-0248.2011.01689.x","http://dx.doi.org/10.1111/j.1461-0248.2011.01689.x")</f>
        <v>http://dx.doi.org/10.1111/j.1461-0248.2011.01689.x</v>
      </c>
      <c r="G257" s="14" t="s">
        <v>259</v>
      </c>
      <c r="H257" s="14" t="s">
        <v>5325</v>
      </c>
      <c r="N257" s="16">
        <v>1.0</v>
      </c>
    </row>
    <row r="258" ht="12.75" customHeight="1">
      <c r="A258" s="14" t="s">
        <v>97</v>
      </c>
      <c r="B258" s="14" t="s">
        <v>5347</v>
      </c>
      <c r="C258" s="14" t="s">
        <v>5349</v>
      </c>
      <c r="D258" s="14" t="s">
        <v>5352</v>
      </c>
      <c r="E258" s="14" t="s">
        <v>5360</v>
      </c>
      <c r="F258" s="15" t="str">
        <f>HYPERLINK("http://dx.doi.org/10.1007/s12665-011-1046-4","http://dx.doi.org/10.1007/s12665-011-1046-4")</f>
        <v>http://dx.doi.org/10.1007/s12665-011-1046-4</v>
      </c>
      <c r="G258" s="14" t="s">
        <v>3454</v>
      </c>
      <c r="H258" s="14" t="s">
        <v>5362</v>
      </c>
      <c r="L258" s="16">
        <v>1.0</v>
      </c>
    </row>
    <row r="259" ht="12.75" customHeight="1">
      <c r="A259" s="14" t="s">
        <v>97</v>
      </c>
      <c r="B259" s="14" t="s">
        <v>5287</v>
      </c>
      <c r="C259" s="14" t="s">
        <v>5289</v>
      </c>
      <c r="D259" s="14" t="s">
        <v>5292</v>
      </c>
      <c r="E259" s="14" t="s">
        <v>5301</v>
      </c>
      <c r="F259" s="15" t="str">
        <f>HYPERLINK("http://dx.doi.org/10.1007/s10531-011-0140-y","http://dx.doi.org/10.1007/s10531-011-0140-y")</f>
        <v>http://dx.doi.org/10.1007/s10531-011-0140-y</v>
      </c>
      <c r="G259" s="14" t="s">
        <v>351</v>
      </c>
      <c r="H259" s="14" t="s">
        <v>5303</v>
      </c>
      <c r="N259" s="16">
        <v>1.0</v>
      </c>
    </row>
    <row r="260" ht="12.75" customHeight="1">
      <c r="A260" s="14" t="s">
        <v>97</v>
      </c>
      <c r="B260" s="14" t="s">
        <v>5363</v>
      </c>
      <c r="C260" s="14" t="s">
        <v>5365</v>
      </c>
      <c r="D260" s="14" t="s">
        <v>5367</v>
      </c>
      <c r="E260" s="14" t="s">
        <v>5379</v>
      </c>
      <c r="F260" s="15" t="str">
        <f>HYPERLINK("http://dx.doi.org/10.1371/journal.pone.0027785","http://dx.doi.org/10.1371/journal.pone.0027785")</f>
        <v>http://dx.doi.org/10.1371/journal.pone.0027785</v>
      </c>
      <c r="G260" s="14" t="s">
        <v>799</v>
      </c>
      <c r="H260" s="14" t="s">
        <v>5381</v>
      </c>
      <c r="L260" s="16">
        <v>1.0</v>
      </c>
    </row>
    <row r="261" ht="12.75" customHeight="1">
      <c r="A261" s="14" t="s">
        <v>97</v>
      </c>
      <c r="B261" s="14" t="s">
        <v>5271</v>
      </c>
      <c r="C261" s="14" t="s">
        <v>5273</v>
      </c>
      <c r="D261" s="14" t="s">
        <v>5276</v>
      </c>
      <c r="E261" s="14" t="s">
        <v>5284</v>
      </c>
      <c r="F261" s="15" t="str">
        <f>HYPERLINK("http://dx.doi.org/10.1016/j.foreco.2011.08.032","http://dx.doi.org/10.1016/j.foreco.2011.08.032")</f>
        <v>http://dx.doi.org/10.1016/j.foreco.2011.08.032</v>
      </c>
      <c r="G261" s="14" t="s">
        <v>281</v>
      </c>
      <c r="H261" s="14" t="s">
        <v>5286</v>
      </c>
      <c r="I261" s="16">
        <v>1.0</v>
      </c>
    </row>
    <row r="262" ht="12.75" customHeight="1">
      <c r="A262" s="14" t="s">
        <v>97</v>
      </c>
      <c r="B262" s="14" t="s">
        <v>193</v>
      </c>
      <c r="C262" s="14" t="s">
        <v>195</v>
      </c>
      <c r="D262" s="14" t="s">
        <v>199</v>
      </c>
      <c r="E262" s="14" t="s">
        <v>99</v>
      </c>
      <c r="F262" s="14" t="s">
        <v>99</v>
      </c>
      <c r="G262" s="14" t="s">
        <v>214</v>
      </c>
      <c r="H262" s="14" t="s">
        <v>216</v>
      </c>
      <c r="I262" s="16">
        <v>1.0</v>
      </c>
    </row>
    <row r="263" ht="12.75" customHeight="1">
      <c r="A263" s="14" t="s">
        <v>97</v>
      </c>
      <c r="B263" s="14" t="s">
        <v>5253</v>
      </c>
      <c r="C263" s="14" t="s">
        <v>5255</v>
      </c>
      <c r="D263" s="14" t="s">
        <v>5258</v>
      </c>
      <c r="E263" s="14" t="s">
        <v>5268</v>
      </c>
      <c r="F263" s="15" t="str">
        <f>HYPERLINK("http://dx.doi.org/10.1016/j.foreco.2011.08.014","http://dx.doi.org/10.1016/j.foreco.2011.08.014")</f>
        <v>http://dx.doi.org/10.1016/j.foreco.2011.08.014</v>
      </c>
      <c r="G263" s="14" t="s">
        <v>281</v>
      </c>
      <c r="H263" s="14" t="s">
        <v>5270</v>
      </c>
      <c r="I263" s="16">
        <v>1.0</v>
      </c>
    </row>
    <row r="264" ht="12.75" customHeight="1">
      <c r="A264" s="14" t="s">
        <v>97</v>
      </c>
      <c r="B264" s="14" t="s">
        <v>5414</v>
      </c>
      <c r="C264" s="14" t="s">
        <v>5416</v>
      </c>
      <c r="D264" s="14" t="s">
        <v>5419</v>
      </c>
      <c r="E264" s="14" t="s">
        <v>5429</v>
      </c>
      <c r="F264" s="15" t="str">
        <f>HYPERLINK("http://dx.doi.org/10.1088/1748-9326/6/4/045201","http://dx.doi.org/10.1088/1748-9326/6/4/045201")</f>
        <v>http://dx.doi.org/10.1088/1748-9326/6/4/045201</v>
      </c>
      <c r="G264" s="14" t="s">
        <v>573</v>
      </c>
      <c r="H264" s="14" t="s">
        <v>5431</v>
      </c>
      <c r="K264" s="16">
        <v>1.0</v>
      </c>
    </row>
    <row r="265" ht="12.75" customHeight="1">
      <c r="A265" s="14" t="s">
        <v>97</v>
      </c>
      <c r="B265" s="14" t="s">
        <v>5183</v>
      </c>
      <c r="C265" s="14" t="s">
        <v>5185</v>
      </c>
      <c r="D265" s="14" t="s">
        <v>5188</v>
      </c>
      <c r="E265" s="14" t="s">
        <v>5195</v>
      </c>
      <c r="F265" s="15" t="str">
        <f>HYPERLINK("http://dx.doi.org/10.1111/j.1472-4642.2011.00827.x","http://dx.doi.org/10.1111/j.1472-4642.2011.00827.x")</f>
        <v>http://dx.doi.org/10.1111/j.1472-4642.2011.00827.x</v>
      </c>
      <c r="G265" s="14" t="s">
        <v>550</v>
      </c>
      <c r="H265" s="14" t="s">
        <v>5197</v>
      </c>
      <c r="N265" s="16">
        <v>1.0</v>
      </c>
    </row>
    <row r="266" ht="12.75" customHeight="1">
      <c r="A266" s="14" t="s">
        <v>97</v>
      </c>
      <c r="B266" s="14" t="s">
        <v>5165</v>
      </c>
      <c r="C266" s="14" t="s">
        <v>5167</v>
      </c>
      <c r="D266" s="14" t="s">
        <v>5170</v>
      </c>
      <c r="E266" s="14" t="s">
        <v>5180</v>
      </c>
      <c r="F266" s="15" t="str">
        <f>HYPERLINK("http://dx.doi.org/10.1111/j.1365-2486.2011.02540.x","http://dx.doi.org/10.1111/j.1365-2486.2011.02540.x")</f>
        <v>http://dx.doi.org/10.1111/j.1365-2486.2011.02540.x</v>
      </c>
      <c r="G266" s="14" t="s">
        <v>351</v>
      </c>
      <c r="H266" s="14" t="s">
        <v>5182</v>
      </c>
      <c r="L266" s="16">
        <v>1.0</v>
      </c>
    </row>
    <row r="267" ht="12.75" customHeight="1">
      <c r="A267" s="14" t="s">
        <v>97</v>
      </c>
      <c r="B267" s="14" t="s">
        <v>5215</v>
      </c>
      <c r="C267" s="14" t="s">
        <v>5217</v>
      </c>
      <c r="D267" s="14" t="s">
        <v>5220</v>
      </c>
      <c r="E267" s="14" t="s">
        <v>5231</v>
      </c>
      <c r="F267" s="15" t="str">
        <f>HYPERLINK("http://dx.doi.org/10.1073/pnas.1111374109","http://dx.doi.org/10.1073/pnas.1111374109")</f>
        <v>http://dx.doi.org/10.1073/pnas.1111374109</v>
      </c>
      <c r="G267" s="14" t="s">
        <v>799</v>
      </c>
      <c r="H267" s="14" t="s">
        <v>5233</v>
      </c>
      <c r="K267" s="16">
        <v>1.0</v>
      </c>
    </row>
    <row r="268" ht="12.75" customHeight="1">
      <c r="A268" s="14" t="s">
        <v>97</v>
      </c>
      <c r="B268" s="14" t="s">
        <v>4927</v>
      </c>
      <c r="C268" s="14" t="s">
        <v>4929</v>
      </c>
      <c r="D268" s="14" t="s">
        <v>4932</v>
      </c>
      <c r="E268" s="14" t="s">
        <v>4940</v>
      </c>
      <c r="F268" s="15" t="str">
        <f>HYPERLINK("http://dx.doi.org/10.1016/j.ecolind.2011.04.023","http://dx.doi.org/10.1016/j.ecolind.2011.04.023")</f>
        <v>http://dx.doi.org/10.1016/j.ecolind.2011.04.023</v>
      </c>
      <c r="G268" s="14" t="s">
        <v>598</v>
      </c>
      <c r="H268" s="14" t="s">
        <v>4942</v>
      </c>
      <c r="K268" s="16">
        <v>1.0</v>
      </c>
    </row>
    <row r="269" ht="12.75" customHeight="1">
      <c r="A269" s="14" t="s">
        <v>97</v>
      </c>
      <c r="B269" s="14" t="s">
        <v>5085</v>
      </c>
      <c r="C269" s="14" t="s">
        <v>5087</v>
      </c>
      <c r="D269" s="14" t="s">
        <v>5090</v>
      </c>
      <c r="E269" s="14" t="s">
        <v>5101</v>
      </c>
      <c r="F269" s="15" t="str">
        <f>HYPERLINK("http://dx.doi.org/10.1017/S0959270912000020","http://dx.doi.org/10.1017/S0959270912000020")</f>
        <v>http://dx.doi.org/10.1017/S0959270912000020</v>
      </c>
      <c r="G269" s="14" t="s">
        <v>5102</v>
      </c>
      <c r="H269" s="14" t="s">
        <v>5105</v>
      </c>
      <c r="L269" s="16">
        <v>1.0</v>
      </c>
    </row>
    <row r="270" ht="12.75" customHeight="1">
      <c r="A270" s="14" t="s">
        <v>97</v>
      </c>
      <c r="B270" s="14" t="s">
        <v>98</v>
      </c>
      <c r="C270" s="14" t="s">
        <v>101</v>
      </c>
      <c r="D270" s="14" t="s">
        <v>107</v>
      </c>
      <c r="E270" s="14" t="s">
        <v>99</v>
      </c>
      <c r="F270" s="14" t="s">
        <v>99</v>
      </c>
      <c r="G270" s="14" t="s">
        <v>121</v>
      </c>
      <c r="H270" s="14" t="s">
        <v>125</v>
      </c>
      <c r="J270" s="16">
        <v>1.0</v>
      </c>
    </row>
    <row r="271" ht="12.75" customHeight="1">
      <c r="A271" s="14" t="s">
        <v>97</v>
      </c>
      <c r="B271" s="14" t="s">
        <v>5142</v>
      </c>
      <c r="C271" s="14" t="s">
        <v>5144</v>
      </c>
      <c r="D271" s="14" t="s">
        <v>5148</v>
      </c>
      <c r="E271" s="14" t="s">
        <v>5160</v>
      </c>
      <c r="F271" s="15" t="str">
        <f>HYPERLINK("http://dx.doi.org/10.1111/j.1445-6664.2011.00430.x","http://dx.doi.org/10.1111/j.1445-6664.2011.00430.x")</f>
        <v>http://dx.doi.org/10.1111/j.1445-6664.2011.00430.x</v>
      </c>
      <c r="G271" s="14" t="s">
        <v>5161</v>
      </c>
      <c r="H271" s="14" t="s">
        <v>5164</v>
      </c>
      <c r="I271" s="16">
        <v>1.0</v>
      </c>
    </row>
    <row r="272" ht="12.75" customHeight="1">
      <c r="A272" s="14" t="s">
        <v>97</v>
      </c>
      <c r="B272" s="14" t="s">
        <v>5017</v>
      </c>
      <c r="C272" s="14" t="s">
        <v>5019</v>
      </c>
      <c r="D272" s="14" t="s">
        <v>5022</v>
      </c>
      <c r="E272" s="14" t="s">
        <v>5031</v>
      </c>
      <c r="F272" s="15" t="str">
        <f>HYPERLINK("http://dx.doi.org/10.1111/j.1365-2486.2011.02614.x","http://dx.doi.org/10.1111/j.1365-2486.2011.02614.x")</f>
        <v>http://dx.doi.org/10.1111/j.1365-2486.2011.02614.x</v>
      </c>
      <c r="G272" s="14" t="s">
        <v>351</v>
      </c>
      <c r="H272" s="14" t="s">
        <v>5033</v>
      </c>
      <c r="N272" s="16">
        <v>1.0</v>
      </c>
    </row>
    <row r="273" ht="12.75" customHeight="1">
      <c r="A273" s="14" t="s">
        <v>97</v>
      </c>
      <c r="B273" s="14" t="s">
        <v>5123</v>
      </c>
      <c r="C273" s="14" t="s">
        <v>5125</v>
      </c>
      <c r="D273" s="14" t="s">
        <v>5128</v>
      </c>
      <c r="E273" s="14" t="s">
        <v>5138</v>
      </c>
      <c r="F273" s="15" t="str">
        <f>HYPERLINK("http://dx.doi.org/10.1002/wcc.160","http://dx.doi.org/10.1002/wcc.160")</f>
        <v>http://dx.doi.org/10.1002/wcc.160</v>
      </c>
      <c r="G273" s="14" t="s">
        <v>5139</v>
      </c>
      <c r="H273" s="14" t="s">
        <v>5141</v>
      </c>
      <c r="K273" s="16">
        <v>1.0</v>
      </c>
    </row>
    <row r="274" ht="12.75" customHeight="1">
      <c r="A274" s="14" t="s">
        <v>97</v>
      </c>
      <c r="B274" s="14" t="s">
        <v>5198</v>
      </c>
      <c r="C274" s="14" t="s">
        <v>5200</v>
      </c>
      <c r="D274" s="14" t="s">
        <v>5203</v>
      </c>
      <c r="E274" s="14" t="s">
        <v>5212</v>
      </c>
      <c r="F274" s="15" t="str">
        <f>HYPERLINK("http://dx.doi.org/10.1016/j.biocon.2011.09.017","http://dx.doi.org/10.1016/j.biocon.2011.09.017")</f>
        <v>http://dx.doi.org/10.1016/j.biocon.2011.09.017</v>
      </c>
      <c r="G274" s="14" t="s">
        <v>351</v>
      </c>
      <c r="H274" s="14" t="s">
        <v>5214</v>
      </c>
      <c r="J274" s="16">
        <v>1.0</v>
      </c>
    </row>
    <row r="275" ht="12.75" customHeight="1">
      <c r="A275" s="14" t="s">
        <v>97</v>
      </c>
      <c r="B275" s="14" t="s">
        <v>5106</v>
      </c>
      <c r="C275" s="14" t="s">
        <v>5108</v>
      </c>
      <c r="D275" s="14" t="s">
        <v>5111</v>
      </c>
      <c r="E275" s="14" t="s">
        <v>5120</v>
      </c>
      <c r="F275" s="15" t="str">
        <f>HYPERLINK("http://dx.doi.org/10.1890/11-1362.1","http://dx.doi.org/10.1890/11-1362.1")</f>
        <v>http://dx.doi.org/10.1890/11-1362.1</v>
      </c>
      <c r="G275" s="14" t="s">
        <v>423</v>
      </c>
      <c r="H275" s="14" t="s">
        <v>5122</v>
      </c>
      <c r="I275" s="16">
        <v>1.0</v>
      </c>
    </row>
    <row r="276" ht="12.75" customHeight="1">
      <c r="A276" s="14" t="s">
        <v>97</v>
      </c>
      <c r="B276" s="14" t="s">
        <v>4983</v>
      </c>
      <c r="C276" s="14" t="s">
        <v>4985</v>
      </c>
      <c r="D276" s="14" t="s">
        <v>4988</v>
      </c>
      <c r="E276" s="14" t="s">
        <v>4995</v>
      </c>
      <c r="F276" s="15" t="str">
        <f>HYPERLINK("http://dx.doi.org/10.1111/j.1365-2486.2011.02623.x","http://dx.doi.org/10.1111/j.1365-2486.2011.02623.x")</f>
        <v>http://dx.doi.org/10.1111/j.1365-2486.2011.02623.x</v>
      </c>
      <c r="G276" s="14" t="s">
        <v>351</v>
      </c>
      <c r="H276" s="14" t="s">
        <v>4997</v>
      </c>
      <c r="N276" s="16">
        <v>1.0</v>
      </c>
    </row>
    <row r="277" ht="12.75" customHeight="1">
      <c r="A277" s="14" t="s">
        <v>97</v>
      </c>
      <c r="B277" s="14" t="s">
        <v>5034</v>
      </c>
      <c r="C277" s="14" t="s">
        <v>5036</v>
      </c>
      <c r="D277" s="14" t="s">
        <v>5039</v>
      </c>
      <c r="E277" s="14" t="s">
        <v>5049</v>
      </c>
      <c r="F277" s="15" t="str">
        <f>HYPERLINK("http://dx.doi.org/10.1016/j.biocon.2012.01.062","http://dx.doi.org/10.1016/j.biocon.2012.01.062")</f>
        <v>http://dx.doi.org/10.1016/j.biocon.2012.01.062</v>
      </c>
      <c r="G277" s="14" t="s">
        <v>351</v>
      </c>
      <c r="H277" s="14" t="s">
        <v>5051</v>
      </c>
      <c r="L277" s="16">
        <v>1.0</v>
      </c>
    </row>
    <row r="278" ht="12.75" customHeight="1">
      <c r="A278" s="14" t="s">
        <v>97</v>
      </c>
      <c r="B278" s="14" t="s">
        <v>5052</v>
      </c>
      <c r="C278" s="14" t="s">
        <v>5054</v>
      </c>
      <c r="D278" s="14" t="s">
        <v>5056</v>
      </c>
      <c r="E278" s="14" t="s">
        <v>5062</v>
      </c>
      <c r="F278" s="15" t="str">
        <f>HYPERLINK("http://dx.doi.org/10.1371/journal.pone.0029507","http://dx.doi.org/10.1371/journal.pone.0029507")</f>
        <v>http://dx.doi.org/10.1371/journal.pone.0029507</v>
      </c>
      <c r="G278" s="14" t="s">
        <v>799</v>
      </c>
      <c r="H278" s="14" t="s">
        <v>5064</v>
      </c>
      <c r="N278" s="16">
        <v>1.0</v>
      </c>
    </row>
    <row r="279" ht="12.75" customHeight="1">
      <c r="A279" s="14" t="s">
        <v>97</v>
      </c>
      <c r="B279" s="14" t="s">
        <v>4891</v>
      </c>
      <c r="C279" s="14" t="s">
        <v>4893</v>
      </c>
      <c r="D279" s="14" t="s">
        <v>4896</v>
      </c>
      <c r="E279" s="14" t="s">
        <v>4906</v>
      </c>
      <c r="F279" s="15" t="str">
        <f>HYPERLINK("http://dx.doi.org/10.1111/j.1365-2486.2012.02641.x","http://dx.doi.org/10.1111/j.1365-2486.2012.02641.x")</f>
        <v>http://dx.doi.org/10.1111/j.1365-2486.2012.02641.x</v>
      </c>
      <c r="G279" s="14" t="s">
        <v>351</v>
      </c>
      <c r="H279" s="14" t="s">
        <v>4908</v>
      </c>
      <c r="N279" s="16">
        <v>1.0</v>
      </c>
    </row>
    <row r="280" ht="12.75" customHeight="1">
      <c r="A280" s="14" t="s">
        <v>97</v>
      </c>
      <c r="B280" s="14" t="s">
        <v>4998</v>
      </c>
      <c r="C280" s="14" t="s">
        <v>5000</v>
      </c>
      <c r="D280" s="14" t="s">
        <v>5003</v>
      </c>
      <c r="E280" s="14" t="s">
        <v>5013</v>
      </c>
      <c r="F280" s="15" t="str">
        <f>HYPERLINK("http://dx.doi.org/10.1016/j.gloenvcha.2011.10.009","http://dx.doi.org/10.1016/j.gloenvcha.2011.10.009")</f>
        <v>http://dx.doi.org/10.1016/j.gloenvcha.2011.10.009</v>
      </c>
      <c r="G280" s="14" t="s">
        <v>2350</v>
      </c>
      <c r="H280" s="14" t="s">
        <v>5016</v>
      </c>
      <c r="K280" s="16">
        <v>1.0</v>
      </c>
    </row>
    <row r="281" ht="12.75" customHeight="1">
      <c r="A281" s="14" t="s">
        <v>97</v>
      </c>
      <c r="B281" s="14" t="s">
        <v>4909</v>
      </c>
      <c r="C281" s="14" t="s">
        <v>4911</v>
      </c>
      <c r="D281" s="14" t="s">
        <v>4914</v>
      </c>
      <c r="E281" s="14" t="s">
        <v>4924</v>
      </c>
      <c r="F281" s="15" t="str">
        <f>HYPERLINK("http://dx.doi.org/10.1111/j.1365-2664.2012.02144.x","http://dx.doi.org/10.1111/j.1365-2664.2012.02144.x")</f>
        <v>http://dx.doi.org/10.1111/j.1365-2664.2012.02144.x</v>
      </c>
      <c r="G281" s="14" t="s">
        <v>550</v>
      </c>
      <c r="H281" s="14" t="s">
        <v>4926</v>
      </c>
      <c r="I281" s="16">
        <v>1.0</v>
      </c>
    </row>
    <row r="282" ht="12.75" customHeight="1">
      <c r="A282" s="14" t="s">
        <v>97</v>
      </c>
      <c r="B282" s="14" t="s">
        <v>4809</v>
      </c>
      <c r="C282" s="14" t="s">
        <v>4811</v>
      </c>
      <c r="D282" s="14" t="s">
        <v>4815</v>
      </c>
      <c r="E282" s="14" t="s">
        <v>4829</v>
      </c>
      <c r="F282" s="15" t="str">
        <f>HYPERLINK("http://dx.doi.org/10.1007/s12237-012-9506-y","http://dx.doi.org/10.1007/s12237-012-9506-y")</f>
        <v>http://dx.doi.org/10.1007/s12237-012-9506-y</v>
      </c>
      <c r="G282" s="14" t="s">
        <v>396</v>
      </c>
      <c r="H282" s="14" t="s">
        <v>4831</v>
      </c>
      <c r="L282" s="16">
        <v>1.0</v>
      </c>
    </row>
    <row r="283" ht="12.75" customHeight="1">
      <c r="A283" s="14" t="s">
        <v>97</v>
      </c>
      <c r="B283" s="14" t="s">
        <v>4849</v>
      </c>
      <c r="C283" s="14" t="s">
        <v>4851</v>
      </c>
      <c r="D283" s="14" t="s">
        <v>4854</v>
      </c>
      <c r="E283" s="14" t="s">
        <v>4864</v>
      </c>
      <c r="F283" s="15" t="str">
        <f>HYPERLINK("http://dx.doi.org/10.1111/j.1365-2486.2012.02662.x","http://dx.doi.org/10.1111/j.1365-2486.2012.02662.x")</f>
        <v>http://dx.doi.org/10.1111/j.1365-2486.2012.02662.x</v>
      </c>
      <c r="G283" s="14" t="s">
        <v>351</v>
      </c>
      <c r="H283" s="14" t="s">
        <v>4866</v>
      </c>
      <c r="L283" s="16">
        <v>1.0</v>
      </c>
    </row>
    <row r="284" ht="12.75" customHeight="1">
      <c r="A284" s="14" t="s">
        <v>97</v>
      </c>
      <c r="B284" s="14" t="s">
        <v>4968</v>
      </c>
      <c r="C284" s="14" t="s">
        <v>4970</v>
      </c>
      <c r="D284" s="14" t="s">
        <v>4972</v>
      </c>
      <c r="E284" s="14" t="s">
        <v>4979</v>
      </c>
      <c r="F284" s="15" t="str">
        <f>HYPERLINK("http://dx.doi.org/10.1073/pnas.1116791109","http://dx.doi.org/10.1073/pnas.1116791109")</f>
        <v>http://dx.doi.org/10.1073/pnas.1116791109</v>
      </c>
      <c r="G284" s="14" t="s">
        <v>799</v>
      </c>
      <c r="H284" s="14" t="s">
        <v>4982</v>
      </c>
      <c r="N284" s="16">
        <v>1.0</v>
      </c>
    </row>
    <row r="285" ht="12.75" customHeight="1">
      <c r="A285" s="14" t="s">
        <v>97</v>
      </c>
      <c r="B285" s="14" t="s">
        <v>4867</v>
      </c>
      <c r="C285" s="14" t="s">
        <v>4869</v>
      </c>
      <c r="D285" s="14" t="s">
        <v>4872</v>
      </c>
      <c r="E285" s="14" t="s">
        <v>4887</v>
      </c>
      <c r="F285" s="15" t="str">
        <f>HYPERLINK("http://dx.doi.org/10.1029/2011JG001930","http://dx.doi.org/10.1029/2011JG001930")</f>
        <v>http://dx.doi.org/10.1029/2011JG001930</v>
      </c>
      <c r="G285" s="14" t="s">
        <v>4888</v>
      </c>
      <c r="H285" s="14" t="s">
        <v>4890</v>
      </c>
      <c r="L285" s="16">
        <v>1.0</v>
      </c>
    </row>
    <row r="286" ht="12.75" customHeight="1">
      <c r="A286" s="14" t="s">
        <v>97</v>
      </c>
      <c r="B286" s="14" t="s">
        <v>4832</v>
      </c>
      <c r="C286" s="14" t="s">
        <v>4834</v>
      </c>
      <c r="D286" s="14" t="s">
        <v>4837</v>
      </c>
      <c r="E286" s="14" t="s">
        <v>4846</v>
      </c>
      <c r="F286" s="15" t="str">
        <f>HYPERLINK("http://dx.doi.org/10.1093/icesjms/fss072","http://dx.doi.org/10.1093/icesjms/fss072")</f>
        <v>http://dx.doi.org/10.1093/icesjms/fss072</v>
      </c>
      <c r="G286" s="14" t="s">
        <v>3086</v>
      </c>
      <c r="H286" s="14" t="s">
        <v>4848</v>
      </c>
      <c r="L286" s="16">
        <v>1.0</v>
      </c>
    </row>
    <row r="287" ht="12.75" customHeight="1">
      <c r="A287" s="14" t="s">
        <v>97</v>
      </c>
      <c r="B287" s="14" t="s">
        <v>4943</v>
      </c>
      <c r="C287" s="14" t="s">
        <v>4945</v>
      </c>
      <c r="D287" s="14" t="s">
        <v>4949</v>
      </c>
      <c r="E287" s="14" t="s">
        <v>4965</v>
      </c>
      <c r="F287" s="15" t="str">
        <f>HYPERLINK("http://dx.doi.org/10.3391/ai.2012.7.2.002","http://dx.doi.org/10.3391/ai.2012.7.2.002")</f>
        <v>http://dx.doi.org/10.3391/ai.2012.7.2.002</v>
      </c>
      <c r="G287" s="14" t="s">
        <v>1274</v>
      </c>
      <c r="H287" s="14" t="s">
        <v>4967</v>
      </c>
      <c r="M287" s="16">
        <v>1.0</v>
      </c>
    </row>
    <row r="288" ht="12.75" customHeight="1">
      <c r="A288" s="14" t="s">
        <v>97</v>
      </c>
      <c r="B288" s="14" t="s">
        <v>4791</v>
      </c>
      <c r="C288" s="14" t="s">
        <v>4793</v>
      </c>
      <c r="D288" s="14" t="s">
        <v>4795</v>
      </c>
      <c r="E288" s="14" t="s">
        <v>4806</v>
      </c>
      <c r="F288" s="15" t="str">
        <f>HYPERLINK("http://dx.doi.org/10.1371/journal.pone.0039825","http://dx.doi.org/10.1371/journal.pone.0039825")</f>
        <v>http://dx.doi.org/10.1371/journal.pone.0039825</v>
      </c>
      <c r="G288" s="14" t="s">
        <v>799</v>
      </c>
      <c r="H288" s="14" t="s">
        <v>4808</v>
      </c>
      <c r="L288" s="16">
        <v>1.0</v>
      </c>
    </row>
    <row r="289" ht="12.75" customHeight="1">
      <c r="A289" s="14" t="s">
        <v>97</v>
      </c>
      <c r="B289" s="14" t="s">
        <v>4755</v>
      </c>
      <c r="C289" s="14" t="s">
        <v>4757</v>
      </c>
      <c r="D289" s="14" t="s">
        <v>4759</v>
      </c>
      <c r="E289" s="14" t="s">
        <v>4769</v>
      </c>
      <c r="F289" s="15" t="str">
        <f>HYPERLINK("http://dx.doi.org/10.1038/NCLIMATE1514","http://dx.doi.org/10.1038/NCLIMATE1514")</f>
        <v>http://dx.doi.org/10.1038/NCLIMATE1514</v>
      </c>
      <c r="G289" s="14" t="s">
        <v>2810</v>
      </c>
      <c r="H289" s="14" t="s">
        <v>4771</v>
      </c>
      <c r="N289" s="16">
        <v>1.0</v>
      </c>
    </row>
    <row r="290" ht="12.75" customHeight="1">
      <c r="A290" s="14" t="s">
        <v>97</v>
      </c>
      <c r="B290" s="14" t="s">
        <v>4733</v>
      </c>
      <c r="C290" s="14" t="s">
        <v>4735</v>
      </c>
      <c r="D290" s="14" t="s">
        <v>4739</v>
      </c>
      <c r="E290" s="14" t="s">
        <v>4752</v>
      </c>
      <c r="F290" s="15" t="str">
        <f>HYPERLINK("http://dx.doi.org/10.1007/s11258-012-0100-y","http://dx.doi.org/10.1007/s11258-012-0100-y")</f>
        <v>http://dx.doi.org/10.1007/s11258-012-0100-y</v>
      </c>
      <c r="G290" s="14" t="s">
        <v>1141</v>
      </c>
      <c r="H290" s="14" t="s">
        <v>4754</v>
      </c>
      <c r="I290" s="16">
        <v>1.0</v>
      </c>
    </row>
    <row r="291" ht="12.75" customHeight="1">
      <c r="A291" s="14" t="s">
        <v>97</v>
      </c>
      <c r="B291" s="14" t="s">
        <v>4558</v>
      </c>
      <c r="C291" s="14" t="s">
        <v>4560</v>
      </c>
      <c r="D291" s="14" t="s">
        <v>4563</v>
      </c>
      <c r="E291" s="14" t="s">
        <v>4573</v>
      </c>
      <c r="F291" s="15" t="str">
        <f>HYPERLINK("http://dx.doi.org/10.1016/j.jclepro.2012.06.016","http://dx.doi.org/10.1016/j.jclepro.2012.06.016")</f>
        <v>http://dx.doi.org/10.1016/j.jclepro.2012.06.016</v>
      </c>
      <c r="G291" s="14" t="s">
        <v>1848</v>
      </c>
      <c r="H291" s="14" t="s">
        <v>4575</v>
      </c>
      <c r="L291" s="16">
        <v>1.0</v>
      </c>
    </row>
    <row r="292" ht="12.75" customHeight="1">
      <c r="A292" s="14" t="s">
        <v>97</v>
      </c>
      <c r="B292" s="14" t="s">
        <v>4631</v>
      </c>
      <c r="C292" s="14" t="s">
        <v>4633</v>
      </c>
      <c r="D292" s="14" t="s">
        <v>4637</v>
      </c>
      <c r="E292" s="14" t="s">
        <v>4651</v>
      </c>
      <c r="F292" s="15" t="str">
        <f>HYPERLINK("http://dx.doi.org/10.1111/j.1757-1707.2012.01172.x","http://dx.doi.org/10.1111/j.1757-1707.2012.01172.x")</f>
        <v>http://dx.doi.org/10.1111/j.1757-1707.2012.01172.x</v>
      </c>
      <c r="G292" s="14" t="s">
        <v>4652</v>
      </c>
      <c r="H292" s="14" t="s">
        <v>4655</v>
      </c>
      <c r="K292" s="16">
        <v>1.0</v>
      </c>
    </row>
    <row r="293" ht="12.75" customHeight="1">
      <c r="A293" s="14" t="s">
        <v>97</v>
      </c>
      <c r="B293" s="14" t="s">
        <v>4656</v>
      </c>
      <c r="C293" s="14" t="s">
        <v>4658</v>
      </c>
      <c r="D293" s="14" t="s">
        <v>4661</v>
      </c>
      <c r="E293" s="14" t="s">
        <v>4669</v>
      </c>
      <c r="F293" s="15" t="str">
        <f>HYPERLINK("http://dx.doi.org/10.1017/S0030605311000937","http://dx.doi.org/10.1017/S0030605311000937")</f>
        <v>http://dx.doi.org/10.1017/S0030605311000937</v>
      </c>
      <c r="G293" s="14" t="s">
        <v>550</v>
      </c>
      <c r="H293" s="14" t="s">
        <v>4671</v>
      </c>
      <c r="L293" s="16">
        <v>1.0</v>
      </c>
    </row>
    <row r="294" ht="12.75" customHeight="1">
      <c r="A294" s="14" t="s">
        <v>97</v>
      </c>
      <c r="B294" s="14" t="s">
        <v>4576</v>
      </c>
      <c r="C294" s="14" t="s">
        <v>4578</v>
      </c>
      <c r="D294" s="14" t="s">
        <v>4581</v>
      </c>
      <c r="E294" s="14" t="s">
        <v>4589</v>
      </c>
      <c r="F294" s="15" t="str">
        <f>HYPERLINK("http://dx.doi.org/10.1111/j.1523-1739.2012.01904.x","http://dx.doi.org/10.1111/j.1523-1739.2012.01904.x")</f>
        <v>http://dx.doi.org/10.1111/j.1523-1739.2012.01904.x</v>
      </c>
      <c r="G294" s="14" t="s">
        <v>351</v>
      </c>
      <c r="H294" s="14" t="s">
        <v>4591</v>
      </c>
      <c r="I294" s="16">
        <v>1.0</v>
      </c>
    </row>
    <row r="295" ht="12.75" customHeight="1">
      <c r="A295" s="14" t="s">
        <v>97</v>
      </c>
      <c r="B295" s="14" t="s">
        <v>4706</v>
      </c>
      <c r="C295" s="14" t="s">
        <v>4708</v>
      </c>
      <c r="D295" s="14" t="s">
        <v>4712</v>
      </c>
      <c r="E295" s="14" t="s">
        <v>4728</v>
      </c>
      <c r="F295" s="15" t="str">
        <f>HYPERLINK("http://dx.doi.org/10.1016/j.rse.2012.05.019","http://dx.doi.org/10.1016/j.rse.2012.05.019")</f>
        <v>http://dx.doi.org/10.1016/j.rse.2012.05.019</v>
      </c>
      <c r="G295" s="14" t="s">
        <v>4729</v>
      </c>
      <c r="H295" s="14" t="s">
        <v>4732</v>
      </c>
      <c r="K295" s="16">
        <v>1.0</v>
      </c>
    </row>
    <row r="296" ht="12.75" customHeight="1">
      <c r="A296" s="14" t="s">
        <v>97</v>
      </c>
      <c r="B296" s="14" t="s">
        <v>4542</v>
      </c>
      <c r="C296" s="14" t="s">
        <v>4544</v>
      </c>
      <c r="D296" s="14" t="s">
        <v>4547</v>
      </c>
      <c r="E296" s="14" t="s">
        <v>4555</v>
      </c>
      <c r="F296" s="15" t="str">
        <f>HYPERLINK("http://dx.doi.org/10.1016/j.jglr.2012.09.022","http://dx.doi.org/10.1016/j.jglr.2012.09.022")</f>
        <v>http://dx.doi.org/10.1016/j.jglr.2012.09.022</v>
      </c>
      <c r="G296" s="14" t="s">
        <v>2121</v>
      </c>
      <c r="H296" s="14" t="s">
        <v>4557</v>
      </c>
      <c r="L296" s="16">
        <v>1.0</v>
      </c>
    </row>
    <row r="297" ht="12.75" customHeight="1">
      <c r="A297" s="14" t="s">
        <v>97</v>
      </c>
      <c r="B297" s="14" t="s">
        <v>4592</v>
      </c>
      <c r="C297" s="14" t="s">
        <v>4594</v>
      </c>
      <c r="D297" s="14" t="s">
        <v>4596</v>
      </c>
      <c r="E297" s="14" t="s">
        <v>4604</v>
      </c>
      <c r="F297" s="15" t="str">
        <f>HYPERLINK("http://dx.doi.org/10.1038/NCLIMATE1597","http://dx.doi.org/10.1038/NCLIMATE1597")</f>
        <v>http://dx.doi.org/10.1038/NCLIMATE1597</v>
      </c>
      <c r="G297" s="14" t="s">
        <v>2810</v>
      </c>
      <c r="H297" s="14" t="s">
        <v>4606</v>
      </c>
      <c r="K297" s="16">
        <v>1.0</v>
      </c>
    </row>
    <row r="298" ht="12.75" customHeight="1">
      <c r="A298" s="14" t="s">
        <v>97</v>
      </c>
      <c r="B298" s="14" t="s">
        <v>4672</v>
      </c>
      <c r="C298" s="14" t="s">
        <v>4674</v>
      </c>
      <c r="D298" s="14" t="s">
        <v>4677</v>
      </c>
      <c r="E298" s="14" t="s">
        <v>4686</v>
      </c>
      <c r="F298" s="15" t="str">
        <f>HYPERLINK("http://dx.doi.org/10.1088/1748-9326/7/4/044009","http://dx.doi.org/10.1088/1748-9326/7/4/044009")</f>
        <v>http://dx.doi.org/10.1088/1748-9326/7/4/044009</v>
      </c>
      <c r="G298" s="14" t="s">
        <v>573</v>
      </c>
      <c r="H298" s="14" t="s">
        <v>4688</v>
      </c>
      <c r="K298" s="16">
        <v>1.0</v>
      </c>
    </row>
    <row r="299" ht="12.75" customHeight="1">
      <c r="A299" s="14" t="s">
        <v>97</v>
      </c>
      <c r="B299" s="14" t="s">
        <v>4488</v>
      </c>
      <c r="C299" s="14" t="s">
        <v>4490</v>
      </c>
      <c r="D299" s="14" t="s">
        <v>4492</v>
      </c>
      <c r="E299" s="14" t="s">
        <v>4504</v>
      </c>
      <c r="F299" s="15" t="str">
        <f>HYPERLINK("http://dx.doi.org/10.1371/journal.pone.0052574","http://dx.doi.org/10.1371/journal.pone.0052574")</f>
        <v>http://dx.doi.org/10.1371/journal.pone.0052574</v>
      </c>
      <c r="G299" s="14" t="s">
        <v>799</v>
      </c>
      <c r="H299" s="14" t="s">
        <v>4506</v>
      </c>
      <c r="N299" s="16">
        <v>1.0</v>
      </c>
    </row>
    <row r="300" ht="12.75" customHeight="1">
      <c r="A300" s="14" t="s">
        <v>97</v>
      </c>
      <c r="B300" s="14" t="s">
        <v>4523</v>
      </c>
      <c r="C300" s="14" t="s">
        <v>4525</v>
      </c>
      <c r="D300" s="14" t="s">
        <v>4527</v>
      </c>
      <c r="E300" s="14" t="s">
        <v>4539</v>
      </c>
      <c r="F300" s="15" t="str">
        <f>HYPERLINK("http://dx.doi.org/10.1371/journal.pone.0051520","http://dx.doi.org/10.1371/journal.pone.0051520")</f>
        <v>http://dx.doi.org/10.1371/journal.pone.0051520</v>
      </c>
      <c r="G300" s="14" t="s">
        <v>799</v>
      </c>
      <c r="H300" s="14" t="s">
        <v>4541</v>
      </c>
      <c r="I300" s="16">
        <v>1.0</v>
      </c>
    </row>
    <row r="301" ht="12.75" customHeight="1">
      <c r="A301" s="14" t="s">
        <v>97</v>
      </c>
      <c r="B301" s="14" t="s">
        <v>4507</v>
      </c>
      <c r="C301" s="14" t="s">
        <v>4509</v>
      </c>
      <c r="D301" s="14" t="s">
        <v>4512</v>
      </c>
      <c r="E301" s="14" t="s">
        <v>4520</v>
      </c>
      <c r="F301" s="15" t="str">
        <f>HYPERLINK("http://dx.doi.org/10.1016/j.agrformet.2012.07.007","http://dx.doi.org/10.1016/j.agrformet.2012.07.007")</f>
        <v>http://dx.doi.org/10.1016/j.agrformet.2012.07.007</v>
      </c>
      <c r="G301" s="14" t="s">
        <v>3235</v>
      </c>
      <c r="H301" s="14" t="s">
        <v>4522</v>
      </c>
      <c r="L301" s="16">
        <v>1.0</v>
      </c>
    </row>
    <row r="302" ht="12.75" customHeight="1">
      <c r="A302" s="14" t="s">
        <v>97</v>
      </c>
      <c r="B302" s="14" t="s">
        <v>4428</v>
      </c>
      <c r="C302" s="14" t="s">
        <v>4430</v>
      </c>
      <c r="D302" s="14" t="s">
        <v>4432</v>
      </c>
      <c r="E302" s="14" t="s">
        <v>4444</v>
      </c>
      <c r="F302" s="15" t="str">
        <f>HYPERLINK("http://dx.doi.org/10.1371/journal.pone.0054216","http://dx.doi.org/10.1371/journal.pone.0054216")</f>
        <v>http://dx.doi.org/10.1371/journal.pone.0054216</v>
      </c>
      <c r="G302" s="14" t="s">
        <v>799</v>
      </c>
      <c r="H302" s="14" t="s">
        <v>4446</v>
      </c>
      <c r="N302" s="16">
        <v>1.0</v>
      </c>
    </row>
    <row r="303" ht="12.75" customHeight="1">
      <c r="A303" s="14" t="s">
        <v>97</v>
      </c>
      <c r="B303" s="14" t="s">
        <v>4335</v>
      </c>
      <c r="C303" s="14" t="s">
        <v>4337</v>
      </c>
      <c r="D303" s="14" t="s">
        <v>4340</v>
      </c>
      <c r="E303" s="14" t="s">
        <v>4350</v>
      </c>
      <c r="F303" s="15" t="str">
        <f>HYPERLINK("http://dx.doi.org/10.1111/gcb.12107","http://dx.doi.org/10.1111/gcb.12107")</f>
        <v>http://dx.doi.org/10.1111/gcb.12107</v>
      </c>
      <c r="G303" s="14" t="s">
        <v>351</v>
      </c>
      <c r="H303" s="14" t="s">
        <v>4352</v>
      </c>
      <c r="N303" s="16">
        <v>1.0</v>
      </c>
    </row>
    <row r="304" ht="12.75" customHeight="1">
      <c r="A304" s="14" t="s">
        <v>97</v>
      </c>
      <c r="B304" s="14" t="s">
        <v>4353</v>
      </c>
      <c r="C304" s="14" t="s">
        <v>4355</v>
      </c>
      <c r="D304" s="14" t="s">
        <v>4359</v>
      </c>
      <c r="E304" s="14" t="s">
        <v>4372</v>
      </c>
      <c r="F304" s="15" t="str">
        <f>HYPERLINK("http://dx.doi.org/10.1007/s11707-012-0335-x","http://dx.doi.org/10.1007/s11707-012-0335-x")</f>
        <v>http://dx.doi.org/10.1007/s11707-012-0335-x</v>
      </c>
      <c r="G304" s="14" t="s">
        <v>990</v>
      </c>
      <c r="H304" s="14" t="s">
        <v>4374</v>
      </c>
      <c r="L304" s="16">
        <v>1.0</v>
      </c>
    </row>
    <row r="305" ht="12.75" customHeight="1">
      <c r="A305" s="14" t="s">
        <v>97</v>
      </c>
      <c r="B305" s="14" t="s">
        <v>4317</v>
      </c>
      <c r="C305" s="14" t="s">
        <v>4319</v>
      </c>
      <c r="D305" s="14" t="s">
        <v>4322</v>
      </c>
      <c r="E305" s="14" t="s">
        <v>4332</v>
      </c>
      <c r="F305" s="15" t="str">
        <f>HYPERLINK("http://dx.doi.org/10.1111/jbi.12013","http://dx.doi.org/10.1111/jbi.12013")</f>
        <v>http://dx.doi.org/10.1111/jbi.12013</v>
      </c>
      <c r="G305" s="14" t="s">
        <v>869</v>
      </c>
      <c r="H305" s="14" t="s">
        <v>4334</v>
      </c>
      <c r="N305" s="16">
        <v>1.0</v>
      </c>
    </row>
    <row r="306" ht="12.75" customHeight="1">
      <c r="A306" s="14" t="s">
        <v>97</v>
      </c>
      <c r="B306" s="14" t="s">
        <v>4391</v>
      </c>
      <c r="C306" s="14" t="s">
        <v>4393</v>
      </c>
      <c r="D306" s="14" t="s">
        <v>4395</v>
      </c>
      <c r="E306" s="14" t="s">
        <v>4406</v>
      </c>
      <c r="F306" s="15" t="str">
        <f>HYPERLINK("http://dx.doi.org/10.1371/journal.pone.0055461","http://dx.doi.org/10.1371/journal.pone.0055461")</f>
        <v>http://dx.doi.org/10.1371/journal.pone.0055461</v>
      </c>
      <c r="G306" s="14" t="s">
        <v>799</v>
      </c>
      <c r="H306" s="14" t="s">
        <v>4408</v>
      </c>
      <c r="I306" s="16">
        <v>1.0</v>
      </c>
    </row>
    <row r="307" ht="12.75" customHeight="1">
      <c r="A307" s="14" t="s">
        <v>97</v>
      </c>
      <c r="B307" s="14" t="s">
        <v>4288</v>
      </c>
      <c r="C307" s="14" t="s">
        <v>4290</v>
      </c>
      <c r="D307" s="14" t="s">
        <v>4293</v>
      </c>
      <c r="E307" s="14" t="s">
        <v>4298</v>
      </c>
      <c r="F307" s="15" t="str">
        <f>HYPERLINK("http://dx.doi.org/10.1007/s10457-012-9566-9","http://dx.doi.org/10.1007/s10457-012-9566-9")</f>
        <v>http://dx.doi.org/10.1007/s10457-012-9566-9</v>
      </c>
      <c r="G307" s="14" t="s">
        <v>3916</v>
      </c>
      <c r="H307" s="14" t="s">
        <v>4300</v>
      </c>
      <c r="I307" s="16">
        <v>1.0</v>
      </c>
    </row>
    <row r="308" ht="12.75" customHeight="1">
      <c r="A308" s="14" t="s">
        <v>97</v>
      </c>
      <c r="B308" s="14" t="s">
        <v>4188</v>
      </c>
      <c r="C308" s="14" t="s">
        <v>4190</v>
      </c>
      <c r="D308" s="14" t="s">
        <v>4193</v>
      </c>
      <c r="E308" s="14" t="s">
        <v>4203</v>
      </c>
      <c r="F308" s="15" t="str">
        <f>HYPERLINK("http://dx.doi.org/10.1111/ddi.12011","http://dx.doi.org/10.1111/ddi.12011")</f>
        <v>http://dx.doi.org/10.1111/ddi.12011</v>
      </c>
      <c r="G308" s="14" t="s">
        <v>550</v>
      </c>
      <c r="H308" s="14" t="s">
        <v>4205</v>
      </c>
      <c r="N308" s="16">
        <v>1.0</v>
      </c>
    </row>
    <row r="309" ht="12.75" customHeight="1">
      <c r="A309" s="14" t="s">
        <v>97</v>
      </c>
      <c r="B309" s="14" t="s">
        <v>4206</v>
      </c>
      <c r="C309" s="14" t="s">
        <v>4208</v>
      </c>
      <c r="D309" s="14" t="s">
        <v>4211</v>
      </c>
      <c r="E309" s="14" t="s">
        <v>4221</v>
      </c>
      <c r="F309" s="15" t="str">
        <f>HYPERLINK("http://dx.doi.org/10.1111/1365-2664.12035","http://dx.doi.org/10.1111/1365-2664.12035")</f>
        <v>http://dx.doi.org/10.1111/1365-2664.12035</v>
      </c>
      <c r="G309" s="14" t="s">
        <v>550</v>
      </c>
      <c r="H309" s="14" t="s">
        <v>4223</v>
      </c>
      <c r="I309" s="16">
        <v>1.0</v>
      </c>
    </row>
    <row r="310" ht="12.75" customHeight="1">
      <c r="A310" s="14" t="s">
        <v>97</v>
      </c>
      <c r="B310" s="14" t="s">
        <v>4469</v>
      </c>
      <c r="C310" s="14" t="s">
        <v>4471</v>
      </c>
      <c r="D310" s="14" t="s">
        <v>4474</v>
      </c>
      <c r="E310" s="14" t="s">
        <v>4485</v>
      </c>
      <c r="F310" s="15" t="str">
        <f>HYPERLINK("http://dx.doi.org/10.1088/1748-9326/8/1/014003","http://dx.doi.org/10.1088/1748-9326/8/1/014003")</f>
        <v>http://dx.doi.org/10.1088/1748-9326/8/1/014003</v>
      </c>
      <c r="G310" s="14" t="s">
        <v>573</v>
      </c>
      <c r="H310" s="14" t="s">
        <v>4487</v>
      </c>
      <c r="K310" s="16">
        <v>1.0</v>
      </c>
    </row>
    <row r="311" ht="12.75" customHeight="1">
      <c r="A311" s="14" t="s">
        <v>97</v>
      </c>
      <c r="B311" s="14" t="s">
        <v>4067</v>
      </c>
      <c r="C311" s="14" t="s">
        <v>4069</v>
      </c>
      <c r="D311" s="14" t="s">
        <v>4073</v>
      </c>
      <c r="E311" s="14" t="s">
        <v>4084</v>
      </c>
      <c r="F311" s="15" t="str">
        <f>HYPERLINK("http://dx.doi.org/10.1098/rspb.2013.0246","http://dx.doi.org/10.1098/rspb.2013.0246")</f>
        <v>http://dx.doi.org/10.1098/rspb.2013.0246</v>
      </c>
      <c r="G311" s="14" t="s">
        <v>1552</v>
      </c>
      <c r="H311" s="14" t="s">
        <v>4086</v>
      </c>
      <c r="J311" s="16">
        <v>1.0</v>
      </c>
    </row>
    <row r="312" ht="12.75" customHeight="1">
      <c r="A312" s="14" t="s">
        <v>97</v>
      </c>
      <c r="B312" s="14" t="s">
        <v>4138</v>
      </c>
      <c r="C312" s="14" t="s">
        <v>4140</v>
      </c>
      <c r="D312" s="14" t="s">
        <v>4142</v>
      </c>
      <c r="E312" s="14" t="s">
        <v>4151</v>
      </c>
      <c r="F312" s="15" t="str">
        <f>HYPERLINK("http://dx.doi.org/10.1111/j.1600-0706.2012.20696.x","http://dx.doi.org/10.1111/j.1600-0706.2012.20696.x")</f>
        <v>http://dx.doi.org/10.1111/j.1600-0706.2012.20696.x</v>
      </c>
      <c r="G312" s="14" t="s">
        <v>259</v>
      </c>
      <c r="H312" s="14" t="s">
        <v>4153</v>
      </c>
      <c r="L312" s="16">
        <v>1.0</v>
      </c>
    </row>
    <row r="313" ht="12.75" customHeight="1">
      <c r="A313" s="14" t="s">
        <v>959</v>
      </c>
      <c r="B313" s="14" t="s">
        <v>7812</v>
      </c>
      <c r="C313" s="14" t="s">
        <v>7815</v>
      </c>
      <c r="D313" s="14" t="s">
        <v>7819</v>
      </c>
      <c r="E313" s="14" t="s">
        <v>7831</v>
      </c>
      <c r="F313" s="15" t="str">
        <f>HYPERLINK("http://dx.doi.org/10.1016/B978-012088449-0.50007-8","http://dx.doi.org/10.1016/B978-012088449-0.50007-8")</f>
        <v>http://dx.doi.org/10.1016/B978-012088449-0.50007-8</v>
      </c>
      <c r="G313" s="14" t="s">
        <v>1274</v>
      </c>
      <c r="H313" s="14" t="s">
        <v>7833</v>
      </c>
      <c r="L313" s="16">
        <v>1.0</v>
      </c>
    </row>
    <row r="314" ht="12.75" customHeight="1">
      <c r="A314" s="14" t="s">
        <v>97</v>
      </c>
      <c r="B314" s="14" t="s">
        <v>4169</v>
      </c>
      <c r="C314" s="14" t="s">
        <v>4171</v>
      </c>
      <c r="D314" s="14" t="s">
        <v>4173</v>
      </c>
      <c r="E314" s="14" t="s">
        <v>4185</v>
      </c>
      <c r="F314" s="15" t="str">
        <f>HYPERLINK("http://dx.doi.org/10.1371/journal.pone.0062374","http://dx.doi.org/10.1371/journal.pone.0062374")</f>
        <v>http://dx.doi.org/10.1371/journal.pone.0062374</v>
      </c>
      <c r="G314" s="14" t="s">
        <v>799</v>
      </c>
      <c r="H314" s="14" t="s">
        <v>4187</v>
      </c>
      <c r="K314" s="16">
        <v>1.0</v>
      </c>
    </row>
    <row r="315" ht="12.75" customHeight="1">
      <c r="A315" s="14" t="s">
        <v>97</v>
      </c>
      <c r="B315" s="14" t="s">
        <v>4028</v>
      </c>
      <c r="C315" s="14" t="s">
        <v>4030</v>
      </c>
      <c r="D315" s="14" t="s">
        <v>4033</v>
      </c>
      <c r="E315" s="14" t="s">
        <v>4046</v>
      </c>
      <c r="F315" s="15" t="str">
        <f>HYPERLINK("http://dx.doi.org/10.1111/j.1600-0706.2012.19858.x","http://dx.doi.org/10.1111/j.1600-0706.2012.19858.x")</f>
        <v>http://dx.doi.org/10.1111/j.1600-0706.2012.19858.x</v>
      </c>
      <c r="G315" s="14" t="s">
        <v>259</v>
      </c>
      <c r="H315" s="14" t="s">
        <v>4048</v>
      </c>
      <c r="L315" s="16">
        <v>1.0</v>
      </c>
    </row>
    <row r="316" ht="12.75" customHeight="1">
      <c r="A316" s="14" t="s">
        <v>97</v>
      </c>
      <c r="B316" s="14" t="s">
        <v>4154</v>
      </c>
      <c r="C316" s="14" t="s">
        <v>4156</v>
      </c>
      <c r="D316" s="14" t="s">
        <v>4159</v>
      </c>
      <c r="E316" s="14" t="s">
        <v>4166</v>
      </c>
      <c r="F316" s="15" t="str">
        <f>HYPERLINK("http://dx.doi.org/10.1016/j.actao.2013.02.007","http://dx.doi.org/10.1016/j.actao.2013.02.007")</f>
        <v>http://dx.doi.org/10.1016/j.actao.2013.02.007</v>
      </c>
      <c r="G316" s="14" t="s">
        <v>259</v>
      </c>
      <c r="H316" s="14" t="s">
        <v>4168</v>
      </c>
      <c r="N316" s="16">
        <v>1.0</v>
      </c>
    </row>
    <row r="317" ht="12.75" customHeight="1">
      <c r="A317" s="14" t="s">
        <v>97</v>
      </c>
      <c r="B317" s="14" t="s">
        <v>4049</v>
      </c>
      <c r="C317" s="14" t="s">
        <v>4051</v>
      </c>
      <c r="D317" s="14" t="s">
        <v>4054</v>
      </c>
      <c r="E317" s="14" t="s">
        <v>4064</v>
      </c>
      <c r="F317" s="15" t="str">
        <f>HYPERLINK("http://dx.doi.org/10.1111/j.1469-1795.2012.00592.x","http://dx.doi.org/10.1111/j.1469-1795.2012.00592.x")</f>
        <v>http://dx.doi.org/10.1111/j.1469-1795.2012.00592.x</v>
      </c>
      <c r="G317" s="14" t="s">
        <v>550</v>
      </c>
      <c r="H317" s="14" t="s">
        <v>4066</v>
      </c>
      <c r="J317" s="16">
        <v>1.0</v>
      </c>
    </row>
    <row r="318" ht="12.75" customHeight="1">
      <c r="A318" s="14" t="s">
        <v>97</v>
      </c>
      <c r="B318" s="14" t="s">
        <v>4011</v>
      </c>
      <c r="C318" s="14" t="s">
        <v>4013</v>
      </c>
      <c r="D318" s="14" t="s">
        <v>4016</v>
      </c>
      <c r="E318" s="14" t="s">
        <v>4025</v>
      </c>
      <c r="F318" s="15" t="str">
        <f>HYPERLINK("http://dx.doi.org/10.1002/aqc.2345","http://dx.doi.org/10.1002/aqc.2345")</f>
        <v>http://dx.doi.org/10.1002/aqc.2345</v>
      </c>
      <c r="G318" s="14" t="s">
        <v>844</v>
      </c>
      <c r="H318" s="14" t="s">
        <v>4027</v>
      </c>
      <c r="L318" s="16">
        <v>1.0</v>
      </c>
    </row>
    <row r="319" ht="12.75" customHeight="1">
      <c r="A319" s="14" t="s">
        <v>97</v>
      </c>
      <c r="B319" s="14" t="s">
        <v>3939</v>
      </c>
      <c r="C319" s="14" t="s">
        <v>3941</v>
      </c>
      <c r="D319" s="14" t="s">
        <v>3944</v>
      </c>
      <c r="E319" s="14" t="s">
        <v>3954</v>
      </c>
      <c r="F319" s="15" t="str">
        <f>HYPERLINK("http://dx.doi.org/10.1111/jbi.12105","http://dx.doi.org/10.1111/jbi.12105")</f>
        <v>http://dx.doi.org/10.1111/jbi.12105</v>
      </c>
      <c r="G319" s="14" t="s">
        <v>869</v>
      </c>
      <c r="H319" s="14" t="s">
        <v>3956</v>
      </c>
      <c r="L319" s="16">
        <v>1.0</v>
      </c>
    </row>
    <row r="320" ht="12.75" customHeight="1">
      <c r="A320" s="14" t="s">
        <v>97</v>
      </c>
      <c r="B320" s="14" t="s">
        <v>3993</v>
      </c>
      <c r="C320" s="14" t="s">
        <v>3995</v>
      </c>
      <c r="D320" s="14" t="s">
        <v>3997</v>
      </c>
      <c r="E320" s="14" t="s">
        <v>4008</v>
      </c>
      <c r="F320" s="15" t="str">
        <f>HYPERLINK("http://dx.doi.org/10.1371/journal.pone.0065427","http://dx.doi.org/10.1371/journal.pone.0065427")</f>
        <v>http://dx.doi.org/10.1371/journal.pone.0065427</v>
      </c>
      <c r="G320" s="14" t="s">
        <v>799</v>
      </c>
      <c r="H320" s="14" t="s">
        <v>4010</v>
      </c>
      <c r="N320" s="16">
        <v>1.0</v>
      </c>
    </row>
    <row r="321" ht="12.75" customHeight="1">
      <c r="A321" s="14" t="s">
        <v>97</v>
      </c>
      <c r="B321" s="14" t="s">
        <v>4103</v>
      </c>
      <c r="C321" s="14" t="s">
        <v>4105</v>
      </c>
      <c r="D321" s="14" t="s">
        <v>4108</v>
      </c>
      <c r="E321" s="14" t="s">
        <v>4118</v>
      </c>
      <c r="F321" s="15" t="str">
        <f>HYPERLINK("http://dx.doi.org/10.1073/pnas.1210590110","http://dx.doi.org/10.1073/pnas.1210590110")</f>
        <v>http://dx.doi.org/10.1073/pnas.1210590110</v>
      </c>
      <c r="G321" s="14" t="s">
        <v>799</v>
      </c>
      <c r="H321" s="14" t="s">
        <v>4120</v>
      </c>
      <c r="I321" s="16">
        <v>1.0</v>
      </c>
    </row>
    <row r="322" ht="12.75" customHeight="1">
      <c r="A322" s="14" t="s">
        <v>97</v>
      </c>
      <c r="B322" s="14" t="s">
        <v>4087</v>
      </c>
      <c r="C322" s="14" t="s">
        <v>4089</v>
      </c>
      <c r="D322" s="14" t="s">
        <v>4091</v>
      </c>
      <c r="E322" s="14" t="s">
        <v>4100</v>
      </c>
      <c r="F322" s="15" t="str">
        <f>HYPERLINK("http://dx.doi.org/10.1371/journal.pone.0063883","http://dx.doi.org/10.1371/journal.pone.0063883")</f>
        <v>http://dx.doi.org/10.1371/journal.pone.0063883</v>
      </c>
      <c r="G322" s="14" t="s">
        <v>799</v>
      </c>
      <c r="H322" s="14" t="s">
        <v>4102</v>
      </c>
      <c r="N322" s="16">
        <v>1.0</v>
      </c>
    </row>
    <row r="323" ht="12.75" customHeight="1">
      <c r="A323" s="14" t="s">
        <v>97</v>
      </c>
      <c r="B323" s="14" t="s">
        <v>4224</v>
      </c>
      <c r="C323" s="14" t="s">
        <v>4226</v>
      </c>
      <c r="D323" s="14" t="s">
        <v>4229</v>
      </c>
      <c r="E323" s="14" t="s">
        <v>4239</v>
      </c>
      <c r="F323" s="15" t="str">
        <f>HYPERLINK("http://dx.doi.org/10.1016/j.biocon.2013.02.001","http://dx.doi.org/10.1016/j.biocon.2013.02.001")</f>
        <v>http://dx.doi.org/10.1016/j.biocon.2013.02.001</v>
      </c>
      <c r="G323" s="14" t="s">
        <v>351</v>
      </c>
      <c r="H323" s="14" t="s">
        <v>4241</v>
      </c>
      <c r="N323" s="16">
        <v>1.0</v>
      </c>
    </row>
    <row r="324" ht="12.75" customHeight="1">
      <c r="A324" s="14" t="s">
        <v>97</v>
      </c>
      <c r="B324" s="14" t="s">
        <v>3806</v>
      </c>
      <c r="C324" s="14" t="s">
        <v>3808</v>
      </c>
      <c r="D324" s="14" t="s">
        <v>3811</v>
      </c>
      <c r="E324" s="14" t="s">
        <v>3821</v>
      </c>
      <c r="F324" s="15" t="str">
        <f>HYPERLINK("http://dx.doi.org/10.1016/j.foreco.2013.03.018","http://dx.doi.org/10.1016/j.foreco.2013.03.018")</f>
        <v>http://dx.doi.org/10.1016/j.foreco.2013.03.018</v>
      </c>
      <c r="G324" s="14" t="s">
        <v>281</v>
      </c>
      <c r="H324" s="14" t="s">
        <v>3823</v>
      </c>
      <c r="I324" s="16">
        <v>1.0</v>
      </c>
    </row>
    <row r="325" ht="12.75" customHeight="1">
      <c r="A325" s="14" t="s">
        <v>97</v>
      </c>
      <c r="B325" s="14" t="s">
        <v>4301</v>
      </c>
      <c r="C325" s="14" t="s">
        <v>4303</v>
      </c>
      <c r="D325" s="14" t="s">
        <v>4306</v>
      </c>
      <c r="E325" s="14" t="s">
        <v>4314</v>
      </c>
      <c r="F325" s="15" t="str">
        <f>HYPERLINK("http://dx.doi.org/10.1088/1748-9326/8/2/024034","http://dx.doi.org/10.1088/1748-9326/8/2/024034")</f>
        <v>http://dx.doi.org/10.1088/1748-9326/8/2/024034</v>
      </c>
      <c r="G325" s="14" t="s">
        <v>573</v>
      </c>
      <c r="H325" s="14" t="s">
        <v>4316</v>
      </c>
      <c r="L325" s="16">
        <v>1.0</v>
      </c>
    </row>
    <row r="326" ht="12.75" customHeight="1">
      <c r="A326" s="14" t="s">
        <v>97</v>
      </c>
      <c r="B326" s="14" t="s">
        <v>3974</v>
      </c>
      <c r="C326" s="14" t="s">
        <v>3976</v>
      </c>
      <c r="D326" s="14" t="s">
        <v>3979</v>
      </c>
      <c r="E326" s="14" t="s">
        <v>3990</v>
      </c>
      <c r="F326" s="15" t="str">
        <f>HYPERLINK("http://dx.doi.org/10.1073/pnas.1211349110","http://dx.doi.org/10.1073/pnas.1211349110")</f>
        <v>http://dx.doi.org/10.1073/pnas.1211349110</v>
      </c>
      <c r="G326" s="14" t="s">
        <v>799</v>
      </c>
      <c r="H326" s="14" t="s">
        <v>3992</v>
      </c>
      <c r="K326" s="16">
        <v>1.0</v>
      </c>
    </row>
    <row r="327" ht="12.75" customHeight="1">
      <c r="A327" s="14" t="s">
        <v>97</v>
      </c>
      <c r="B327" s="14" t="s">
        <v>3895</v>
      </c>
      <c r="C327" s="14" t="s">
        <v>3897</v>
      </c>
      <c r="D327" s="14" t="s">
        <v>3901</v>
      </c>
      <c r="E327" s="14" t="s">
        <v>3915</v>
      </c>
      <c r="F327" s="15" t="str">
        <f>HYPERLINK("http://dx.doi.org/10.1007/s10457-013-9595-z","http://dx.doi.org/10.1007/s10457-013-9595-z")</f>
        <v>http://dx.doi.org/10.1007/s10457-013-9595-z</v>
      </c>
      <c r="G327" s="14" t="s">
        <v>3916</v>
      </c>
      <c r="H327" s="14" t="s">
        <v>3919</v>
      </c>
      <c r="I327" s="16">
        <v>1.0</v>
      </c>
    </row>
    <row r="328" ht="12.75" customHeight="1">
      <c r="A328" s="14" t="s">
        <v>97</v>
      </c>
      <c r="B328" s="14" t="s">
        <v>3617</v>
      </c>
      <c r="C328" s="14" t="s">
        <v>3619</v>
      </c>
      <c r="D328" s="14" t="s">
        <v>3622</v>
      </c>
      <c r="E328" s="14" t="s">
        <v>3631</v>
      </c>
      <c r="F328" s="15" t="str">
        <f>HYPERLINK("http://dx.doi.org/10.1007/s40333-013-0181-z","http://dx.doi.org/10.1007/s40333-013-0181-z")</f>
        <v>http://dx.doi.org/10.1007/s40333-013-0181-z</v>
      </c>
      <c r="G328" s="14" t="s">
        <v>1041</v>
      </c>
      <c r="H328" s="14" t="s">
        <v>3633</v>
      </c>
      <c r="L328" s="16">
        <v>1.0</v>
      </c>
    </row>
    <row r="329" ht="12.75" customHeight="1">
      <c r="A329" s="14" t="s">
        <v>284</v>
      </c>
      <c r="B329" s="14" t="s">
        <v>5234</v>
      </c>
      <c r="C329" s="14" t="s">
        <v>5236</v>
      </c>
      <c r="D329" s="14" t="s">
        <v>5241</v>
      </c>
      <c r="E329" s="14" t="s">
        <v>5250</v>
      </c>
      <c r="F329" s="15" t="str">
        <f>HYPERLINK("http://dx.doi.org/10.1016/B978-0-12-385140-6.00064-5","http://dx.doi.org/10.1016/B978-0-12-385140-6.00064-5")</f>
        <v>http://dx.doi.org/10.1016/B978-0-12-385140-6.00064-5</v>
      </c>
      <c r="G329" s="14" t="s">
        <v>990</v>
      </c>
      <c r="H329" s="14" t="s">
        <v>5252</v>
      </c>
      <c r="L329" s="16">
        <v>1.0</v>
      </c>
    </row>
    <row r="330" ht="12.75" customHeight="1">
      <c r="A330" s="14" t="s">
        <v>97</v>
      </c>
      <c r="B330" s="14" t="s">
        <v>3877</v>
      </c>
      <c r="C330" s="14" t="s">
        <v>3879</v>
      </c>
      <c r="D330" s="14" t="s">
        <v>3882</v>
      </c>
      <c r="E330" s="14" t="s">
        <v>3892</v>
      </c>
      <c r="F330" s="15" t="str">
        <f>HYPERLINK("http://dx.doi.org/10.1007/s10113-012-0344-z","http://dx.doi.org/10.1007/s10113-012-0344-z")</f>
        <v>http://dx.doi.org/10.1007/s10113-012-0344-z</v>
      </c>
      <c r="G330" s="14" t="s">
        <v>3569</v>
      </c>
      <c r="H330" s="14" t="s">
        <v>3894</v>
      </c>
      <c r="N330" s="16">
        <v>1.0</v>
      </c>
    </row>
    <row r="331" ht="12.75" customHeight="1">
      <c r="A331" s="14" t="s">
        <v>97</v>
      </c>
      <c r="B331" s="14" t="s">
        <v>3839</v>
      </c>
      <c r="C331" s="14" t="s">
        <v>3841</v>
      </c>
      <c r="D331" s="14" t="s">
        <v>3845</v>
      </c>
      <c r="E331" s="14" t="s">
        <v>3857</v>
      </c>
      <c r="F331" s="15" t="str">
        <f>HYPERLINK("http://dx.doi.org/10.1111/acv.12012","http://dx.doi.org/10.1111/acv.12012")</f>
        <v>http://dx.doi.org/10.1111/acv.12012</v>
      </c>
      <c r="G331" s="14" t="s">
        <v>550</v>
      </c>
      <c r="H331" s="14" t="s">
        <v>3859</v>
      </c>
      <c r="J331" s="16">
        <v>1.0</v>
      </c>
    </row>
    <row r="332" ht="12.75" customHeight="1">
      <c r="A332" s="14" t="s">
        <v>97</v>
      </c>
      <c r="B332" s="14" t="s">
        <v>3790</v>
      </c>
      <c r="C332" s="14" t="s">
        <v>3792</v>
      </c>
      <c r="D332" s="14" t="s">
        <v>3795</v>
      </c>
      <c r="E332" s="14" t="s">
        <v>3803</v>
      </c>
      <c r="F332" s="15" t="str">
        <f>HYPERLINK("http://dx.doi.org/10.1016/j.gloplacha.2013.06.007","http://dx.doi.org/10.1016/j.gloplacha.2013.06.007")</f>
        <v>http://dx.doi.org/10.1016/j.gloplacha.2013.06.007</v>
      </c>
      <c r="G332" s="14" t="s">
        <v>3035</v>
      </c>
      <c r="H332" s="14" t="s">
        <v>3805</v>
      </c>
      <c r="L332" s="16">
        <v>1.0</v>
      </c>
    </row>
    <row r="333" ht="12.75" customHeight="1">
      <c r="A333" s="14" t="s">
        <v>97</v>
      </c>
      <c r="B333" s="14" t="s">
        <v>3769</v>
      </c>
      <c r="C333" s="14" t="s">
        <v>3771</v>
      </c>
      <c r="D333" s="14" t="s">
        <v>3775</v>
      </c>
      <c r="E333" s="14" t="s">
        <v>3787</v>
      </c>
      <c r="F333" s="15" t="str">
        <f>HYPERLINK("http://dx.doi.org/10.1007/s00114-013-1088-4","http://dx.doi.org/10.1007/s00114-013-1088-4")</f>
        <v>http://dx.doi.org/10.1007/s00114-013-1088-4</v>
      </c>
      <c r="G333" s="14" t="s">
        <v>799</v>
      </c>
      <c r="H333" s="14" t="s">
        <v>3789</v>
      </c>
      <c r="N333" s="16">
        <v>1.0</v>
      </c>
    </row>
    <row r="334" ht="12.75" customHeight="1">
      <c r="A334" s="14" t="s">
        <v>97</v>
      </c>
      <c r="B334" s="14" t="s">
        <v>3708</v>
      </c>
      <c r="C334" s="14" t="s">
        <v>3710</v>
      </c>
      <c r="D334" s="14" t="s">
        <v>3713</v>
      </c>
      <c r="E334" s="14" t="s">
        <v>3723</v>
      </c>
      <c r="F334" s="15" t="str">
        <f>HYPERLINK("http://dx.doi.org/10.1111/gcb.12289","http://dx.doi.org/10.1111/gcb.12289")</f>
        <v>http://dx.doi.org/10.1111/gcb.12289</v>
      </c>
      <c r="G334" s="14" t="s">
        <v>351</v>
      </c>
      <c r="H334" s="14" t="s">
        <v>3725</v>
      </c>
      <c r="N334" s="16">
        <v>1.0</v>
      </c>
    </row>
    <row r="335" ht="12.75" customHeight="1">
      <c r="A335" s="14" t="s">
        <v>97</v>
      </c>
      <c r="B335" s="14" t="s">
        <v>3747</v>
      </c>
      <c r="C335" s="14" t="s">
        <v>3749</v>
      </c>
      <c r="D335" s="14" t="s">
        <v>3753</v>
      </c>
      <c r="E335" s="14" t="s">
        <v>3766</v>
      </c>
      <c r="F335" s="15" t="str">
        <f>HYPERLINK("http://dx.doi.org/10.1016/j.baae.2013.06.001","http://dx.doi.org/10.1016/j.baae.2013.06.001")</f>
        <v>http://dx.doi.org/10.1016/j.baae.2013.06.001</v>
      </c>
      <c r="G335" s="14" t="s">
        <v>259</v>
      </c>
      <c r="H335" s="14" t="s">
        <v>3768</v>
      </c>
      <c r="I335" s="16">
        <v>1.0</v>
      </c>
    </row>
    <row r="336" ht="12.75" customHeight="1">
      <c r="A336" s="14" t="s">
        <v>97</v>
      </c>
      <c r="B336" s="14" t="s">
        <v>3957</v>
      </c>
      <c r="C336" s="14" t="s">
        <v>3959</v>
      </c>
      <c r="D336" s="14" t="s">
        <v>3961</v>
      </c>
      <c r="E336" s="14" t="s">
        <v>3971</v>
      </c>
      <c r="F336" s="15" t="str">
        <f>HYPERLINK("http://dx.doi.org/10.1038/NCLIMATE1887","http://dx.doi.org/10.1038/NCLIMATE1887")</f>
        <v>http://dx.doi.org/10.1038/NCLIMATE1887</v>
      </c>
      <c r="G336" s="14" t="s">
        <v>2810</v>
      </c>
      <c r="H336" s="14" t="s">
        <v>3973</v>
      </c>
      <c r="N336" s="16">
        <v>1.0</v>
      </c>
    </row>
    <row r="337" ht="12.75" customHeight="1">
      <c r="A337" s="14" t="s">
        <v>97</v>
      </c>
      <c r="B337" s="14" t="s">
        <v>3592</v>
      </c>
      <c r="C337" s="14" t="s">
        <v>3594</v>
      </c>
      <c r="D337" s="14" t="s">
        <v>3598</v>
      </c>
      <c r="E337" s="14" t="s">
        <v>3614</v>
      </c>
      <c r="F337" s="15" t="str">
        <f>HYPERLINK("http://dx.doi.org/10.1007/s13595-013-0323-7","http://dx.doi.org/10.1007/s13595-013-0323-7")</f>
        <v>http://dx.doi.org/10.1007/s13595-013-0323-7</v>
      </c>
      <c r="G337" s="14" t="s">
        <v>281</v>
      </c>
      <c r="H337" s="14" t="s">
        <v>3616</v>
      </c>
      <c r="I337" s="16">
        <v>1.0</v>
      </c>
    </row>
    <row r="338" ht="12.75" customHeight="1">
      <c r="A338" s="14" t="s">
        <v>97</v>
      </c>
      <c r="B338" s="14" t="s">
        <v>3654</v>
      </c>
      <c r="C338" s="14" t="s">
        <v>3656</v>
      </c>
      <c r="D338" s="14" t="s">
        <v>3658</v>
      </c>
      <c r="E338" s="14" t="s">
        <v>3670</v>
      </c>
      <c r="F338" s="15" t="str">
        <f>HYPERLINK("http://dx.doi.org/10.1371/journal.pone.0080531","http://dx.doi.org/10.1371/journal.pone.0080531")</f>
        <v>http://dx.doi.org/10.1371/journal.pone.0080531</v>
      </c>
      <c r="G338" s="14" t="s">
        <v>799</v>
      </c>
      <c r="H338" s="14" t="s">
        <v>3672</v>
      </c>
      <c r="N338" s="16">
        <v>1.0</v>
      </c>
    </row>
    <row r="339" ht="12.75" customHeight="1">
      <c r="A339" s="14" t="s">
        <v>97</v>
      </c>
      <c r="B339" s="14" t="s">
        <v>3548</v>
      </c>
      <c r="C339" s="14" t="s">
        <v>3550</v>
      </c>
      <c r="D339" s="14" t="s">
        <v>3554</v>
      </c>
      <c r="E339" s="14" t="s">
        <v>3568</v>
      </c>
      <c r="F339" s="15" t="str">
        <f>HYPERLINK("http://dx.doi.org/10.1007/s10113-013-0425-7","http://dx.doi.org/10.1007/s10113-013-0425-7")</f>
        <v>http://dx.doi.org/10.1007/s10113-013-0425-7</v>
      </c>
      <c r="G339" s="14" t="s">
        <v>3569</v>
      </c>
      <c r="H339" s="14" t="s">
        <v>3571</v>
      </c>
      <c r="N339" s="16">
        <v>1.0</v>
      </c>
    </row>
    <row r="340" ht="12.75" customHeight="1">
      <c r="A340" s="14" t="s">
        <v>97</v>
      </c>
      <c r="B340" s="14" t="s">
        <v>3634</v>
      </c>
      <c r="C340" s="14" t="s">
        <v>3636</v>
      </c>
      <c r="D340" s="14" t="s">
        <v>3638</v>
      </c>
      <c r="E340" s="14" t="s">
        <v>3650</v>
      </c>
      <c r="F340" s="15" t="str">
        <f>HYPERLINK("http://dx.doi.org/10.1371/journal.pone.0081292","http://dx.doi.org/10.1371/journal.pone.0081292")</f>
        <v>http://dx.doi.org/10.1371/journal.pone.0081292</v>
      </c>
      <c r="G340" s="14" t="s">
        <v>799</v>
      </c>
      <c r="H340" s="14" t="s">
        <v>3653</v>
      </c>
      <c r="L340" s="16">
        <v>1.0</v>
      </c>
    </row>
    <row r="341" ht="12.75" customHeight="1">
      <c r="A341" s="14" t="s">
        <v>97</v>
      </c>
      <c r="B341" s="14" t="s">
        <v>3860</v>
      </c>
      <c r="C341" s="14" t="s">
        <v>3862</v>
      </c>
      <c r="D341" s="14" t="s">
        <v>3865</v>
      </c>
      <c r="E341" s="14" t="s">
        <v>3874</v>
      </c>
      <c r="F341" s="15" t="str">
        <f>HYPERLINK("http://dx.doi.org/10.3390/rs5084125","http://dx.doi.org/10.3390/rs5084125")</f>
        <v>http://dx.doi.org/10.3390/rs5084125</v>
      </c>
      <c r="G341" s="14" t="s">
        <v>1354</v>
      </c>
      <c r="H341" s="14" t="s">
        <v>3876</v>
      </c>
      <c r="L341" s="16">
        <v>1.0</v>
      </c>
    </row>
    <row r="342" ht="12.75" customHeight="1">
      <c r="A342" s="14" t="s">
        <v>97</v>
      </c>
      <c r="B342" s="14" t="s">
        <v>3433</v>
      </c>
      <c r="C342" s="14" t="s">
        <v>3435</v>
      </c>
      <c r="D342" s="14" t="s">
        <v>3439</v>
      </c>
      <c r="E342" s="14" t="s">
        <v>3453</v>
      </c>
      <c r="F342" s="15" t="str">
        <f>HYPERLINK("http://dx.doi.org/10.1007/s12665-013-2547-0","http://dx.doi.org/10.1007/s12665-013-2547-0")</f>
        <v>http://dx.doi.org/10.1007/s12665-013-2547-0</v>
      </c>
      <c r="G342" s="14" t="s">
        <v>3454</v>
      </c>
      <c r="H342" s="14" t="s">
        <v>3457</v>
      </c>
      <c r="L342" s="16">
        <v>1.0</v>
      </c>
    </row>
    <row r="343" ht="12.75" customHeight="1">
      <c r="A343" s="14" t="s">
        <v>97</v>
      </c>
      <c r="B343" s="14" t="s">
        <v>3691</v>
      </c>
      <c r="C343" s="14" t="s">
        <v>3693</v>
      </c>
      <c r="D343" s="14" t="s">
        <v>3695</v>
      </c>
      <c r="E343" s="14" t="s">
        <v>3705</v>
      </c>
      <c r="F343" s="15" t="str">
        <f>HYPERLINK("http://dx.doi.org/10.1038/NCLIMATE1981","http://dx.doi.org/10.1038/NCLIMATE1981")</f>
        <v>http://dx.doi.org/10.1038/NCLIMATE1981</v>
      </c>
      <c r="G343" s="14" t="s">
        <v>2810</v>
      </c>
      <c r="H343" s="14" t="s">
        <v>3707</v>
      </c>
      <c r="K343" s="16">
        <v>1.0</v>
      </c>
    </row>
    <row r="344" ht="12.75" customHeight="1">
      <c r="A344" s="14" t="s">
        <v>97</v>
      </c>
      <c r="B344" s="14" t="s">
        <v>3239</v>
      </c>
      <c r="C344" s="14" t="s">
        <v>3241</v>
      </c>
      <c r="D344" s="14" t="s">
        <v>3245</v>
      </c>
      <c r="E344" s="14" t="s">
        <v>3255</v>
      </c>
      <c r="F344" s="15" t="str">
        <f>HYPERLINK("http://dx.doi.org/10.1007/s40333-013-0202-y","http://dx.doi.org/10.1007/s40333-013-0202-y")</f>
        <v>http://dx.doi.org/10.1007/s40333-013-0202-y</v>
      </c>
      <c r="G344" s="14" t="s">
        <v>1041</v>
      </c>
      <c r="H344" s="14" t="s">
        <v>3257</v>
      </c>
      <c r="I344" s="16">
        <v>1.0</v>
      </c>
    </row>
    <row r="345" ht="12.75" customHeight="1">
      <c r="A345" s="14" t="s">
        <v>97</v>
      </c>
      <c r="B345" s="14" t="s">
        <v>3458</v>
      </c>
      <c r="C345" s="14" t="s">
        <v>3460</v>
      </c>
      <c r="D345" s="14" t="s">
        <v>3463</v>
      </c>
      <c r="E345" s="14" t="s">
        <v>3473</v>
      </c>
      <c r="F345" s="15" t="str">
        <f>HYPERLINK("http://dx.doi.org/10.1016/j.foreco.2013.10.039","http://dx.doi.org/10.1016/j.foreco.2013.10.039")</f>
        <v>http://dx.doi.org/10.1016/j.foreco.2013.10.039</v>
      </c>
      <c r="G345" s="14" t="s">
        <v>281</v>
      </c>
      <c r="H345" s="14" t="s">
        <v>3475</v>
      </c>
      <c r="L345" s="16">
        <v>1.0</v>
      </c>
    </row>
    <row r="346" ht="12.75" customHeight="1">
      <c r="A346" s="14" t="s">
        <v>97</v>
      </c>
      <c r="B346" s="14" t="s">
        <v>3410</v>
      </c>
      <c r="C346" s="14" t="s">
        <v>3412</v>
      </c>
      <c r="D346" s="14" t="s">
        <v>3416</v>
      </c>
      <c r="E346" s="14" t="s">
        <v>3430</v>
      </c>
      <c r="F346" s="15" t="str">
        <f>HYPERLINK("http://dx.doi.org/10.1016/j.ecolmodel.2013.11.004","http://dx.doi.org/10.1016/j.ecolmodel.2013.11.004")</f>
        <v>http://dx.doi.org/10.1016/j.ecolmodel.2013.11.004</v>
      </c>
      <c r="G346" s="14" t="s">
        <v>259</v>
      </c>
      <c r="H346" s="14" t="s">
        <v>3432</v>
      </c>
      <c r="L346" s="16">
        <v>1.0</v>
      </c>
    </row>
    <row r="347" ht="12.75" customHeight="1">
      <c r="A347" s="14" t="s">
        <v>97</v>
      </c>
      <c r="B347" s="14" t="s">
        <v>3476</v>
      </c>
      <c r="C347" s="14" t="s">
        <v>3478</v>
      </c>
      <c r="D347" s="14" t="s">
        <v>3482</v>
      </c>
      <c r="E347" s="14" t="s">
        <v>3494</v>
      </c>
      <c r="F347" s="15" t="str">
        <f>HYPERLINK("http://dx.doi.org/10.1016/j.actao.2013.12.006","http://dx.doi.org/10.1016/j.actao.2013.12.006")</f>
        <v>http://dx.doi.org/10.1016/j.actao.2013.12.006</v>
      </c>
      <c r="G347" s="14" t="s">
        <v>259</v>
      </c>
      <c r="H347" s="14" t="s">
        <v>3496</v>
      </c>
      <c r="L347" s="16">
        <v>1.0</v>
      </c>
    </row>
    <row r="348" ht="12.75" customHeight="1">
      <c r="A348" s="14" t="s">
        <v>97</v>
      </c>
      <c r="B348" s="14" t="s">
        <v>3497</v>
      </c>
      <c r="C348" s="14" t="s">
        <v>3499</v>
      </c>
      <c r="D348" s="14" t="s">
        <v>3502</v>
      </c>
      <c r="E348" s="14" t="s">
        <v>3509</v>
      </c>
      <c r="F348" s="15" t="str">
        <f>HYPERLINK("http://dx.doi.org/10.1016/j.scitotenv.2013.05.057","http://dx.doi.org/10.1016/j.scitotenv.2013.05.057")</f>
        <v>http://dx.doi.org/10.1016/j.scitotenv.2013.05.057</v>
      </c>
      <c r="G348" s="14" t="s">
        <v>1041</v>
      </c>
      <c r="H348" s="14" t="s">
        <v>3511</v>
      </c>
      <c r="K348" s="16">
        <v>1.0</v>
      </c>
    </row>
    <row r="349" ht="12.75" customHeight="1">
      <c r="A349" s="14" t="s">
        <v>97</v>
      </c>
      <c r="B349" s="14" t="s">
        <v>3392</v>
      </c>
      <c r="C349" s="14" t="s">
        <v>3394</v>
      </c>
      <c r="D349" s="14" t="s">
        <v>3397</v>
      </c>
      <c r="E349" s="14" t="s">
        <v>3407</v>
      </c>
      <c r="F349" s="15" t="str">
        <f>HYPERLINK("http://dx.doi.org/10.1016/j.scitotenv.2013.10.128","http://dx.doi.org/10.1016/j.scitotenv.2013.10.128")</f>
        <v>http://dx.doi.org/10.1016/j.scitotenv.2013.10.128</v>
      </c>
      <c r="G349" s="14" t="s">
        <v>1041</v>
      </c>
      <c r="H349" s="14" t="s">
        <v>3409</v>
      </c>
      <c r="L349" s="16">
        <v>1.0</v>
      </c>
    </row>
    <row r="350" ht="12.75" customHeight="1">
      <c r="A350" s="14" t="s">
        <v>97</v>
      </c>
      <c r="B350" s="14" t="s">
        <v>3373</v>
      </c>
      <c r="C350" s="14" t="s">
        <v>3375</v>
      </c>
      <c r="D350" s="14" t="s">
        <v>3378</v>
      </c>
      <c r="E350" s="14" t="s">
        <v>3389</v>
      </c>
      <c r="F350" s="15" t="str">
        <f>HYPERLINK("http://dx.doi.org/10.1073/pnas.1222475110","http://dx.doi.org/10.1073/pnas.1222475110")</f>
        <v>http://dx.doi.org/10.1073/pnas.1222475110</v>
      </c>
      <c r="G350" s="14" t="s">
        <v>799</v>
      </c>
      <c r="H350" s="14" t="s">
        <v>3391</v>
      </c>
      <c r="K350" s="16">
        <v>1.0</v>
      </c>
    </row>
    <row r="351" ht="12.75" customHeight="1">
      <c r="A351" s="14" t="s">
        <v>97</v>
      </c>
      <c r="B351" s="14" t="s">
        <v>3352</v>
      </c>
      <c r="C351" s="14" t="s">
        <v>3354</v>
      </c>
      <c r="D351" s="14" t="s">
        <v>3357</v>
      </c>
      <c r="E351" s="14" t="s">
        <v>3370</v>
      </c>
      <c r="F351" s="15" t="str">
        <f>HYPERLINK("http://dx.doi.org/10.1111/j.1600-0587.2013.00359.x","http://dx.doi.org/10.1111/j.1600-0587.2013.00359.x")</f>
        <v>http://dx.doi.org/10.1111/j.1600-0587.2013.00359.x</v>
      </c>
      <c r="G351" s="14" t="s">
        <v>550</v>
      </c>
      <c r="H351" s="14" t="s">
        <v>3372</v>
      </c>
      <c r="J351" s="16">
        <v>1.0</v>
      </c>
    </row>
    <row r="352" ht="12.75" customHeight="1">
      <c r="A352" s="14" t="s">
        <v>97</v>
      </c>
      <c r="B352" s="14" t="s">
        <v>3213</v>
      </c>
      <c r="C352" s="14" t="s">
        <v>3215</v>
      </c>
      <c r="D352" s="14" t="s">
        <v>3219</v>
      </c>
      <c r="E352" s="14" t="s">
        <v>3234</v>
      </c>
      <c r="F352" s="15" t="str">
        <f>HYPERLINK("http://dx.doi.org/10.1016/j.agrformet.2014.01.002","http://dx.doi.org/10.1016/j.agrformet.2014.01.002")</f>
        <v>http://dx.doi.org/10.1016/j.agrformet.2014.01.002</v>
      </c>
      <c r="G352" s="14" t="s">
        <v>3235</v>
      </c>
      <c r="H352" s="14" t="s">
        <v>3238</v>
      </c>
      <c r="L352" s="16">
        <v>1.0</v>
      </c>
    </row>
    <row r="353" ht="12.75" customHeight="1">
      <c r="A353" s="14" t="s">
        <v>97</v>
      </c>
      <c r="B353" s="14" t="s">
        <v>3333</v>
      </c>
      <c r="C353" s="14" t="s">
        <v>3335</v>
      </c>
      <c r="D353" s="14" t="s">
        <v>3338</v>
      </c>
      <c r="E353" s="14" t="s">
        <v>3349</v>
      </c>
      <c r="F353" s="15" t="str">
        <f>HYPERLINK("http://dx.doi.org/10.1007/s11270-014-1925-x","http://dx.doi.org/10.1007/s11270-014-1925-x")</f>
        <v>http://dx.doi.org/10.1007/s11270-014-1925-x</v>
      </c>
      <c r="G353" s="14" t="s">
        <v>3011</v>
      </c>
      <c r="H353" s="14" t="s">
        <v>3351</v>
      </c>
      <c r="L353" s="16">
        <v>1.0</v>
      </c>
    </row>
    <row r="354" ht="12.75" customHeight="1">
      <c r="A354" s="14" t="s">
        <v>97</v>
      </c>
      <c r="B354" s="14" t="s">
        <v>3258</v>
      </c>
      <c r="C354" s="14" t="s">
        <v>3260</v>
      </c>
      <c r="D354" s="14" t="s">
        <v>3264</v>
      </c>
      <c r="E354" s="14" t="s">
        <v>3278</v>
      </c>
      <c r="F354" s="15" t="str">
        <f>HYPERLINK("http://dx.doi.org/10.1002/ajp.22243","http://dx.doi.org/10.1002/ajp.22243")</f>
        <v>http://dx.doi.org/10.1002/ajp.22243</v>
      </c>
      <c r="G354" s="14" t="s">
        <v>121</v>
      </c>
      <c r="H354" s="14" t="s">
        <v>3280</v>
      </c>
      <c r="J354" s="16">
        <v>1.0</v>
      </c>
    </row>
    <row r="355" ht="12.75" customHeight="1">
      <c r="A355" s="14" t="s">
        <v>97</v>
      </c>
      <c r="B355" s="14" t="s">
        <v>3281</v>
      </c>
      <c r="C355" s="14" t="s">
        <v>3283</v>
      </c>
      <c r="D355" s="14" t="s">
        <v>3285</v>
      </c>
      <c r="E355" s="14" t="s">
        <v>3295</v>
      </c>
      <c r="F355" s="15" t="str">
        <f>HYPERLINK("http://dx.doi.org/10.1021/es500371t","http://dx.doi.org/10.1021/es500371t")</f>
        <v>http://dx.doi.org/10.1021/es500371t</v>
      </c>
      <c r="G355" s="14" t="s">
        <v>1439</v>
      </c>
      <c r="H355" s="14" t="s">
        <v>3297</v>
      </c>
      <c r="K355" s="16">
        <v>1.0</v>
      </c>
    </row>
    <row r="356" ht="12.75" customHeight="1">
      <c r="A356" s="14" t="s">
        <v>97</v>
      </c>
      <c r="B356" s="14" t="s">
        <v>3162</v>
      </c>
      <c r="C356" s="14" t="s">
        <v>3164</v>
      </c>
      <c r="D356" s="14" t="s">
        <v>3167</v>
      </c>
      <c r="E356" s="14" t="s">
        <v>3174</v>
      </c>
      <c r="F356" s="15" t="str">
        <f>HYPERLINK("http://dx.doi.org/10.1111/fwb.12353","http://dx.doi.org/10.1111/fwb.12353")</f>
        <v>http://dx.doi.org/10.1111/fwb.12353</v>
      </c>
      <c r="G356" s="14" t="s">
        <v>1274</v>
      </c>
      <c r="H356" s="14" t="s">
        <v>3176</v>
      </c>
      <c r="L356" s="16">
        <v>1.0</v>
      </c>
    </row>
    <row r="357" ht="12.75" customHeight="1">
      <c r="A357" s="14" t="s">
        <v>97</v>
      </c>
      <c r="B357" s="14" t="s">
        <v>3195</v>
      </c>
      <c r="C357" s="14" t="s">
        <v>3197</v>
      </c>
      <c r="D357" s="14" t="s">
        <v>3200</v>
      </c>
      <c r="E357" s="14" t="s">
        <v>3210</v>
      </c>
      <c r="F357" s="15" t="str">
        <f>HYPERLINK("http://dx.doi.org/10.1111/jbi.12289","http://dx.doi.org/10.1111/jbi.12289")</f>
        <v>http://dx.doi.org/10.1111/jbi.12289</v>
      </c>
      <c r="G357" s="14" t="s">
        <v>869</v>
      </c>
      <c r="H357" s="14" t="s">
        <v>3212</v>
      </c>
      <c r="N357" s="16">
        <v>1.0</v>
      </c>
    </row>
    <row r="358" ht="12.75" customHeight="1">
      <c r="A358" s="14" t="s">
        <v>97</v>
      </c>
      <c r="B358" s="14" t="s">
        <v>3177</v>
      </c>
      <c r="C358" s="14" t="s">
        <v>3179</v>
      </c>
      <c r="D358" s="14" t="s">
        <v>3182</v>
      </c>
      <c r="E358" s="14" t="s">
        <v>3192</v>
      </c>
      <c r="F358" s="15" t="str">
        <f>HYPERLINK("http://dx.doi.org/10.1073/pnas.1321082111","http://dx.doi.org/10.1073/pnas.1321082111")</f>
        <v>http://dx.doi.org/10.1073/pnas.1321082111</v>
      </c>
      <c r="G358" s="14" t="s">
        <v>799</v>
      </c>
      <c r="H358" s="14" t="s">
        <v>3194</v>
      </c>
      <c r="K358" s="16">
        <v>1.0</v>
      </c>
    </row>
    <row r="359" ht="12.75" customHeight="1">
      <c r="A359" s="14" t="s">
        <v>97</v>
      </c>
      <c r="B359" s="14" t="s">
        <v>3131</v>
      </c>
      <c r="C359" s="14" t="s">
        <v>3133</v>
      </c>
      <c r="D359" s="14" t="s">
        <v>3136</v>
      </c>
      <c r="E359" s="14" t="s">
        <v>3144</v>
      </c>
      <c r="F359" s="15" t="str">
        <f>HYPERLINK("http://dx.doi.org/10.1111/gcb.12513","http://dx.doi.org/10.1111/gcb.12513")</f>
        <v>http://dx.doi.org/10.1111/gcb.12513</v>
      </c>
      <c r="G359" s="14" t="s">
        <v>351</v>
      </c>
      <c r="H359" s="14" t="s">
        <v>3146</v>
      </c>
      <c r="M359" s="16">
        <v>1.0</v>
      </c>
    </row>
    <row r="360" ht="12.75" customHeight="1">
      <c r="A360" s="14" t="s">
        <v>97</v>
      </c>
      <c r="B360" s="14" t="s">
        <v>3147</v>
      </c>
      <c r="C360" s="14" t="s">
        <v>3149</v>
      </c>
      <c r="D360" s="14" t="s">
        <v>3152</v>
      </c>
      <c r="E360" s="14" t="s">
        <v>3160</v>
      </c>
      <c r="F360" s="15" t="str">
        <f>HYPERLINK("http://dx.doi.org/10.1111/gcb.12588","http://dx.doi.org/10.1111/gcb.12588")</f>
        <v>http://dx.doi.org/10.1111/gcb.12588</v>
      </c>
      <c r="G360" s="14" t="s">
        <v>351</v>
      </c>
      <c r="H360" s="14" t="s">
        <v>3161</v>
      </c>
      <c r="L360" s="16">
        <v>1.0</v>
      </c>
    </row>
    <row r="361" ht="12.75" customHeight="1">
      <c r="A361" s="14" t="s">
        <v>97</v>
      </c>
      <c r="B361" s="14" t="s">
        <v>3113</v>
      </c>
      <c r="C361" s="14" t="s">
        <v>3115</v>
      </c>
      <c r="D361" s="14" t="s">
        <v>3118</v>
      </c>
      <c r="E361" s="14" t="s">
        <v>3128</v>
      </c>
      <c r="F361" s="15" t="str">
        <f>HYPERLINK("http://dx.doi.org/10.1111/fwb.12380","http://dx.doi.org/10.1111/fwb.12380")</f>
        <v>http://dx.doi.org/10.1111/fwb.12380</v>
      </c>
      <c r="G361" s="14" t="s">
        <v>1274</v>
      </c>
      <c r="H361" s="14" t="s">
        <v>3130</v>
      </c>
      <c r="L361" s="16">
        <v>1.0</v>
      </c>
    </row>
    <row r="362" ht="12.75" customHeight="1">
      <c r="A362" s="14" t="s">
        <v>97</v>
      </c>
      <c r="B362" s="14" t="s">
        <v>3015</v>
      </c>
      <c r="C362" s="14" t="s">
        <v>3017</v>
      </c>
      <c r="D362" s="14" t="s">
        <v>3021</v>
      </c>
      <c r="E362" s="14" t="s">
        <v>3034</v>
      </c>
      <c r="F362" s="15" t="str">
        <f>HYPERLINK("http://dx.doi.org/10.1016/j.gloplacha.2014.07.007","http://dx.doi.org/10.1016/j.gloplacha.2014.07.007")</f>
        <v>http://dx.doi.org/10.1016/j.gloplacha.2014.07.007</v>
      </c>
      <c r="G362" s="14" t="s">
        <v>3035</v>
      </c>
      <c r="H362" s="14" t="s">
        <v>3038</v>
      </c>
      <c r="L362" s="16">
        <v>1.0</v>
      </c>
    </row>
    <row r="363" ht="12.75" customHeight="1">
      <c r="A363" s="14" t="s">
        <v>97</v>
      </c>
      <c r="B363" s="14" t="s">
        <v>3062</v>
      </c>
      <c r="C363" s="14" t="s">
        <v>3064</v>
      </c>
      <c r="D363" s="14" t="s">
        <v>3068</v>
      </c>
      <c r="E363" s="14" t="s">
        <v>3085</v>
      </c>
      <c r="F363" s="15" t="str">
        <f>HYPERLINK("http://dx.doi.org/10.1093/icesjms/fst222","http://dx.doi.org/10.1093/icesjms/fst222")</f>
        <v>http://dx.doi.org/10.1093/icesjms/fst222</v>
      </c>
      <c r="G363" s="14" t="s">
        <v>3086</v>
      </c>
      <c r="H363" s="14" t="s">
        <v>3088</v>
      </c>
      <c r="L363" s="16">
        <v>1.0</v>
      </c>
    </row>
    <row r="364" ht="12.75" customHeight="1">
      <c r="A364" s="14" t="s">
        <v>97</v>
      </c>
      <c r="B364" s="14" t="s">
        <v>2947</v>
      </c>
      <c r="C364" s="14" t="s">
        <v>2949</v>
      </c>
      <c r="D364" s="14" t="s">
        <v>2953</v>
      </c>
      <c r="E364" s="14" t="s">
        <v>2967</v>
      </c>
      <c r="F364" s="15" t="str">
        <f>HYPERLINK("http://dx.doi.org/10.1111/gfs.12073","http://dx.doi.org/10.1111/gfs.12073")</f>
        <v>http://dx.doi.org/10.1111/gfs.12073</v>
      </c>
      <c r="G364" s="14" t="s">
        <v>2968</v>
      </c>
      <c r="H364" s="14" t="s">
        <v>2971</v>
      </c>
      <c r="L364" s="16">
        <v>1.0</v>
      </c>
    </row>
    <row r="365" ht="12.75" customHeight="1">
      <c r="A365" s="14" t="s">
        <v>97</v>
      </c>
      <c r="B365" s="14" t="s">
        <v>2991</v>
      </c>
      <c r="C365" s="14" t="s">
        <v>2993</v>
      </c>
      <c r="D365" s="14" t="s">
        <v>2997</v>
      </c>
      <c r="E365" s="14" t="s">
        <v>3010</v>
      </c>
      <c r="F365" s="15" t="str">
        <f>HYPERLINK("http://dx.doi.org/10.1007/s11270-014-2186-4","http://dx.doi.org/10.1007/s11270-014-2186-4")</f>
        <v>http://dx.doi.org/10.1007/s11270-014-2186-4</v>
      </c>
      <c r="G365" s="14" t="s">
        <v>3011</v>
      </c>
      <c r="H365" s="14" t="s">
        <v>3014</v>
      </c>
      <c r="K365" s="16">
        <v>1.0</v>
      </c>
    </row>
    <row r="366" ht="12.75" customHeight="1">
      <c r="A366" s="14" t="s">
        <v>97</v>
      </c>
      <c r="B366" s="14" t="s">
        <v>2861</v>
      </c>
      <c r="C366" s="14" t="s">
        <v>2863</v>
      </c>
      <c r="D366" s="14" t="s">
        <v>2866</v>
      </c>
      <c r="E366" s="14" t="s">
        <v>2876</v>
      </c>
      <c r="F366" s="15" t="str">
        <f>HYPERLINK("http://dx.doi.org/10.1016/j.scitotenv.2014.06.081","http://dx.doi.org/10.1016/j.scitotenv.2014.06.081")</f>
        <v>http://dx.doi.org/10.1016/j.scitotenv.2014.06.081</v>
      </c>
      <c r="G366" s="14" t="s">
        <v>1041</v>
      </c>
      <c r="H366" s="14" t="s">
        <v>2879</v>
      </c>
      <c r="K366" s="16">
        <v>1.0</v>
      </c>
    </row>
    <row r="367" ht="12.75" customHeight="1">
      <c r="A367" s="14" t="s">
        <v>97</v>
      </c>
      <c r="B367" s="14" t="s">
        <v>2880</v>
      </c>
      <c r="C367" s="14" t="s">
        <v>2882</v>
      </c>
      <c r="D367" s="14" t="s">
        <v>2889</v>
      </c>
      <c r="E367" s="14" t="s">
        <v>2900</v>
      </c>
      <c r="F367" s="15" t="str">
        <f>HYPERLINK("http://dx.doi.org/10.1016/j.jmarsys.2014.03.012","http://dx.doi.org/10.1016/j.jmarsys.2014.03.012")</f>
        <v>http://dx.doi.org/10.1016/j.jmarsys.2014.03.012</v>
      </c>
      <c r="G367" s="14" t="s">
        <v>2901</v>
      </c>
      <c r="H367" s="14" t="s">
        <v>2904</v>
      </c>
      <c r="M367" s="16">
        <v>1.0</v>
      </c>
    </row>
    <row r="368" ht="12.75" customHeight="1">
      <c r="A368" s="14" t="s">
        <v>97</v>
      </c>
      <c r="B368" s="14" t="s">
        <v>2840</v>
      </c>
      <c r="C368" s="14" t="s">
        <v>2842</v>
      </c>
      <c r="D368" s="14" t="s">
        <v>2846</v>
      </c>
      <c r="E368" s="14" t="s">
        <v>2858</v>
      </c>
      <c r="F368" s="15" t="str">
        <f>HYPERLINK("http://dx.doi.org/10.1016/j.jenvman.2014.01.020","http://dx.doi.org/10.1016/j.jenvman.2014.01.020")</f>
        <v>http://dx.doi.org/10.1016/j.jenvman.2014.01.020</v>
      </c>
      <c r="G368" s="14" t="s">
        <v>1041</v>
      </c>
      <c r="H368" s="14" t="s">
        <v>2860</v>
      </c>
      <c r="L368" s="16">
        <v>1.0</v>
      </c>
    </row>
    <row r="369" ht="12.75" customHeight="1">
      <c r="A369" s="14" t="s">
        <v>97</v>
      </c>
      <c r="B369" s="14" t="s">
        <v>2755</v>
      </c>
      <c r="C369" s="14" t="s">
        <v>2757</v>
      </c>
      <c r="D369" s="14" t="s">
        <v>2760</v>
      </c>
      <c r="E369" s="14" t="s">
        <v>2770</v>
      </c>
      <c r="F369" s="15" t="str">
        <f>HYPERLINK("http://dx.doi.org/10.1016/j.ecolind.2014.10.019","http://dx.doi.org/10.1016/j.ecolind.2014.10.019")</f>
        <v>http://dx.doi.org/10.1016/j.ecolind.2014.10.019</v>
      </c>
      <c r="G369" s="14" t="s">
        <v>598</v>
      </c>
      <c r="H369" s="14" t="s">
        <v>2772</v>
      </c>
      <c r="M369" s="16">
        <v>1.0</v>
      </c>
    </row>
    <row r="370" ht="12.75" customHeight="1">
      <c r="A370" s="14" t="s">
        <v>97</v>
      </c>
      <c r="B370" s="14" t="s">
        <v>2773</v>
      </c>
      <c r="C370" s="14" t="s">
        <v>2775</v>
      </c>
      <c r="D370" s="14" t="s">
        <v>2777</v>
      </c>
      <c r="E370" s="14" t="s">
        <v>2787</v>
      </c>
      <c r="F370" s="15" t="str">
        <f>HYPERLINK("http://dx.doi.org/10.1126/science.1260352","http://dx.doi.org/10.1126/science.1260352")</f>
        <v>http://dx.doi.org/10.1126/science.1260352</v>
      </c>
      <c r="G370" s="14" t="s">
        <v>799</v>
      </c>
      <c r="H370" s="14" t="s">
        <v>2789</v>
      </c>
      <c r="K370" s="16">
        <v>1.0</v>
      </c>
    </row>
    <row r="371" ht="12.75" customHeight="1">
      <c r="A371" s="14" t="s">
        <v>97</v>
      </c>
      <c r="B371" s="14" t="s">
        <v>2813</v>
      </c>
      <c r="C371" s="14" t="s">
        <v>2815</v>
      </c>
      <c r="D371" s="14" t="s">
        <v>2821</v>
      </c>
      <c r="E371" s="14" t="s">
        <v>2834</v>
      </c>
      <c r="F371" s="15" t="str">
        <f>HYPERLINK("http://dx.doi.org/10.3390/su7022086","http://dx.doi.org/10.3390/su7022086")</f>
        <v>http://dx.doi.org/10.3390/su7022086</v>
      </c>
      <c r="G371" s="14" t="s">
        <v>2835</v>
      </c>
      <c r="H371" s="14" t="s">
        <v>2839</v>
      </c>
      <c r="K371" s="16">
        <v>1.0</v>
      </c>
    </row>
    <row r="372" ht="12.75" customHeight="1">
      <c r="A372" s="14" t="s">
        <v>97</v>
      </c>
      <c r="B372" s="14" t="s">
        <v>2790</v>
      </c>
      <c r="C372" s="14" t="s">
        <v>2792</v>
      </c>
      <c r="D372" s="14" t="s">
        <v>2795</v>
      </c>
      <c r="E372" s="14" t="s">
        <v>2809</v>
      </c>
      <c r="F372" s="15" t="str">
        <f>HYPERLINK("http://dx.doi.org/10.1038/NCLIMATE2492","http://dx.doi.org/10.1038/NCLIMATE2492")</f>
        <v>http://dx.doi.org/10.1038/NCLIMATE2492</v>
      </c>
      <c r="G372" s="14" t="s">
        <v>2810</v>
      </c>
      <c r="H372" s="14" t="s">
        <v>2812</v>
      </c>
      <c r="K372" s="16">
        <v>1.0</v>
      </c>
    </row>
    <row r="373" ht="12.75" customHeight="1">
      <c r="A373" s="14" t="s">
        <v>97</v>
      </c>
      <c r="B373" s="14" t="s">
        <v>2676</v>
      </c>
      <c r="C373" s="14" t="s">
        <v>2678</v>
      </c>
      <c r="D373" s="14" t="s">
        <v>2681</v>
      </c>
      <c r="E373" s="14" t="s">
        <v>2691</v>
      </c>
      <c r="F373" s="15" t="str">
        <f>HYPERLINK("http://dx.doi.org/10.1111/gcb.12795","http://dx.doi.org/10.1111/gcb.12795")</f>
        <v>http://dx.doi.org/10.1111/gcb.12795</v>
      </c>
      <c r="G373" s="14" t="s">
        <v>351</v>
      </c>
      <c r="H373" s="14" t="s">
        <v>2693</v>
      </c>
      <c r="L373" s="16">
        <v>1.0</v>
      </c>
    </row>
    <row r="374" ht="12.75" customHeight="1">
      <c r="A374" s="14" t="s">
        <v>97</v>
      </c>
      <c r="B374" s="14" t="s">
        <v>2694</v>
      </c>
      <c r="C374" s="14" t="s">
        <v>2696</v>
      </c>
      <c r="D374" s="14" t="s">
        <v>2698</v>
      </c>
      <c r="E374" s="14" t="s">
        <v>2709</v>
      </c>
      <c r="F374" s="15" t="str">
        <f>HYPERLINK("http://dx.doi.org/10.1371/journal.pone.0120198","http://dx.doi.org/10.1371/journal.pone.0120198")</f>
        <v>http://dx.doi.org/10.1371/journal.pone.0120198</v>
      </c>
      <c r="G374" s="14" t="s">
        <v>799</v>
      </c>
      <c r="H374" s="14" t="s">
        <v>2711</v>
      </c>
      <c r="L374" s="16">
        <v>1.0</v>
      </c>
    </row>
    <row r="375" ht="12.75" customHeight="1">
      <c r="A375" s="14" t="s">
        <v>97</v>
      </c>
      <c r="B375" s="14" t="s">
        <v>2639</v>
      </c>
      <c r="C375" s="14" t="s">
        <v>2641</v>
      </c>
      <c r="D375" s="14" t="s">
        <v>2644</v>
      </c>
      <c r="E375" s="14" t="s">
        <v>2654</v>
      </c>
      <c r="F375" s="15" t="str">
        <f>HYPERLINK("http://dx.doi.org/10.1016/j.fishres.2014.12.016","http://dx.doi.org/10.1016/j.fishres.2014.12.016")</f>
        <v>http://dx.doi.org/10.1016/j.fishres.2014.12.016</v>
      </c>
      <c r="G375" s="14" t="s">
        <v>894</v>
      </c>
      <c r="H375" s="14" t="s">
        <v>2656</v>
      </c>
      <c r="L375" s="16">
        <v>1.0</v>
      </c>
    </row>
    <row r="376" ht="12.75" customHeight="1">
      <c r="A376" s="14" t="s">
        <v>97</v>
      </c>
      <c r="B376" s="14" t="s">
        <v>2657</v>
      </c>
      <c r="C376" s="14" t="s">
        <v>2659</v>
      </c>
      <c r="D376" s="14" t="s">
        <v>2662</v>
      </c>
      <c r="E376" s="14" t="s">
        <v>2673</v>
      </c>
      <c r="F376" s="15" t="str">
        <f>HYPERLINK("http://dx.doi.org/10.1073/pnas.1504345112","http://dx.doi.org/10.1073/pnas.1504345112")</f>
        <v>http://dx.doi.org/10.1073/pnas.1504345112</v>
      </c>
      <c r="G376" s="14" t="s">
        <v>799</v>
      </c>
      <c r="H376" s="14" t="s">
        <v>2675</v>
      </c>
      <c r="K376" s="16">
        <v>1.0</v>
      </c>
    </row>
    <row r="377" ht="12.75" customHeight="1">
      <c r="A377" s="14" t="s">
        <v>97</v>
      </c>
      <c r="B377" s="14" t="s">
        <v>2621</v>
      </c>
      <c r="C377" s="14" t="s">
        <v>2623</v>
      </c>
      <c r="D377" s="14" t="s">
        <v>2626</v>
      </c>
      <c r="E377" s="14" t="s">
        <v>2636</v>
      </c>
      <c r="F377" s="15" t="str">
        <f>HYPERLINK("http://dx.doi.org/10.1073/pnas.1500232112","http://dx.doi.org/10.1073/pnas.1500232112")</f>
        <v>http://dx.doi.org/10.1073/pnas.1500232112</v>
      </c>
      <c r="G377" s="14" t="s">
        <v>799</v>
      </c>
      <c r="H377" s="14" t="s">
        <v>2638</v>
      </c>
      <c r="K377" s="16">
        <v>1.0</v>
      </c>
    </row>
    <row r="378" ht="12.75" customHeight="1">
      <c r="A378" s="14" t="s">
        <v>97</v>
      </c>
      <c r="B378" s="14" t="s">
        <v>2602</v>
      </c>
      <c r="C378" s="14" t="s">
        <v>2604</v>
      </c>
      <c r="D378" s="14" t="s">
        <v>2606</v>
      </c>
      <c r="E378" s="14" t="s">
        <v>2618</v>
      </c>
      <c r="F378" s="15" t="str">
        <f>HYPERLINK("http://dx.doi.org/10.1371/journal.pone.0127533","http://dx.doi.org/10.1371/journal.pone.0127533")</f>
        <v>http://dx.doi.org/10.1371/journal.pone.0127533</v>
      </c>
      <c r="G378" s="14" t="s">
        <v>799</v>
      </c>
      <c r="H378" s="14" t="s">
        <v>2620</v>
      </c>
      <c r="K378" s="16">
        <v>1.0</v>
      </c>
    </row>
    <row r="379" ht="12.75" customHeight="1">
      <c r="A379" s="14" t="s">
        <v>97</v>
      </c>
      <c r="B379" s="14" t="s">
        <v>2563</v>
      </c>
      <c r="C379" s="14" t="s">
        <v>2565</v>
      </c>
      <c r="D379" s="14" t="s">
        <v>2568</v>
      </c>
      <c r="E379" s="14" t="s">
        <v>2582</v>
      </c>
      <c r="F379" s="15" t="str">
        <f>HYPERLINK("http://dx.doi.org/10.1126/science.aaa8913","http://dx.doi.org/10.1126/science.aaa8913")</f>
        <v>http://dx.doi.org/10.1126/science.aaa8913</v>
      </c>
      <c r="G379" s="14" t="s">
        <v>799</v>
      </c>
      <c r="H379" s="14" t="s">
        <v>2584</v>
      </c>
      <c r="K379" s="16">
        <v>1.0</v>
      </c>
    </row>
    <row r="380" ht="12.75" customHeight="1">
      <c r="A380" s="14" t="s">
        <v>97</v>
      </c>
      <c r="B380" s="14" t="s">
        <v>2585</v>
      </c>
      <c r="C380" s="14" t="s">
        <v>2587</v>
      </c>
      <c r="D380" s="14" t="s">
        <v>2589</v>
      </c>
      <c r="E380" s="14" t="s">
        <v>2599</v>
      </c>
      <c r="F380" s="15" t="str">
        <f>HYPERLINK("http://dx.doi.org/10.5670/oceanog.2015.29","http://dx.doi.org/10.5670/oceanog.2015.29")</f>
        <v>http://dx.doi.org/10.5670/oceanog.2015.29</v>
      </c>
      <c r="G380" s="14" t="s">
        <v>2034</v>
      </c>
      <c r="H380" s="14" t="s">
        <v>2601</v>
      </c>
      <c r="K380" s="16">
        <v>1.0</v>
      </c>
    </row>
    <row r="381" ht="12.75" customHeight="1">
      <c r="A381" s="14" t="s">
        <v>97</v>
      </c>
      <c r="B381" s="14" t="s">
        <v>2522</v>
      </c>
      <c r="C381" s="14" t="s">
        <v>2524</v>
      </c>
      <c r="D381" s="14" t="s">
        <v>2526</v>
      </c>
      <c r="E381" s="14" t="s">
        <v>2536</v>
      </c>
      <c r="F381" s="15" t="str">
        <f>HYPERLINK("http://dx.doi.org/10.1038/ncomms8615","http://dx.doi.org/10.1038/ncomms8615")</f>
        <v>http://dx.doi.org/10.1038/ncomms8615</v>
      </c>
      <c r="G381" s="14" t="s">
        <v>799</v>
      </c>
      <c r="H381" s="14" t="s">
        <v>2538</v>
      </c>
      <c r="K381" s="16">
        <v>1.0</v>
      </c>
    </row>
    <row r="382" ht="12.75" customHeight="1">
      <c r="A382" s="14" t="s">
        <v>97</v>
      </c>
      <c r="B382" s="14" t="s">
        <v>2497</v>
      </c>
      <c r="C382" s="14" t="s">
        <v>2499</v>
      </c>
      <c r="D382" s="14" t="s">
        <v>2502</v>
      </c>
      <c r="E382" s="14" t="s">
        <v>2519</v>
      </c>
      <c r="F382" s="15" t="str">
        <f>HYPERLINK("http://dx.doi.org/10.1371/journal.pone.0135152","http://dx.doi.org/10.1371/journal.pone.0135152")</f>
        <v>http://dx.doi.org/10.1371/journal.pone.0135152</v>
      </c>
      <c r="G382" s="14" t="s">
        <v>799</v>
      </c>
      <c r="H382" s="14" t="s">
        <v>2521</v>
      </c>
      <c r="L382" s="16">
        <v>1.0</v>
      </c>
    </row>
    <row r="383" ht="12.75" customHeight="1">
      <c r="A383" s="14" t="s">
        <v>97</v>
      </c>
      <c r="B383" s="14" t="s">
        <v>2539</v>
      </c>
      <c r="C383" s="14" t="s">
        <v>2541</v>
      </c>
      <c r="D383" s="14" t="s">
        <v>2545</v>
      </c>
      <c r="E383" s="14" t="s">
        <v>2559</v>
      </c>
      <c r="F383" s="15" t="str">
        <f>HYPERLINK("http://dx.doi.org/10.1002/2015WR017349","http://dx.doi.org/10.1002/2015WR017349")</f>
        <v>http://dx.doi.org/10.1002/2015WR017349</v>
      </c>
      <c r="G383" s="14" t="s">
        <v>2560</v>
      </c>
      <c r="H383" s="14" t="s">
        <v>2562</v>
      </c>
      <c r="K383" s="16">
        <v>1.0</v>
      </c>
    </row>
    <row r="384" ht="12.75" customHeight="1">
      <c r="A384" s="14" t="s">
        <v>97</v>
      </c>
      <c r="B384" s="14" t="s">
        <v>2376</v>
      </c>
      <c r="C384" s="14" t="s">
        <v>2378</v>
      </c>
      <c r="D384" s="14" t="s">
        <v>2381</v>
      </c>
      <c r="E384" s="14" t="s">
        <v>2391</v>
      </c>
      <c r="F384" s="15" t="str">
        <f>HYPERLINK("http://dx.doi.org/10.1111/gcb.12993","http://dx.doi.org/10.1111/gcb.12993")</f>
        <v>http://dx.doi.org/10.1111/gcb.12993</v>
      </c>
      <c r="G384" s="14" t="s">
        <v>351</v>
      </c>
      <c r="H384" s="14" t="s">
        <v>2393</v>
      </c>
      <c r="L384" s="16">
        <v>1.0</v>
      </c>
    </row>
    <row r="385" ht="12.75" customHeight="1">
      <c r="A385" s="14" t="s">
        <v>97</v>
      </c>
      <c r="B385" s="14" t="s">
        <v>2439</v>
      </c>
      <c r="C385" s="14" t="s">
        <v>2441</v>
      </c>
      <c r="D385" s="14" t="s">
        <v>2443</v>
      </c>
      <c r="E385" s="14" t="s">
        <v>2454</v>
      </c>
      <c r="F385" s="15" t="str">
        <f>HYPERLINK("http://dx.doi.org/10.1038/nature15371","http://dx.doi.org/10.1038/nature15371")</f>
        <v>http://dx.doi.org/10.1038/nature15371</v>
      </c>
      <c r="G385" s="14" t="s">
        <v>799</v>
      </c>
      <c r="H385" s="14" t="s">
        <v>2456</v>
      </c>
      <c r="K385" s="16">
        <v>1.0</v>
      </c>
    </row>
    <row r="386" ht="12.75" customHeight="1">
      <c r="A386" s="14" t="s">
        <v>97</v>
      </c>
      <c r="B386" s="14" t="s">
        <v>2354</v>
      </c>
      <c r="C386" s="14" t="s">
        <v>2356</v>
      </c>
      <c r="D386" s="14" t="s">
        <v>2359</v>
      </c>
      <c r="E386" s="14" t="s">
        <v>2373</v>
      </c>
      <c r="F386" s="15" t="str">
        <f>HYPERLINK("http://dx.doi.org/10.1007/s10584-015-1448-5","http://dx.doi.org/10.1007/s10584-015-1448-5")</f>
        <v>http://dx.doi.org/10.1007/s10584-015-1448-5</v>
      </c>
      <c r="G386" s="14" t="s">
        <v>573</v>
      </c>
      <c r="H386" s="14" t="s">
        <v>2375</v>
      </c>
      <c r="L386" s="16">
        <v>1.0</v>
      </c>
    </row>
    <row r="387" ht="12.75" customHeight="1">
      <c r="A387" s="14" t="s">
        <v>97</v>
      </c>
      <c r="B387" s="14" t="s">
        <v>2457</v>
      </c>
      <c r="C387" s="14" t="s">
        <v>2459</v>
      </c>
      <c r="D387" s="14" t="s">
        <v>2462</v>
      </c>
      <c r="E387" s="14" t="s">
        <v>2475</v>
      </c>
      <c r="F387" s="15" t="str">
        <f>HYPERLINK("http://dx.doi.org/10.2981/wlb.00095","http://dx.doi.org/10.2981/wlb.00095")</f>
        <v>http://dx.doi.org/10.2981/wlb.00095</v>
      </c>
      <c r="G387" s="14" t="s">
        <v>189</v>
      </c>
      <c r="H387" s="14" t="s">
        <v>2477</v>
      </c>
      <c r="J387" s="16">
        <v>1.0</v>
      </c>
    </row>
    <row r="388" ht="12.75" customHeight="1">
      <c r="A388" s="14" t="s">
        <v>97</v>
      </c>
      <c r="B388" s="14" t="s">
        <v>2394</v>
      </c>
      <c r="C388" s="14" t="s">
        <v>2396</v>
      </c>
      <c r="D388" s="14" t="s">
        <v>2403</v>
      </c>
      <c r="E388" s="14" t="s">
        <v>2417</v>
      </c>
      <c r="F388" s="15" t="str">
        <f>HYPERLINK("http://dx.doi.org/10.1016/j.ocecoaman.2015.05.021","http://dx.doi.org/10.1016/j.ocecoaman.2015.05.021")</f>
        <v>http://dx.doi.org/10.1016/j.ocecoaman.2015.05.021</v>
      </c>
      <c r="G388" s="14" t="s">
        <v>2418</v>
      </c>
      <c r="H388" s="14" t="s">
        <v>2420</v>
      </c>
      <c r="K388" s="16">
        <v>1.0</v>
      </c>
    </row>
    <row r="389" ht="12.75" customHeight="1">
      <c r="A389" s="14" t="s">
        <v>97</v>
      </c>
      <c r="B389" s="14" t="s">
        <v>2314</v>
      </c>
      <c r="C389" s="14" t="s">
        <v>2316</v>
      </c>
      <c r="D389" s="14" t="s">
        <v>2318</v>
      </c>
      <c r="E389" s="14" t="s">
        <v>2326</v>
      </c>
      <c r="F389" s="15" t="str">
        <f>HYPERLINK("http://dx.doi.org/10.1038/nature15725","http://dx.doi.org/10.1038/nature15725")</f>
        <v>http://dx.doi.org/10.1038/nature15725</v>
      </c>
      <c r="G389" s="14" t="s">
        <v>799</v>
      </c>
      <c r="H389" s="14" t="s">
        <v>2328</v>
      </c>
      <c r="K389" s="16">
        <v>1.0</v>
      </c>
    </row>
    <row r="390" ht="12.75" customHeight="1">
      <c r="A390" s="14" t="s">
        <v>284</v>
      </c>
      <c r="B390" s="14" t="s">
        <v>285</v>
      </c>
      <c r="C390" s="14" t="s">
        <v>288</v>
      </c>
      <c r="D390" s="14" t="s">
        <v>99</v>
      </c>
      <c r="E390" s="14" t="s">
        <v>99</v>
      </c>
      <c r="F390" s="14" t="s">
        <v>99</v>
      </c>
      <c r="G390" s="14" t="s">
        <v>301</v>
      </c>
      <c r="H390" s="14" t="s">
        <v>305</v>
      </c>
      <c r="L390" s="16">
        <v>1.0</v>
      </c>
    </row>
    <row r="391" ht="12.75" customHeight="1">
      <c r="A391" s="14" t="s">
        <v>97</v>
      </c>
      <c r="B391" s="14" t="s">
        <v>2218</v>
      </c>
      <c r="C391" s="14" t="s">
        <v>2220</v>
      </c>
      <c r="D391" s="14" t="s">
        <v>2224</v>
      </c>
      <c r="E391" s="14" t="s">
        <v>2241</v>
      </c>
      <c r="F391" s="15" t="str">
        <f>HYPERLINK("http://dx.doi.org/10.1016/j.envres.2015.09.002","http://dx.doi.org/10.1016/j.envres.2015.09.002")</f>
        <v>http://dx.doi.org/10.1016/j.envres.2015.09.002</v>
      </c>
      <c r="G391" s="14" t="s">
        <v>2242</v>
      </c>
      <c r="H391" s="14" t="s">
        <v>2245</v>
      </c>
      <c r="L391" s="16">
        <v>1.0</v>
      </c>
    </row>
    <row r="392" ht="12.75" customHeight="1">
      <c r="A392" s="14" t="s">
        <v>97</v>
      </c>
      <c r="B392" s="14" t="s">
        <v>2329</v>
      </c>
      <c r="C392" s="14" t="s">
        <v>2331</v>
      </c>
      <c r="D392" s="14" t="s">
        <v>2335</v>
      </c>
      <c r="E392" s="14" t="s">
        <v>2349</v>
      </c>
      <c r="F392" s="15" t="str">
        <f>HYPERLINK("http://dx.doi.org/10.1016/j.gloenvcha.2015.08.011","http://dx.doi.org/10.1016/j.gloenvcha.2015.08.011")</f>
        <v>http://dx.doi.org/10.1016/j.gloenvcha.2015.08.011</v>
      </c>
      <c r="G392" s="14" t="s">
        <v>2350</v>
      </c>
      <c r="H392" s="14" t="s">
        <v>2353</v>
      </c>
      <c r="K392" s="16">
        <v>1.0</v>
      </c>
    </row>
    <row r="393" ht="12.75" customHeight="1">
      <c r="A393" s="14" t="s">
        <v>97</v>
      </c>
      <c r="B393" s="14" t="s">
        <v>2261</v>
      </c>
      <c r="C393" s="14" t="s">
        <v>2263</v>
      </c>
      <c r="D393" s="14" t="s">
        <v>2266</v>
      </c>
      <c r="E393" s="14" t="s">
        <v>2277</v>
      </c>
      <c r="F393" s="15" t="str">
        <f>HYPERLINK("http://dx.doi.org/10.1016/j.marpolbul.2015.10.042","http://dx.doi.org/10.1016/j.marpolbul.2015.10.042")</f>
        <v>http://dx.doi.org/10.1016/j.marpolbul.2015.10.042</v>
      </c>
      <c r="G393" s="14" t="s">
        <v>396</v>
      </c>
      <c r="H393" s="14" t="s">
        <v>2279</v>
      </c>
      <c r="K393" s="16">
        <v>1.0</v>
      </c>
    </row>
    <row r="394" ht="12.75" customHeight="1">
      <c r="A394" s="14" t="s">
        <v>97</v>
      </c>
      <c r="B394" s="14" t="s">
        <v>2905</v>
      </c>
      <c r="C394" s="14" t="s">
        <v>2907</v>
      </c>
      <c r="D394" s="14" t="s">
        <v>2911</v>
      </c>
      <c r="E394" s="14" t="s">
        <v>2923</v>
      </c>
      <c r="F394" s="15" t="str">
        <f>HYPERLINK("http://dx.doi.org/10.1016/j.flora.2015.09.013","http://dx.doi.org/10.1016/j.flora.2015.09.013")</f>
        <v>http://dx.doi.org/10.1016/j.flora.2015.09.013</v>
      </c>
      <c r="G394" s="14" t="s">
        <v>2924</v>
      </c>
      <c r="H394" s="14" t="s">
        <v>2927</v>
      </c>
      <c r="L394" s="16">
        <v>1.0</v>
      </c>
    </row>
    <row r="395" ht="12.75" customHeight="1">
      <c r="A395" s="14" t="s">
        <v>97</v>
      </c>
      <c r="B395" s="14" t="s">
        <v>2478</v>
      </c>
      <c r="C395" s="14" t="s">
        <v>2480</v>
      </c>
      <c r="D395" s="14" t="s">
        <v>2483</v>
      </c>
      <c r="E395" s="14" t="s">
        <v>2494</v>
      </c>
      <c r="F395" s="15" t="str">
        <f>HYPERLINK("http://dx.doi.org/10.1088/1748-9326/10/9/094015","http://dx.doi.org/10.1088/1748-9326/10/9/094015")</f>
        <v>http://dx.doi.org/10.1088/1748-9326/10/9/094015</v>
      </c>
      <c r="G395" s="14" t="s">
        <v>573</v>
      </c>
      <c r="H395" s="14" t="s">
        <v>2496</v>
      </c>
      <c r="K395" s="16">
        <v>1.0</v>
      </c>
    </row>
    <row r="396" ht="12.75" customHeight="1">
      <c r="A396" s="14" t="s">
        <v>97</v>
      </c>
      <c r="B396" s="14" t="s">
        <v>2246</v>
      </c>
      <c r="C396" s="14" t="s">
        <v>2248</v>
      </c>
      <c r="D396" s="14" t="s">
        <v>2251</v>
      </c>
      <c r="E396" s="14" t="s">
        <v>2258</v>
      </c>
      <c r="F396" s="15" t="str">
        <f>HYPERLINK("http://dx.doi.org/10.1111/gcb.13091","http://dx.doi.org/10.1111/gcb.13091")</f>
        <v>http://dx.doi.org/10.1111/gcb.13091</v>
      </c>
      <c r="G396" s="14" t="s">
        <v>351</v>
      </c>
      <c r="H396" s="14" t="s">
        <v>2260</v>
      </c>
      <c r="L396" s="16">
        <v>1.0</v>
      </c>
    </row>
    <row r="397" ht="12.75" customHeight="1">
      <c r="A397" s="14" t="s">
        <v>97</v>
      </c>
      <c r="B397" s="14" t="s">
        <v>2139</v>
      </c>
      <c r="C397" s="14" t="s">
        <v>2141</v>
      </c>
      <c r="D397" s="14" t="s">
        <v>2145</v>
      </c>
      <c r="E397" s="14" t="s">
        <v>2159</v>
      </c>
      <c r="F397" s="15" t="str">
        <f>HYPERLINK("http://dx.doi.org/10.1111/cobi.12576","http://dx.doi.org/10.1111/cobi.12576")</f>
        <v>http://dx.doi.org/10.1111/cobi.12576</v>
      </c>
      <c r="G397" s="14" t="s">
        <v>351</v>
      </c>
      <c r="H397" s="14" t="s">
        <v>2161</v>
      </c>
      <c r="L397" s="16">
        <v>1.0</v>
      </c>
    </row>
    <row r="398" ht="12.75" customHeight="1">
      <c r="A398" s="14" t="s">
        <v>97</v>
      </c>
      <c r="B398" s="14" t="s">
        <v>2101</v>
      </c>
      <c r="C398" s="14" t="s">
        <v>2103</v>
      </c>
      <c r="D398" s="14" t="s">
        <v>2107</v>
      </c>
      <c r="E398" s="14" t="s">
        <v>2120</v>
      </c>
      <c r="F398" s="15" t="str">
        <f>HYPERLINK("http://dx.doi.org/10.1016/j.jglr.2015.11.006","http://dx.doi.org/10.1016/j.jglr.2015.11.006")</f>
        <v>http://dx.doi.org/10.1016/j.jglr.2015.11.006</v>
      </c>
      <c r="G398" s="14" t="s">
        <v>2121</v>
      </c>
      <c r="H398" s="14" t="s">
        <v>2123</v>
      </c>
      <c r="L398" s="16">
        <v>1.0</v>
      </c>
    </row>
    <row r="399" ht="12.75" customHeight="1">
      <c r="A399" s="14" t="s">
        <v>97</v>
      </c>
      <c r="B399" s="14" t="s">
        <v>2124</v>
      </c>
      <c r="C399" s="14" t="s">
        <v>2126</v>
      </c>
      <c r="D399" s="14" t="s">
        <v>2129</v>
      </c>
      <c r="E399" s="14" t="s">
        <v>2136</v>
      </c>
      <c r="F399" s="15" t="str">
        <f>HYPERLINK("http://dx.doi.org/10.1007/s10531-015-1036-z","http://dx.doi.org/10.1007/s10531-015-1036-z")</f>
        <v>http://dx.doi.org/10.1007/s10531-015-1036-z</v>
      </c>
      <c r="G399" s="14" t="s">
        <v>351</v>
      </c>
      <c r="H399" s="14" t="s">
        <v>2138</v>
      </c>
      <c r="L399" s="16">
        <v>1.0</v>
      </c>
    </row>
    <row r="400" ht="12.75" customHeight="1">
      <c r="A400" s="14" t="s">
        <v>97</v>
      </c>
      <c r="B400" s="14" t="s">
        <v>2039</v>
      </c>
      <c r="C400" s="14" t="s">
        <v>2041</v>
      </c>
      <c r="D400" s="14" t="s">
        <v>2044</v>
      </c>
      <c r="E400" s="14" t="s">
        <v>2054</v>
      </c>
      <c r="F400" s="15" t="str">
        <f>HYPERLINK("http://dx.doi.org/10.1016/j.fishres.2016.01.005","http://dx.doi.org/10.1016/j.fishres.2016.01.005")</f>
        <v>http://dx.doi.org/10.1016/j.fishres.2016.01.005</v>
      </c>
      <c r="G400" s="14" t="s">
        <v>894</v>
      </c>
      <c r="H400" s="14" t="s">
        <v>2056</v>
      </c>
      <c r="L400" s="16">
        <v>1.0</v>
      </c>
    </row>
    <row r="401" ht="12.75" customHeight="1">
      <c r="A401" s="14" t="s">
        <v>97</v>
      </c>
      <c r="B401" s="14" t="s">
        <v>2057</v>
      </c>
      <c r="C401" s="14" t="s">
        <v>2059</v>
      </c>
      <c r="D401" s="14" t="s">
        <v>2063</v>
      </c>
      <c r="E401" s="14" t="s">
        <v>2080</v>
      </c>
      <c r="F401" s="15" t="str">
        <f>HYPERLINK("http://dx.doi.org/10.1016/j.ecss.2016.01.036","http://dx.doi.org/10.1016/j.ecss.2016.01.036")</f>
        <v>http://dx.doi.org/10.1016/j.ecss.2016.01.036</v>
      </c>
      <c r="G401" s="14" t="s">
        <v>720</v>
      </c>
      <c r="H401" s="14" t="s">
        <v>2082</v>
      </c>
      <c r="K401" s="16">
        <v>1.0</v>
      </c>
    </row>
    <row r="402" ht="12.75" customHeight="1">
      <c r="A402" s="14" t="s">
        <v>97</v>
      </c>
      <c r="B402" s="14" t="s">
        <v>1866</v>
      </c>
      <c r="C402" s="14" t="s">
        <v>1868</v>
      </c>
      <c r="D402" s="14" t="s">
        <v>1871</v>
      </c>
      <c r="E402" s="14" t="s">
        <v>1878</v>
      </c>
      <c r="F402" s="15" t="str">
        <f>HYPERLINK("http://dx.doi.org/10.1016/j.fishres.2016.05.002","http://dx.doi.org/10.1016/j.fishres.2016.05.002")</f>
        <v>http://dx.doi.org/10.1016/j.fishres.2016.05.002</v>
      </c>
      <c r="G402" s="14" t="s">
        <v>894</v>
      </c>
      <c r="H402" s="14" t="s">
        <v>1880</v>
      </c>
      <c r="M402" s="16">
        <v>1.0</v>
      </c>
    </row>
    <row r="403" ht="12.75" customHeight="1">
      <c r="A403" s="14" t="s">
        <v>97</v>
      </c>
      <c r="B403" s="14" t="s">
        <v>1997</v>
      </c>
      <c r="C403" s="14" t="s">
        <v>1999</v>
      </c>
      <c r="D403" s="14" t="s">
        <v>2002</v>
      </c>
      <c r="E403" s="14" t="s">
        <v>2012</v>
      </c>
      <c r="F403" s="15" t="str">
        <f>HYPERLINK("http://dx.doi.org/10.1007/s10531-016-1141-7","http://dx.doi.org/10.1007/s10531-016-1141-7")</f>
        <v>http://dx.doi.org/10.1007/s10531-016-1141-7</v>
      </c>
      <c r="G403" s="14" t="s">
        <v>351</v>
      </c>
      <c r="H403" s="14" t="s">
        <v>2014</v>
      </c>
      <c r="L403" s="16">
        <v>1.0</v>
      </c>
    </row>
    <row r="404" ht="12.75" customHeight="1">
      <c r="A404" s="14" t="s">
        <v>97</v>
      </c>
      <c r="B404" s="14" t="s">
        <v>1980</v>
      </c>
      <c r="C404" s="14" t="s">
        <v>1982</v>
      </c>
      <c r="D404" s="14" t="s">
        <v>1985</v>
      </c>
      <c r="E404" s="14" t="s">
        <v>1994</v>
      </c>
      <c r="F404" s="15" t="str">
        <f>HYPERLINK("http://dx.doi.org/10.1016/j.biocon.2016.04.013","http://dx.doi.org/10.1016/j.biocon.2016.04.013")</f>
        <v>http://dx.doi.org/10.1016/j.biocon.2016.04.013</v>
      </c>
      <c r="G404" s="14" t="s">
        <v>351</v>
      </c>
      <c r="H404" s="14" t="s">
        <v>1996</v>
      </c>
      <c r="L404" s="16">
        <v>1.0</v>
      </c>
    </row>
    <row r="405" ht="12.75" customHeight="1">
      <c r="A405" s="14" t="s">
        <v>97</v>
      </c>
      <c r="B405" s="14" t="s">
        <v>2083</v>
      </c>
      <c r="C405" s="14" t="s">
        <v>2085</v>
      </c>
      <c r="D405" s="14" t="s">
        <v>2087</v>
      </c>
      <c r="E405" s="14" t="s">
        <v>2098</v>
      </c>
      <c r="F405" s="15" t="str">
        <f>HYPERLINK("http://dx.doi.org/10.1126/sciadv.1500965","http://dx.doi.org/10.1126/sciadv.1500965")</f>
        <v>http://dx.doi.org/10.1126/sciadv.1500965</v>
      </c>
      <c r="G405" s="14" t="s">
        <v>799</v>
      </c>
      <c r="H405" s="14" t="s">
        <v>2100</v>
      </c>
      <c r="K405" s="16">
        <v>1.0</v>
      </c>
    </row>
    <row r="406" ht="12.75" customHeight="1">
      <c r="A406" s="14" t="s">
        <v>97</v>
      </c>
      <c r="B406" s="14" t="s">
        <v>1945</v>
      </c>
      <c r="C406" s="14" t="s">
        <v>1947</v>
      </c>
      <c r="D406" s="14" t="s">
        <v>1950</v>
      </c>
      <c r="E406" s="14" t="s">
        <v>1960</v>
      </c>
      <c r="F406" s="15" t="str">
        <f>HYPERLINK("http://dx.doi.org/10.1111/gcb.13316","http://dx.doi.org/10.1111/gcb.13316")</f>
        <v>http://dx.doi.org/10.1111/gcb.13316</v>
      </c>
      <c r="G406" s="14" t="s">
        <v>351</v>
      </c>
      <c r="H406" s="14" t="s">
        <v>1962</v>
      </c>
      <c r="M406" s="16">
        <v>1.0</v>
      </c>
    </row>
    <row r="407" ht="12.75" customHeight="1">
      <c r="A407" s="14" t="s">
        <v>97</v>
      </c>
      <c r="B407" s="14" t="s">
        <v>2015</v>
      </c>
      <c r="C407" s="14" t="s">
        <v>2017</v>
      </c>
      <c r="D407" s="14" t="s">
        <v>2020</v>
      </c>
      <c r="E407" s="14" t="s">
        <v>2035</v>
      </c>
      <c r="F407" s="15" t="str">
        <f>HYPERLINK("http://dx.doi.org/10.5670/oceanog.2016.36","http://dx.doi.org/10.5670/oceanog.2016.36")</f>
        <v>http://dx.doi.org/10.5670/oceanog.2016.36</v>
      </c>
      <c r="G407" s="14" t="s">
        <v>2034</v>
      </c>
      <c r="H407" s="14" t="s">
        <v>2038</v>
      </c>
      <c r="K407" s="16">
        <v>1.0</v>
      </c>
    </row>
    <row r="408" ht="12.75" customHeight="1">
      <c r="A408" s="14" t="s">
        <v>97</v>
      </c>
      <c r="B408" s="14" t="s">
        <v>1826</v>
      </c>
      <c r="C408" s="14" t="s">
        <v>1828</v>
      </c>
      <c r="D408" s="14" t="s">
        <v>1832</v>
      </c>
      <c r="E408" s="14" t="s">
        <v>1847</v>
      </c>
      <c r="F408" s="15" t="str">
        <f>HYPERLINK("http://dx.doi.org/10.1016/j.jclepro.2015.06.100","http://dx.doi.org/10.1016/j.jclepro.2015.06.100")</f>
        <v>http://dx.doi.org/10.1016/j.jclepro.2015.06.100</v>
      </c>
      <c r="G408" s="14" t="s">
        <v>1848</v>
      </c>
      <c r="H408" s="14" t="s">
        <v>1851</v>
      </c>
      <c r="K408" s="16">
        <v>1.0</v>
      </c>
    </row>
    <row r="409" ht="12.75" customHeight="1">
      <c r="A409" s="14" t="s">
        <v>97</v>
      </c>
      <c r="B409" s="14" t="s">
        <v>1963</v>
      </c>
      <c r="C409" s="14" t="s">
        <v>1965</v>
      </c>
      <c r="D409" s="14" t="s">
        <v>1968</v>
      </c>
      <c r="E409" s="14" t="s">
        <v>1977</v>
      </c>
      <c r="F409" s="15" t="str">
        <f>HYPERLINK("http://dx.doi.org/10.1016/j.biocon.2016.05.031","http://dx.doi.org/10.1016/j.biocon.2016.05.031")</f>
        <v>http://dx.doi.org/10.1016/j.biocon.2016.05.031</v>
      </c>
      <c r="G409" s="14" t="s">
        <v>351</v>
      </c>
      <c r="H409" s="14" t="s">
        <v>1979</v>
      </c>
      <c r="L409" s="16">
        <v>1.0</v>
      </c>
    </row>
    <row r="410" ht="12.75" customHeight="1">
      <c r="A410" s="14" t="s">
        <v>97</v>
      </c>
      <c r="B410" s="14" t="s">
        <v>1904</v>
      </c>
      <c r="C410" s="14" t="s">
        <v>1906</v>
      </c>
      <c r="D410" s="14" t="s">
        <v>1908</v>
      </c>
      <c r="E410" s="14" t="s">
        <v>1918</v>
      </c>
      <c r="F410" s="15" t="str">
        <f>HYPERLINK("http://dx.doi.org/10.1038/ncomms12485","http://dx.doi.org/10.1038/ncomms12485")</f>
        <v>http://dx.doi.org/10.1038/ncomms12485</v>
      </c>
      <c r="G410" s="14" t="s">
        <v>799</v>
      </c>
      <c r="H410" s="14" t="s">
        <v>1920</v>
      </c>
      <c r="K410" s="16">
        <v>1.0</v>
      </c>
    </row>
    <row r="411" ht="12.75" customHeight="1">
      <c r="A411" s="14" t="s">
        <v>97</v>
      </c>
      <c r="B411" s="14" t="s">
        <v>1700</v>
      </c>
      <c r="C411" s="14" t="s">
        <v>1702</v>
      </c>
      <c r="D411" s="14" t="s">
        <v>1705</v>
      </c>
      <c r="E411" s="14" t="s">
        <v>1715</v>
      </c>
      <c r="F411" s="15" t="str">
        <f>HYPERLINK("http://dx.doi.org/10.1016/j.landusepol.2014.12.005","http://dx.doi.org/10.1016/j.landusepol.2014.12.005")</f>
        <v>http://dx.doi.org/10.1016/j.landusepol.2014.12.005</v>
      </c>
      <c r="G411" s="14" t="s">
        <v>1060</v>
      </c>
      <c r="H411" s="14" t="s">
        <v>1717</v>
      </c>
      <c r="K411" s="16">
        <v>1.0</v>
      </c>
    </row>
    <row r="412" ht="12.75" customHeight="1">
      <c r="A412" s="14" t="s">
        <v>97</v>
      </c>
      <c r="B412" s="14" t="s">
        <v>1718</v>
      </c>
      <c r="C412" s="14" t="s">
        <v>1720</v>
      </c>
      <c r="D412" s="14" t="s">
        <v>1724</v>
      </c>
      <c r="E412" s="14" t="s">
        <v>1739</v>
      </c>
      <c r="F412" s="15" t="str">
        <f>HYPERLINK("http://dx.doi.org/10.1007/s10531-016-1172-0","http://dx.doi.org/10.1007/s10531-016-1172-0")</f>
        <v>http://dx.doi.org/10.1007/s10531-016-1172-0</v>
      </c>
      <c r="G412" s="14" t="s">
        <v>351</v>
      </c>
      <c r="H412" s="14" t="s">
        <v>1741</v>
      </c>
      <c r="L412" s="16">
        <v>1.0</v>
      </c>
    </row>
    <row r="413" ht="12.75" customHeight="1">
      <c r="A413" s="14" t="s">
        <v>97</v>
      </c>
      <c r="B413" s="14" t="s">
        <v>1664</v>
      </c>
      <c r="C413" s="14" t="s">
        <v>1666</v>
      </c>
      <c r="D413" s="14" t="s">
        <v>1669</v>
      </c>
      <c r="E413" s="14" t="s">
        <v>1679</v>
      </c>
      <c r="F413" s="15" t="str">
        <f>HYPERLINK("http://dx.doi.org/10.1016/j.scitotenv.2016.03.055","http://dx.doi.org/10.1016/j.scitotenv.2016.03.055")</f>
        <v>http://dx.doi.org/10.1016/j.scitotenv.2016.03.055</v>
      </c>
      <c r="G413" s="14" t="s">
        <v>1041</v>
      </c>
      <c r="H413" s="14" t="s">
        <v>1681</v>
      </c>
      <c r="L413" s="16">
        <v>1.0</v>
      </c>
    </row>
    <row r="414" ht="12.75" customHeight="1">
      <c r="A414" s="14" t="s">
        <v>97</v>
      </c>
      <c r="B414" s="14" t="s">
        <v>1852</v>
      </c>
      <c r="C414" s="14" t="s">
        <v>1854</v>
      </c>
      <c r="D414" s="14" t="s">
        <v>1857</v>
      </c>
      <c r="E414" s="14" t="s">
        <v>1863</v>
      </c>
      <c r="F414" s="15" t="str">
        <f>HYPERLINK("http://dx.doi.org/10.1111/jvs.12423","http://dx.doi.org/10.1111/jvs.12423")</f>
        <v>http://dx.doi.org/10.1111/jvs.12423</v>
      </c>
      <c r="G414" s="14" t="s">
        <v>1141</v>
      </c>
      <c r="H414" s="14" t="s">
        <v>1865</v>
      </c>
      <c r="L414" s="16">
        <v>1.0</v>
      </c>
    </row>
    <row r="415" ht="12.75" customHeight="1">
      <c r="A415" s="14" t="s">
        <v>97</v>
      </c>
      <c r="B415" s="14" t="s">
        <v>1807</v>
      </c>
      <c r="C415" s="14" t="s">
        <v>1809</v>
      </c>
      <c r="D415" s="14" t="s">
        <v>1812</v>
      </c>
      <c r="E415" s="14" t="s">
        <v>1823</v>
      </c>
      <c r="F415" s="15" t="str">
        <f>HYPERLINK("http://dx.doi.org/10.1111/jbi.12847","http://dx.doi.org/10.1111/jbi.12847")</f>
        <v>http://dx.doi.org/10.1111/jbi.12847</v>
      </c>
      <c r="G415" s="14" t="s">
        <v>869</v>
      </c>
      <c r="H415" s="14" t="s">
        <v>1825</v>
      </c>
      <c r="M415" s="16">
        <v>1.0</v>
      </c>
    </row>
    <row r="416" ht="12.75" customHeight="1">
      <c r="A416" s="14" t="s">
        <v>97</v>
      </c>
      <c r="B416" s="14" t="s">
        <v>1642</v>
      </c>
      <c r="C416" s="14" t="s">
        <v>1644</v>
      </c>
      <c r="D416" s="14" t="s">
        <v>1647</v>
      </c>
      <c r="E416" s="14" t="s">
        <v>1661</v>
      </c>
      <c r="F416" s="15" t="str">
        <f>HYPERLINK("http://dx.doi.org/10.1038/srep38402","http://dx.doi.org/10.1038/srep38402")</f>
        <v>http://dx.doi.org/10.1038/srep38402</v>
      </c>
      <c r="G416" s="14" t="s">
        <v>799</v>
      </c>
      <c r="H416" s="14" t="s">
        <v>1663</v>
      </c>
      <c r="K416" s="16">
        <v>1.0</v>
      </c>
    </row>
    <row r="417" ht="12.75" customHeight="1">
      <c r="A417" s="14" t="s">
        <v>97</v>
      </c>
      <c r="B417" s="14" t="s">
        <v>1881</v>
      </c>
      <c r="C417" s="14" t="s">
        <v>1883</v>
      </c>
      <c r="D417" s="14" t="s">
        <v>1887</v>
      </c>
      <c r="E417" s="14" t="s">
        <v>1901</v>
      </c>
      <c r="F417" s="15" t="str">
        <f>HYPERLINK("http://dx.doi.org/10.1038/sdata.2016.67","http://dx.doi.org/10.1038/sdata.2016.67")</f>
        <v>http://dx.doi.org/10.1038/sdata.2016.67</v>
      </c>
      <c r="G417" s="14" t="s">
        <v>799</v>
      </c>
      <c r="H417" s="14" t="s">
        <v>1903</v>
      </c>
      <c r="K417" s="16">
        <v>1.0</v>
      </c>
    </row>
    <row r="418" ht="12.75" customHeight="1">
      <c r="A418" s="14" t="s">
        <v>97</v>
      </c>
      <c r="B418" s="14" t="s">
        <v>1742</v>
      </c>
      <c r="C418" s="14" t="s">
        <v>1744</v>
      </c>
      <c r="D418" s="14" t="s">
        <v>1746</v>
      </c>
      <c r="E418" s="14" t="s">
        <v>1757</v>
      </c>
      <c r="F418" s="15" t="str">
        <f>HYPERLINK("http://dx.doi.org/10.1126/sciadv.1501923","http://dx.doi.org/10.1126/sciadv.1501923")</f>
        <v>http://dx.doi.org/10.1126/sciadv.1501923</v>
      </c>
      <c r="G418" s="14" t="s">
        <v>799</v>
      </c>
      <c r="H418" s="14" t="s">
        <v>1759</v>
      </c>
      <c r="K418" s="16">
        <v>1.0</v>
      </c>
    </row>
    <row r="419" ht="12.75" customHeight="1">
      <c r="A419" s="14" t="s">
        <v>97</v>
      </c>
      <c r="B419" s="14" t="s">
        <v>1602</v>
      </c>
      <c r="C419" s="14" t="s">
        <v>1604</v>
      </c>
      <c r="D419" s="14" t="s">
        <v>1608</v>
      </c>
      <c r="E419" s="14" t="s">
        <v>1622</v>
      </c>
      <c r="F419" s="15" t="str">
        <f>HYPERLINK("http://dx.doi.org/10.1111/jbi.12808","http://dx.doi.org/10.1111/jbi.12808")</f>
        <v>http://dx.doi.org/10.1111/jbi.12808</v>
      </c>
      <c r="G419" s="14" t="s">
        <v>869</v>
      </c>
      <c r="H419" s="14" t="s">
        <v>1624</v>
      </c>
      <c r="L419" s="16">
        <v>1.0</v>
      </c>
    </row>
    <row r="420" ht="12.75" customHeight="1">
      <c r="A420" s="14" t="s">
        <v>97</v>
      </c>
      <c r="B420" s="14" t="s">
        <v>1577</v>
      </c>
      <c r="C420" s="14" t="s">
        <v>1579</v>
      </c>
      <c r="D420" s="14" t="s">
        <v>1583</v>
      </c>
      <c r="E420" s="14" t="s">
        <v>1599</v>
      </c>
      <c r="F420" s="15" t="str">
        <f>HYPERLINK("http://dx.doi.org/10.1017/S0030605315000836","http://dx.doi.org/10.1017/S0030605315000836")</f>
        <v>http://dx.doi.org/10.1017/S0030605315000836</v>
      </c>
      <c r="G420" s="14" t="s">
        <v>550</v>
      </c>
      <c r="H420" s="14" t="s">
        <v>1601</v>
      </c>
      <c r="J420" s="16">
        <v>1.0</v>
      </c>
    </row>
    <row r="421" ht="12.75" customHeight="1">
      <c r="A421" s="14" t="s">
        <v>97</v>
      </c>
      <c r="B421" s="14" t="s">
        <v>1466</v>
      </c>
      <c r="C421" s="14" t="s">
        <v>1468</v>
      </c>
      <c r="D421" s="14" t="s">
        <v>1472</v>
      </c>
      <c r="E421" s="14" t="s">
        <v>1486</v>
      </c>
      <c r="F421" s="15" t="str">
        <f>HYPERLINK("http://dx.doi.org/10.1016/j.catena.2016.11.014","http://dx.doi.org/10.1016/j.catena.2016.11.014")</f>
        <v>http://dx.doi.org/10.1016/j.catena.2016.11.014</v>
      </c>
      <c r="G421" s="14" t="s">
        <v>1487</v>
      </c>
      <c r="H421" s="14" t="s">
        <v>1490</v>
      </c>
      <c r="L421" s="16">
        <v>1.0</v>
      </c>
    </row>
    <row r="422" ht="12.75" customHeight="1">
      <c r="A422" s="14" t="s">
        <v>97</v>
      </c>
      <c r="B422" s="14" t="s">
        <v>1682</v>
      </c>
      <c r="C422" s="14" t="s">
        <v>1684</v>
      </c>
      <c r="D422" s="14" t="s">
        <v>1688</v>
      </c>
      <c r="E422" s="14" t="s">
        <v>1697</v>
      </c>
      <c r="F422" s="15" t="str">
        <f>HYPERLINK("http://dx.doi.org/10.3390/f7120305","http://dx.doi.org/10.3390/f7120305")</f>
        <v>http://dx.doi.org/10.3390/f7120305</v>
      </c>
      <c r="G422" s="14" t="s">
        <v>281</v>
      </c>
      <c r="H422" s="14" t="s">
        <v>1699</v>
      </c>
      <c r="L422" s="16">
        <v>1.0</v>
      </c>
    </row>
    <row r="423" ht="12.75" customHeight="1">
      <c r="A423" s="14" t="s">
        <v>97</v>
      </c>
      <c r="B423" s="14" t="s">
        <v>1625</v>
      </c>
      <c r="C423" s="14" t="s">
        <v>1627</v>
      </c>
      <c r="D423" s="14" t="s">
        <v>1629</v>
      </c>
      <c r="E423" s="14" t="s">
        <v>1639</v>
      </c>
      <c r="F423" s="15" t="str">
        <f>HYPERLINK("http://dx.doi.org/10.1126/sciadv.1600821","http://dx.doi.org/10.1126/sciadv.1600821")</f>
        <v>http://dx.doi.org/10.1126/sciadv.1600821</v>
      </c>
      <c r="G423" s="14" t="s">
        <v>799</v>
      </c>
      <c r="H423" s="14" t="s">
        <v>1641</v>
      </c>
      <c r="K423" s="16">
        <v>1.0</v>
      </c>
    </row>
    <row r="424" ht="12.75" customHeight="1">
      <c r="A424" s="14" t="s">
        <v>97</v>
      </c>
      <c r="B424" s="14" t="s">
        <v>1510</v>
      </c>
      <c r="C424" s="14" t="s">
        <v>1512</v>
      </c>
      <c r="D424" s="14" t="s">
        <v>1515</v>
      </c>
      <c r="E424" s="14" t="s">
        <v>1525</v>
      </c>
      <c r="F424" s="15" t="str">
        <f>HYPERLINK("http://dx.doi.org/10.1111/fwb.12864","http://dx.doi.org/10.1111/fwb.12864")</f>
        <v>http://dx.doi.org/10.1111/fwb.12864</v>
      </c>
      <c r="G424" s="14" t="s">
        <v>1274</v>
      </c>
      <c r="H424" s="14" t="s">
        <v>1527</v>
      </c>
      <c r="K424" s="16">
        <v>1.0</v>
      </c>
    </row>
    <row r="425" ht="12.75" customHeight="1">
      <c r="A425" s="14" t="s">
        <v>97</v>
      </c>
      <c r="B425" s="14" t="s">
        <v>1491</v>
      </c>
      <c r="C425" s="14" t="s">
        <v>1493</v>
      </c>
      <c r="D425" s="14" t="s">
        <v>1495</v>
      </c>
      <c r="E425" s="14" t="s">
        <v>1506</v>
      </c>
      <c r="F425" s="15" t="str">
        <f>HYPERLINK("http://dx.doi.org/10.1038/ncomms14435","http://dx.doi.org/10.1038/ncomms14435")</f>
        <v>http://dx.doi.org/10.1038/ncomms14435</v>
      </c>
      <c r="G425" s="14" t="s">
        <v>799</v>
      </c>
      <c r="H425" s="14" t="s">
        <v>1509</v>
      </c>
      <c r="K425" s="16">
        <v>1.0</v>
      </c>
    </row>
    <row r="426" ht="12.75" customHeight="1">
      <c r="A426" s="14" t="s">
        <v>97</v>
      </c>
      <c r="B426" s="14" t="s">
        <v>1528</v>
      </c>
      <c r="C426" s="14" t="s">
        <v>1530</v>
      </c>
      <c r="D426" s="14" t="s">
        <v>1534</v>
      </c>
      <c r="E426" s="14" t="s">
        <v>1551</v>
      </c>
      <c r="F426" s="15" t="str">
        <f>HYPERLINK("http://dx.doi.org/10.1098/rsbl.2016.0774","http://dx.doi.org/10.1098/rsbl.2016.0774")</f>
        <v>http://dx.doi.org/10.1098/rsbl.2016.0774</v>
      </c>
      <c r="G426" s="14" t="s">
        <v>1552</v>
      </c>
      <c r="H426" s="14" t="s">
        <v>1556</v>
      </c>
      <c r="K426" s="16">
        <v>1.0</v>
      </c>
    </row>
    <row r="427" ht="12.75" customHeight="1">
      <c r="A427" s="14" t="s">
        <v>97</v>
      </c>
      <c r="B427" s="14" t="s">
        <v>1419</v>
      </c>
      <c r="C427" s="14" t="s">
        <v>1421</v>
      </c>
      <c r="D427" s="14" t="s">
        <v>1424</v>
      </c>
      <c r="E427" s="14" t="s">
        <v>1438</v>
      </c>
      <c r="F427" s="15" t="str">
        <f>HYPERLINK("http://dx.doi.org/10.1021/acs.est.6b05296","http://dx.doi.org/10.1021/acs.est.6b05296")</f>
        <v>http://dx.doi.org/10.1021/acs.est.6b05296</v>
      </c>
      <c r="G427" s="14" t="s">
        <v>1439</v>
      </c>
      <c r="H427" s="14" t="s">
        <v>1442</v>
      </c>
      <c r="L427" s="16">
        <v>1.0</v>
      </c>
    </row>
    <row r="428" ht="12.75" customHeight="1">
      <c r="A428" s="14" t="s">
        <v>97</v>
      </c>
      <c r="B428" s="14" t="s">
        <v>1400</v>
      </c>
      <c r="C428" s="14" t="s">
        <v>1402</v>
      </c>
      <c r="D428" s="14" t="s">
        <v>1405</v>
      </c>
      <c r="E428" s="14" t="s">
        <v>1416</v>
      </c>
      <c r="F428" s="15" t="str">
        <f>HYPERLINK("http://dx.doi.org/10.1073/pnas.1621517114","http://dx.doi.org/10.1073/pnas.1621517114")</f>
        <v>http://dx.doi.org/10.1073/pnas.1621517114</v>
      </c>
      <c r="G428" s="14" t="s">
        <v>799</v>
      </c>
      <c r="H428" s="14" t="s">
        <v>1418</v>
      </c>
      <c r="K428" s="16">
        <v>1.0</v>
      </c>
    </row>
    <row r="429" ht="12.75" customHeight="1">
      <c r="A429" s="14" t="s">
        <v>97</v>
      </c>
      <c r="B429" s="14" t="s">
        <v>1443</v>
      </c>
      <c r="C429" s="14" t="s">
        <v>1445</v>
      </c>
      <c r="D429" s="14" t="s">
        <v>1449</v>
      </c>
      <c r="E429" s="14" t="s">
        <v>1463</v>
      </c>
      <c r="F429" s="15" t="str">
        <f>HYPERLINK("http://dx.doi.org/10.1111/conl.12258","http://dx.doi.org/10.1111/conl.12258")</f>
        <v>http://dx.doi.org/10.1111/conl.12258</v>
      </c>
      <c r="G429" s="14" t="s">
        <v>693</v>
      </c>
      <c r="H429" s="14" t="s">
        <v>1465</v>
      </c>
      <c r="L429" s="16">
        <v>1.0</v>
      </c>
    </row>
    <row r="430" ht="12.75" customHeight="1">
      <c r="A430" s="14" t="s">
        <v>97</v>
      </c>
      <c r="B430" s="14" t="s">
        <v>1294</v>
      </c>
      <c r="C430" s="14" t="s">
        <v>1296</v>
      </c>
      <c r="D430" s="14" t="s">
        <v>1299</v>
      </c>
      <c r="E430" s="14" t="s">
        <v>1310</v>
      </c>
      <c r="F430" s="15" t="str">
        <f>HYPERLINK("http://dx.doi.org/10.1016/j.scitotenv.2017.02.210","http://dx.doi.org/10.1016/j.scitotenv.2017.02.210")</f>
        <v>http://dx.doi.org/10.1016/j.scitotenv.2017.02.210</v>
      </c>
      <c r="G430" s="14" t="s">
        <v>1041</v>
      </c>
      <c r="H430" s="14" t="s">
        <v>1312</v>
      </c>
      <c r="L430" s="16">
        <v>1.0</v>
      </c>
    </row>
    <row r="431" ht="12.75" customHeight="1">
      <c r="A431" s="14" t="s">
        <v>97</v>
      </c>
      <c r="B431" s="14" t="s">
        <v>1373</v>
      </c>
      <c r="C431" s="14" t="s">
        <v>1375</v>
      </c>
      <c r="D431" s="14" t="s">
        <v>1378</v>
      </c>
      <c r="E431" s="14" t="s">
        <v>1395</v>
      </c>
      <c r="F431" s="15" t="str">
        <f>HYPERLINK("http://dx.doi.org/10.5194/bg-14-2387-2017","http://dx.doi.org/10.5194/bg-14-2387-2017")</f>
        <v>http://dx.doi.org/10.5194/bg-14-2387-2017</v>
      </c>
      <c r="G431" s="14" t="s">
        <v>1396</v>
      </c>
      <c r="H431" s="14" t="s">
        <v>1399</v>
      </c>
      <c r="L431" s="16">
        <v>1.0</v>
      </c>
    </row>
    <row r="432" ht="12.75" customHeight="1">
      <c r="A432" s="14" t="s">
        <v>97</v>
      </c>
      <c r="B432" s="14" t="s">
        <v>1358</v>
      </c>
      <c r="C432" s="14" t="s">
        <v>1360</v>
      </c>
      <c r="D432" s="14" t="s">
        <v>1363</v>
      </c>
      <c r="E432" s="14" t="s">
        <v>1370</v>
      </c>
      <c r="F432" s="15" t="str">
        <f>HYPERLINK("http://dx.doi.org/10.1111/1365-2664.12798","http://dx.doi.org/10.1111/1365-2664.12798")</f>
        <v>http://dx.doi.org/10.1111/1365-2664.12798</v>
      </c>
      <c r="G432" s="14" t="s">
        <v>550</v>
      </c>
      <c r="H432" s="14" t="s">
        <v>1372</v>
      </c>
      <c r="J432" s="16">
        <v>1.0</v>
      </c>
    </row>
    <row r="433" ht="12.75" customHeight="1">
      <c r="A433" s="14" t="s">
        <v>97</v>
      </c>
      <c r="B433" s="14" t="s">
        <v>1557</v>
      </c>
      <c r="C433" s="14" t="s">
        <v>1559</v>
      </c>
      <c r="D433" s="14" t="s">
        <v>1563</v>
      </c>
      <c r="E433" s="14" t="s">
        <v>1573</v>
      </c>
      <c r="F433" s="15" t="str">
        <f>HYPERLINK("http://dx.doi.org/10.1080/02705060.2017.1319431","http://dx.doi.org/10.1080/02705060.2017.1319431")</f>
        <v>http://dx.doi.org/10.1080/02705060.2017.1319431</v>
      </c>
      <c r="G433" s="14" t="s">
        <v>1574</v>
      </c>
      <c r="H433" s="14" t="s">
        <v>1576</v>
      </c>
      <c r="L433" s="16">
        <v>1.0</v>
      </c>
    </row>
    <row r="434" ht="12.75" customHeight="1">
      <c r="A434" s="14" t="s">
        <v>97</v>
      </c>
      <c r="B434" s="14" t="s">
        <v>1313</v>
      </c>
      <c r="C434" s="14" t="s">
        <v>1315</v>
      </c>
      <c r="D434" s="14" t="s">
        <v>1317</v>
      </c>
      <c r="E434" s="14" t="s">
        <v>1329</v>
      </c>
      <c r="F434" s="15" t="str">
        <f>HYPERLINK("http://dx.doi.org/10.1038/ncomms15611","http://dx.doi.org/10.1038/ncomms15611")</f>
        <v>http://dx.doi.org/10.1038/ncomms15611</v>
      </c>
      <c r="G434" s="14" t="s">
        <v>799</v>
      </c>
      <c r="H434" s="14" t="s">
        <v>1331</v>
      </c>
      <c r="K434" s="16">
        <v>1.0</v>
      </c>
    </row>
    <row r="435" ht="12.75" customHeight="1">
      <c r="A435" s="14" t="s">
        <v>97</v>
      </c>
      <c r="B435" s="14" t="s">
        <v>1253</v>
      </c>
      <c r="C435" s="14" t="s">
        <v>1255</v>
      </c>
      <c r="D435" s="14" t="s">
        <v>1259</v>
      </c>
      <c r="E435" s="14" t="s">
        <v>1273</v>
      </c>
      <c r="F435" s="15" t="str">
        <f>HYPERLINK("http://dx.doi.org/10.1111/fwb.12929","http://dx.doi.org/10.1111/fwb.12929")</f>
        <v>http://dx.doi.org/10.1111/fwb.12929</v>
      </c>
      <c r="G435" s="14" t="s">
        <v>1274</v>
      </c>
      <c r="H435" s="14" t="s">
        <v>1276</v>
      </c>
      <c r="L435" s="16">
        <v>1.0</v>
      </c>
    </row>
    <row r="436" ht="12.75" customHeight="1">
      <c r="A436" s="14" t="s">
        <v>97</v>
      </c>
      <c r="B436" s="14" t="s">
        <v>1332</v>
      </c>
      <c r="C436" s="14" t="s">
        <v>1334</v>
      </c>
      <c r="D436" s="14" t="s">
        <v>1338</v>
      </c>
      <c r="E436" s="14" t="s">
        <v>1353</v>
      </c>
      <c r="F436" s="15" t="str">
        <f>HYPERLINK("http://dx.doi.org/10.3390/rs9060525","http://dx.doi.org/10.3390/rs9060525")</f>
        <v>http://dx.doi.org/10.3390/rs9060525</v>
      </c>
      <c r="G436" s="14" t="s">
        <v>1354</v>
      </c>
      <c r="H436" s="14" t="s">
        <v>1357</v>
      </c>
      <c r="L436" s="16">
        <v>1.0</v>
      </c>
    </row>
    <row r="437" ht="12.75" customHeight="1">
      <c r="A437" s="14" t="s">
        <v>97</v>
      </c>
      <c r="B437" s="14" t="s">
        <v>1017</v>
      </c>
      <c r="C437" s="14" t="s">
        <v>1019</v>
      </c>
      <c r="D437" s="14" t="s">
        <v>1023</v>
      </c>
      <c r="E437" s="14" t="s">
        <v>1040</v>
      </c>
      <c r="F437" s="15" t="str">
        <f>HYPERLINK("http://dx.doi.org/10.1016/j.scitotenv.2017.05.039","http://dx.doi.org/10.1016/j.scitotenv.2017.05.039")</f>
        <v>http://dx.doi.org/10.1016/j.scitotenv.2017.05.039</v>
      </c>
      <c r="G437" s="14" t="s">
        <v>1041</v>
      </c>
      <c r="H437" s="14" t="s">
        <v>1044</v>
      </c>
      <c r="K437" s="16">
        <v>1.0</v>
      </c>
    </row>
    <row r="438" ht="12.75" customHeight="1">
      <c r="A438" s="14" t="s">
        <v>97</v>
      </c>
      <c r="B438" s="14" t="s">
        <v>1277</v>
      </c>
      <c r="C438" s="14" t="s">
        <v>1279</v>
      </c>
      <c r="D438" s="14" t="s">
        <v>1281</v>
      </c>
      <c r="E438" s="14" t="s">
        <v>1291</v>
      </c>
      <c r="F438" s="15" t="str">
        <f>HYPERLINK("http://dx.doi.org/10.1175/BAMS-D-16-0009.1","http://dx.doi.org/10.1175/BAMS-D-16-0009.1")</f>
        <v>http://dx.doi.org/10.1175/BAMS-D-16-0009.1</v>
      </c>
      <c r="G438" s="14" t="s">
        <v>963</v>
      </c>
      <c r="H438" s="14" t="s">
        <v>1293</v>
      </c>
      <c r="K438" s="16">
        <v>1.0</v>
      </c>
    </row>
    <row r="439" ht="12.75" customHeight="1">
      <c r="A439" s="14" t="s">
        <v>97</v>
      </c>
      <c r="B439" s="14" t="s">
        <v>1186</v>
      </c>
      <c r="C439" s="14" t="s">
        <v>1188</v>
      </c>
      <c r="D439" s="14" t="s">
        <v>1191</v>
      </c>
      <c r="E439" s="14" t="s">
        <v>1202</v>
      </c>
      <c r="F439" s="15" t="str">
        <f>HYPERLINK("http://dx.doi.org/10.3354/meps12221","http://dx.doi.org/10.3354/meps12221")</f>
        <v>http://dx.doi.org/10.3354/meps12221</v>
      </c>
      <c r="G439" s="14" t="s">
        <v>301</v>
      </c>
      <c r="H439" s="14" t="s">
        <v>1204</v>
      </c>
      <c r="L439" s="16">
        <v>1.0</v>
      </c>
    </row>
    <row r="440" ht="12.75" customHeight="1">
      <c r="A440" s="14" t="s">
        <v>97</v>
      </c>
      <c r="B440" s="14" t="s">
        <v>1145</v>
      </c>
      <c r="C440" s="14" t="s">
        <v>1147</v>
      </c>
      <c r="D440" s="14" t="s">
        <v>1150</v>
      </c>
      <c r="E440" s="14" t="s">
        <v>1162</v>
      </c>
      <c r="F440" s="15" t="str">
        <f>HYPERLINK("http://dx.doi.org/10.1016/j.marpolbul.2017.06.054","http://dx.doi.org/10.1016/j.marpolbul.2017.06.054")</f>
        <v>http://dx.doi.org/10.1016/j.marpolbul.2017.06.054</v>
      </c>
      <c r="G440" s="14" t="s">
        <v>396</v>
      </c>
      <c r="H440" s="14" t="s">
        <v>1164</v>
      </c>
      <c r="L440" s="16">
        <v>1.0</v>
      </c>
    </row>
    <row r="441" ht="12.75" customHeight="1">
      <c r="A441" s="14" t="s">
        <v>97</v>
      </c>
      <c r="B441" s="14" t="s">
        <v>1081</v>
      </c>
      <c r="C441" s="14" t="s">
        <v>1083</v>
      </c>
      <c r="D441" s="14" t="s">
        <v>1086</v>
      </c>
      <c r="E441" s="14" t="s">
        <v>1096</v>
      </c>
      <c r="F441" s="15" t="str">
        <f>HYPERLINK("http://dx.doi.org/10.1111/gcb.13714","http://dx.doi.org/10.1111/gcb.13714")</f>
        <v>http://dx.doi.org/10.1111/gcb.13714</v>
      </c>
      <c r="G441" s="14" t="s">
        <v>351</v>
      </c>
      <c r="H441" s="14" t="s">
        <v>1098</v>
      </c>
      <c r="L441" s="16">
        <v>1.0</v>
      </c>
    </row>
    <row r="442" ht="12.75" customHeight="1">
      <c r="A442" s="14" t="s">
        <v>97</v>
      </c>
      <c r="B442" s="14" t="s">
        <v>2162</v>
      </c>
      <c r="C442" s="14" t="s">
        <v>2164</v>
      </c>
      <c r="D442" s="14" t="s">
        <v>2167</v>
      </c>
      <c r="E442" s="14" t="s">
        <v>2177</v>
      </c>
      <c r="F442" s="15" t="str">
        <f>HYPERLINK("http://dx.doi.org/10.1016/j.rsma.2015.06.001","http://dx.doi.org/10.1016/j.rsma.2015.06.001")</f>
        <v>http://dx.doi.org/10.1016/j.rsma.2015.06.001</v>
      </c>
      <c r="G442" s="14" t="s">
        <v>1274</v>
      </c>
      <c r="H442" s="14" t="s">
        <v>2179</v>
      </c>
      <c r="L442" s="16">
        <v>1.0</v>
      </c>
    </row>
    <row r="443" ht="12.75" customHeight="1">
      <c r="A443" s="14" t="s">
        <v>97</v>
      </c>
      <c r="B443" s="14" t="s">
        <v>1760</v>
      </c>
      <c r="C443" s="14" t="s">
        <v>1762</v>
      </c>
      <c r="D443" s="14" t="s">
        <v>1766</v>
      </c>
      <c r="E443" s="14" t="s">
        <v>1779</v>
      </c>
      <c r="F443" s="15" t="str">
        <f>HYPERLINK("http://dx.doi.org/10.1016/j.rsma.2016.09.001","http://dx.doi.org/10.1016/j.rsma.2016.09.001")</f>
        <v>http://dx.doi.org/10.1016/j.rsma.2016.09.001</v>
      </c>
      <c r="G443" s="14" t="s">
        <v>1274</v>
      </c>
      <c r="H443" s="14" t="s">
        <v>1782</v>
      </c>
      <c r="L443" s="16">
        <v>1.0</v>
      </c>
    </row>
    <row r="444" ht="12.75" customHeight="1">
      <c r="A444" s="14" t="s">
        <v>97</v>
      </c>
      <c r="B444" s="14" t="s">
        <v>1045</v>
      </c>
      <c r="C444" s="14" t="s">
        <v>1047</v>
      </c>
      <c r="D444" s="14" t="s">
        <v>1051</v>
      </c>
      <c r="E444" s="14" t="s">
        <v>1059</v>
      </c>
      <c r="F444" s="15" t="str">
        <f>HYPERLINK("http://dx.doi.org/10.1016/j.landusepol.2017.09.045","http://dx.doi.org/10.1016/j.landusepol.2017.09.045")</f>
        <v>http://dx.doi.org/10.1016/j.landusepol.2017.09.045</v>
      </c>
      <c r="G444" s="14" t="s">
        <v>1060</v>
      </c>
      <c r="H444" s="14" t="s">
        <v>1062</v>
      </c>
      <c r="L444" s="16">
        <v>1.0</v>
      </c>
    </row>
    <row r="445" ht="12.75" customHeight="1">
      <c r="A445" s="14" t="s">
        <v>97</v>
      </c>
      <c r="B445" s="14" t="s">
        <v>1099</v>
      </c>
      <c r="C445" s="14" t="s">
        <v>1101</v>
      </c>
      <c r="D445" s="14" t="s">
        <v>1105</v>
      </c>
      <c r="E445" s="14" t="s">
        <v>1116</v>
      </c>
      <c r="F445" s="15" t="str">
        <f>HYPERLINK("http://dx.doi.org/10.1016/j.biocon.2017.08.032","http://dx.doi.org/10.1016/j.biocon.2017.08.032")</f>
        <v>http://dx.doi.org/10.1016/j.biocon.2017.08.032</v>
      </c>
      <c r="G445" s="14" t="s">
        <v>351</v>
      </c>
      <c r="H445" s="14" t="s">
        <v>1119</v>
      </c>
      <c r="L445" s="16">
        <v>1.0</v>
      </c>
    </row>
    <row r="446" ht="12.75" customHeight="1">
      <c r="A446" s="14" t="s">
        <v>97</v>
      </c>
      <c r="B446" s="14" t="s">
        <v>873</v>
      </c>
      <c r="C446" s="14" t="s">
        <v>875</v>
      </c>
      <c r="D446" s="14" t="s">
        <v>879</v>
      </c>
      <c r="E446" s="14" t="s">
        <v>893</v>
      </c>
      <c r="F446" s="15" t="str">
        <f>HYPERLINK("http://dx.doi.org/10.1016/j.fishres.2017.10.012","http://dx.doi.org/10.1016/j.fishres.2017.10.012")</f>
        <v>http://dx.doi.org/10.1016/j.fishres.2017.10.012</v>
      </c>
      <c r="G446" s="14" t="s">
        <v>894</v>
      </c>
      <c r="H446" s="14" t="s">
        <v>896</v>
      </c>
      <c r="L446" s="16">
        <v>1.0</v>
      </c>
    </row>
    <row r="447" ht="12.75" customHeight="1">
      <c r="A447" s="14" t="s">
        <v>97</v>
      </c>
      <c r="B447" s="14" t="s">
        <v>1063</v>
      </c>
      <c r="C447" s="14" t="s">
        <v>1065</v>
      </c>
      <c r="D447" s="14" t="s">
        <v>1068</v>
      </c>
      <c r="E447" s="14" t="s">
        <v>1078</v>
      </c>
      <c r="F447" s="15" t="str">
        <f>HYPERLINK("http://dx.doi.org/10.1073/pnas.1716222114","http://dx.doi.org/10.1073/pnas.1716222114")</f>
        <v>http://dx.doi.org/10.1073/pnas.1716222114</v>
      </c>
      <c r="G447" s="14" t="s">
        <v>799</v>
      </c>
      <c r="H447" s="14" t="s">
        <v>1080</v>
      </c>
      <c r="K447" s="16">
        <v>1.0</v>
      </c>
    </row>
    <row r="448" ht="12.75" customHeight="1">
      <c r="A448" s="14" t="s">
        <v>97</v>
      </c>
      <c r="B448" s="14" t="s">
        <v>1205</v>
      </c>
      <c r="C448" s="14" t="s">
        <v>1207</v>
      </c>
      <c r="D448" s="14" t="s">
        <v>1210</v>
      </c>
      <c r="E448" s="14" t="s">
        <v>1223</v>
      </c>
      <c r="F448" s="15" t="str">
        <f>HYPERLINK("http://dx.doi.org/10.1038/s41559-017-0186","http://dx.doi.org/10.1038/s41559-017-0186")</f>
        <v>http://dx.doi.org/10.1038/s41559-017-0186</v>
      </c>
      <c r="G448" s="14" t="s">
        <v>1224</v>
      </c>
      <c r="H448" s="14" t="s">
        <v>1227</v>
      </c>
      <c r="K448" s="16">
        <v>1.0</v>
      </c>
    </row>
    <row r="449" ht="12.75" customHeight="1">
      <c r="A449" s="14" t="s">
        <v>97</v>
      </c>
      <c r="B449" s="14" t="s">
        <v>994</v>
      </c>
      <c r="C449" s="14" t="s">
        <v>996</v>
      </c>
      <c r="D449" s="14" t="s">
        <v>999</v>
      </c>
      <c r="E449" s="14" t="s">
        <v>1013</v>
      </c>
      <c r="F449" s="15" t="str">
        <f>HYPERLINK("http://dx.doi.org/10.1038/s41467-017-01997-0","http://dx.doi.org/10.1038/s41467-017-01997-0")</f>
        <v>http://dx.doi.org/10.1038/s41467-017-01997-0</v>
      </c>
      <c r="G449" s="14" t="s">
        <v>799</v>
      </c>
      <c r="H449" s="14" t="s">
        <v>1016</v>
      </c>
      <c r="L449" s="16">
        <v>1.0</v>
      </c>
    </row>
    <row r="450" ht="12.75" customHeight="1">
      <c r="A450" s="14" t="s">
        <v>97</v>
      </c>
      <c r="B450" s="14" t="s">
        <v>897</v>
      </c>
      <c r="C450" s="14" t="s">
        <v>899</v>
      </c>
      <c r="D450" s="14" t="s">
        <v>902</v>
      </c>
      <c r="E450" s="14" t="s">
        <v>917</v>
      </c>
      <c r="F450" s="15" t="str">
        <f>HYPERLINK("http://dx.doi.org/10.1038/nature25139","http://dx.doi.org/10.1038/nature25139")</f>
        <v>http://dx.doi.org/10.1038/nature25139</v>
      </c>
      <c r="G450" s="14" t="s">
        <v>799</v>
      </c>
      <c r="H450" s="14" t="s">
        <v>919</v>
      </c>
      <c r="L450" s="16">
        <v>1.0</v>
      </c>
    </row>
    <row r="451" ht="12.75" customHeight="1">
      <c r="A451" s="14" t="s">
        <v>97</v>
      </c>
      <c r="B451" s="14" t="s">
        <v>848</v>
      </c>
      <c r="C451" s="14" t="s">
        <v>850</v>
      </c>
      <c r="D451" s="14" t="s">
        <v>854</v>
      </c>
      <c r="E451" s="14" t="s">
        <v>868</v>
      </c>
      <c r="F451" s="15" t="str">
        <f>HYPERLINK("http://dx.doi.org/10.1111/geb.12690","http://dx.doi.org/10.1111/geb.12690")</f>
        <v>http://dx.doi.org/10.1111/geb.12690</v>
      </c>
      <c r="G451" s="14" t="s">
        <v>869</v>
      </c>
      <c r="H451" s="14" t="s">
        <v>872</v>
      </c>
      <c r="L451" s="16">
        <v>1.0</v>
      </c>
    </row>
    <row r="452" ht="12.75" customHeight="1">
      <c r="A452" s="14" t="s">
        <v>97</v>
      </c>
      <c r="B452" s="14" t="s">
        <v>966</v>
      </c>
      <c r="C452" s="14" t="s">
        <v>968</v>
      </c>
      <c r="D452" s="14" t="s">
        <v>972</v>
      </c>
      <c r="E452" s="14" t="s">
        <v>989</v>
      </c>
      <c r="F452" s="15" t="str">
        <f>HYPERLINK("http://dx.doi.org/10.1002/2017GL075888","http://dx.doi.org/10.1002/2017GL075888")</f>
        <v>http://dx.doi.org/10.1002/2017GL075888</v>
      </c>
      <c r="G452" s="14" t="s">
        <v>990</v>
      </c>
      <c r="H452" s="14" t="s">
        <v>993</v>
      </c>
      <c r="K452" s="16">
        <v>1.0</v>
      </c>
    </row>
    <row r="453" ht="12.75" customHeight="1">
      <c r="A453" s="14" t="s">
        <v>97</v>
      </c>
      <c r="B453" s="14" t="s">
        <v>1120</v>
      </c>
      <c r="C453" s="14" t="s">
        <v>1122</v>
      </c>
      <c r="D453" s="14" t="s">
        <v>1126</v>
      </c>
      <c r="E453" s="14" t="s">
        <v>1140</v>
      </c>
      <c r="F453" s="15" t="str">
        <f>HYPERLINK("http://dx.doi.org/10.1111/jvs.12579","http://dx.doi.org/10.1111/jvs.12579")</f>
        <v>http://dx.doi.org/10.1111/jvs.12579</v>
      </c>
      <c r="G453" s="14" t="s">
        <v>1141</v>
      </c>
      <c r="H453" s="14" t="s">
        <v>1144</v>
      </c>
      <c r="L453" s="16">
        <v>1.0</v>
      </c>
    </row>
    <row r="454" ht="12.75" customHeight="1">
      <c r="A454" s="14" t="s">
        <v>97</v>
      </c>
      <c r="B454" s="14" t="s">
        <v>823</v>
      </c>
      <c r="C454" s="14" t="s">
        <v>825</v>
      </c>
      <c r="D454" s="14" t="s">
        <v>829</v>
      </c>
      <c r="E454" s="14" t="s">
        <v>843</v>
      </c>
      <c r="F454" s="15" t="str">
        <f>HYPERLINK("http://dx.doi.org/10.1002/aqc.2850","http://dx.doi.org/10.1002/aqc.2850")</f>
        <v>http://dx.doi.org/10.1002/aqc.2850</v>
      </c>
      <c r="G454" s="14" t="s">
        <v>844</v>
      </c>
      <c r="H454" s="14" t="s">
        <v>847</v>
      </c>
      <c r="L454" s="16">
        <v>1.0</v>
      </c>
    </row>
    <row r="455" ht="12.75" customHeight="1">
      <c r="A455" s="14" t="s">
        <v>97</v>
      </c>
      <c r="B455" s="14" t="s">
        <v>804</v>
      </c>
      <c r="C455" s="14" t="s">
        <v>806</v>
      </c>
      <c r="D455" s="14" t="s">
        <v>809</v>
      </c>
      <c r="E455" s="14" t="s">
        <v>820</v>
      </c>
      <c r="F455" s="15" t="str">
        <f>HYPERLINK("http://dx.doi.org/10.1073/pnas.1711122115","http://dx.doi.org/10.1073/pnas.1711122115")</f>
        <v>http://dx.doi.org/10.1073/pnas.1711122115</v>
      </c>
      <c r="G455" s="14" t="s">
        <v>799</v>
      </c>
      <c r="H455" s="14" t="s">
        <v>822</v>
      </c>
      <c r="L455" s="16">
        <v>1.0</v>
      </c>
    </row>
    <row r="456" ht="12.75" customHeight="1">
      <c r="A456" s="14" t="s">
        <v>97</v>
      </c>
      <c r="B456" s="14" t="s">
        <v>920</v>
      </c>
      <c r="C456" s="14" t="s">
        <v>922</v>
      </c>
      <c r="D456" s="14" t="s">
        <v>925</v>
      </c>
      <c r="E456" s="14" t="s">
        <v>938</v>
      </c>
      <c r="F456" s="15" t="str">
        <f>HYPERLINK("http://dx.doi.org/10.1111/gcb.13916","http://dx.doi.org/10.1111/gcb.13916")</f>
        <v>http://dx.doi.org/10.1111/gcb.13916</v>
      </c>
      <c r="G456" s="14" t="s">
        <v>351</v>
      </c>
      <c r="H456" s="14" t="s">
        <v>941</v>
      </c>
      <c r="M456" s="16">
        <v>1.0</v>
      </c>
    </row>
    <row r="457" ht="12.75" customHeight="1">
      <c r="A457" s="14" t="s">
        <v>97</v>
      </c>
      <c r="B457" s="14" t="s">
        <v>773</v>
      </c>
      <c r="C457" s="14" t="s">
        <v>775</v>
      </c>
      <c r="D457" s="14" t="s">
        <v>778</v>
      </c>
      <c r="E457" s="14" t="s">
        <v>798</v>
      </c>
      <c r="F457" s="15" t="str">
        <f>HYPERLINK("http://dx.doi.org/10.1073/pnas.1719429115","http://dx.doi.org/10.1073/pnas.1719429115")</f>
        <v>http://dx.doi.org/10.1073/pnas.1719429115</v>
      </c>
      <c r="G457" s="14" t="s">
        <v>799</v>
      </c>
      <c r="H457" s="14" t="s">
        <v>803</v>
      </c>
      <c r="K457" s="16">
        <v>1.0</v>
      </c>
    </row>
    <row r="458" ht="12.75" customHeight="1">
      <c r="A458" s="14" t="s">
        <v>97</v>
      </c>
      <c r="B458" s="14" t="s">
        <v>723</v>
      </c>
      <c r="C458" s="14" t="s">
        <v>725</v>
      </c>
      <c r="D458" s="14" t="s">
        <v>729</v>
      </c>
      <c r="E458" s="14" t="s">
        <v>743</v>
      </c>
      <c r="F458" s="15" t="str">
        <f>HYPERLINK("http://dx.doi.org/10.1111/ddi.12693","http://dx.doi.org/10.1111/ddi.12693")</f>
        <v>http://dx.doi.org/10.1111/ddi.12693</v>
      </c>
      <c r="G458" s="14" t="s">
        <v>550</v>
      </c>
      <c r="H458" s="14" t="s">
        <v>745</v>
      </c>
      <c r="L458" s="16">
        <v>1.0</v>
      </c>
    </row>
    <row r="459" ht="12.75" customHeight="1">
      <c r="A459" s="14" t="s">
        <v>97</v>
      </c>
      <c r="B459" s="14" t="s">
        <v>646</v>
      </c>
      <c r="C459" s="14" t="s">
        <v>648</v>
      </c>
      <c r="D459" s="14" t="s">
        <v>652</v>
      </c>
      <c r="E459" s="14" t="s">
        <v>666</v>
      </c>
      <c r="F459" s="15" t="str">
        <f>HYPERLINK("http://dx.doi.org/10.1111/fog.12246","http://dx.doi.org/10.1111/fog.12246")</f>
        <v>http://dx.doi.org/10.1111/fog.12246</v>
      </c>
      <c r="G459" s="14" t="s">
        <v>667</v>
      </c>
      <c r="H459" s="14" t="s">
        <v>669</v>
      </c>
      <c r="L459" s="16">
        <v>1.0</v>
      </c>
    </row>
    <row r="460" ht="12.75" customHeight="1">
      <c r="A460" s="14" t="s">
        <v>97</v>
      </c>
      <c r="B460" s="14" t="s">
        <v>746</v>
      </c>
      <c r="C460" s="14" t="s">
        <v>748</v>
      </c>
      <c r="D460" s="14" t="s">
        <v>752</v>
      </c>
      <c r="E460" s="14" t="s">
        <v>770</v>
      </c>
      <c r="F460" s="15" t="str">
        <f>HYPERLINK("http://dx.doi.org/10.3354/meps12462","http://dx.doi.org/10.3354/meps12462")</f>
        <v>http://dx.doi.org/10.3354/meps12462</v>
      </c>
      <c r="G460" s="14" t="s">
        <v>301</v>
      </c>
      <c r="H460" s="14" t="s">
        <v>772</v>
      </c>
      <c r="L460" s="16">
        <v>1.0</v>
      </c>
    </row>
    <row r="461" ht="12.75" customHeight="1">
      <c r="A461" s="14" t="s">
        <v>97</v>
      </c>
      <c r="B461" s="14" t="s">
        <v>942</v>
      </c>
      <c r="C461" s="14" t="s">
        <v>944</v>
      </c>
      <c r="D461" s="14" t="s">
        <v>99</v>
      </c>
      <c r="E461" s="14" t="s">
        <v>962</v>
      </c>
      <c r="F461" s="15" t="str">
        <f>HYPERLINK("http://dx.doi.org/10.1175/BAMS-D-17-0116.1","http://dx.doi.org/10.1175/BAMS-D-17-0116.1")</f>
        <v>http://dx.doi.org/10.1175/BAMS-D-17-0116.1</v>
      </c>
      <c r="G461" s="14" t="s">
        <v>963</v>
      </c>
      <c r="H461" s="14" t="s">
        <v>965</v>
      </c>
      <c r="K461" s="16">
        <v>1.0</v>
      </c>
    </row>
    <row r="462" ht="12.75" customHeight="1">
      <c r="A462" s="14" t="s">
        <v>97</v>
      </c>
      <c r="B462" s="14" t="s">
        <v>427</v>
      </c>
      <c r="C462" s="14" t="s">
        <v>429</v>
      </c>
      <c r="D462" s="14" t="s">
        <v>433</v>
      </c>
      <c r="E462" s="14" t="s">
        <v>449</v>
      </c>
      <c r="F462" s="15" t="str">
        <f>HYPERLINK("http://dx.doi.org/10.1016/j.foreco.2018.04.012","http://dx.doi.org/10.1016/j.foreco.2018.04.012")</f>
        <v>http://dx.doi.org/10.1016/j.foreco.2018.04.012</v>
      </c>
      <c r="G462" s="14" t="s">
        <v>281</v>
      </c>
      <c r="H462" s="14" t="s">
        <v>452</v>
      </c>
      <c r="L462" s="16">
        <v>1.0</v>
      </c>
    </row>
    <row r="463" ht="12.75" customHeight="1">
      <c r="A463" s="14" t="s">
        <v>97</v>
      </c>
      <c r="B463" s="14" t="s">
        <v>601</v>
      </c>
      <c r="C463" s="14" t="s">
        <v>603</v>
      </c>
      <c r="D463" s="14" t="s">
        <v>606</v>
      </c>
      <c r="E463" s="14" t="s">
        <v>617</v>
      </c>
      <c r="F463" s="15" t="str">
        <f>HYPERLINK("http://dx.doi.org/10.1088/1748-9326/aac331","http://dx.doi.org/10.1088/1748-9326/aac331")</f>
        <v>http://dx.doi.org/10.1088/1748-9326/aac331</v>
      </c>
      <c r="G463" s="14" t="s">
        <v>573</v>
      </c>
      <c r="H463" s="14" t="s">
        <v>619</v>
      </c>
      <c r="L463" s="16">
        <v>1.0</v>
      </c>
    </row>
    <row r="464" ht="12.75" customHeight="1">
      <c r="A464" s="14" t="s">
        <v>97</v>
      </c>
      <c r="B464" s="14" t="s">
        <v>529</v>
      </c>
      <c r="C464" s="14" t="s">
        <v>531</v>
      </c>
      <c r="D464" s="14" t="s">
        <v>535</v>
      </c>
      <c r="E464" s="14" t="s">
        <v>549</v>
      </c>
      <c r="F464" s="15" t="str">
        <f>HYPERLINK("http://dx.doi.org/10.1111/1365-2664.13137","http://dx.doi.org/10.1111/1365-2664.13137")</f>
        <v>http://dx.doi.org/10.1111/1365-2664.13137</v>
      </c>
      <c r="G464" s="14" t="s">
        <v>550</v>
      </c>
      <c r="H464" s="14" t="s">
        <v>552</v>
      </c>
      <c r="L464" s="16">
        <v>1.0</v>
      </c>
    </row>
    <row r="465" ht="12.75" customHeight="1">
      <c r="A465" s="14" t="s">
        <v>97</v>
      </c>
      <c r="B465" s="14" t="s">
        <v>505</v>
      </c>
      <c r="C465" s="14" t="s">
        <v>507</v>
      </c>
      <c r="D465" s="14" t="s">
        <v>511</v>
      </c>
      <c r="E465" s="14" t="s">
        <v>526</v>
      </c>
      <c r="F465" s="15" t="str">
        <f>HYPERLINK("http://dx.doi.org/10.1016/j.rama.2018.02.008","http://dx.doi.org/10.1016/j.rama.2018.02.008")</f>
        <v>http://dx.doi.org/10.1016/j.rama.2018.02.008</v>
      </c>
      <c r="G465" s="14" t="s">
        <v>423</v>
      </c>
      <c r="H465" s="14" t="s">
        <v>528</v>
      </c>
      <c r="L465" s="16">
        <v>1.0</v>
      </c>
    </row>
    <row r="466" ht="12.75" customHeight="1">
      <c r="A466" s="14" t="s">
        <v>97</v>
      </c>
      <c r="B466" s="14" t="s">
        <v>3089</v>
      </c>
      <c r="C466" s="14" t="s">
        <v>3091</v>
      </c>
      <c r="D466" s="14" t="s">
        <v>3095</v>
      </c>
      <c r="E466" s="14" t="s">
        <v>3108</v>
      </c>
      <c r="F466" s="15" t="str">
        <f>HYPERLINK("http://dx.doi.org/10.1016/S2095-6339(15)30021-6","http://dx.doi.org/10.1016/S2095-6339(15)30021-6")</f>
        <v>http://dx.doi.org/10.1016/S2095-6339(15)30021-6</v>
      </c>
      <c r="G466" s="14" t="s">
        <v>3109</v>
      </c>
      <c r="H466" s="14" t="s">
        <v>3112</v>
      </c>
      <c r="K466" s="16">
        <v>1.0</v>
      </c>
    </row>
    <row r="467" ht="12.75" customHeight="1">
      <c r="A467" s="14" t="s">
        <v>97</v>
      </c>
      <c r="B467" s="14" t="s">
        <v>478</v>
      </c>
      <c r="C467" s="14" t="s">
        <v>480</v>
      </c>
      <c r="D467" s="14" t="s">
        <v>484</v>
      </c>
      <c r="E467" s="14" t="s">
        <v>500</v>
      </c>
      <c r="F467" s="15" t="str">
        <f>HYPERLINK("http://dx.doi.org/10.1016/j.marenvres.2018.05.008","http://dx.doi.org/10.1016/j.marenvres.2018.05.008")</f>
        <v>http://dx.doi.org/10.1016/j.marenvres.2018.05.008</v>
      </c>
      <c r="G467" s="14" t="s">
        <v>501</v>
      </c>
      <c r="H467" s="14" t="s">
        <v>504</v>
      </c>
      <c r="L467" s="16">
        <v>1.0</v>
      </c>
    </row>
    <row r="468" ht="12.75" customHeight="1">
      <c r="A468" s="14" t="s">
        <v>97</v>
      </c>
      <c r="B468" s="14" t="s">
        <v>670</v>
      </c>
      <c r="C468" s="14" t="s">
        <v>672</v>
      </c>
      <c r="D468" s="14" t="s">
        <v>676</v>
      </c>
      <c r="E468" s="14" t="s">
        <v>692</v>
      </c>
      <c r="F468" s="15" t="str">
        <f>HYPERLINK("http://dx.doi.org/10.1177/1940082918769460","http://dx.doi.org/10.1177/1940082918769460")</f>
        <v>http://dx.doi.org/10.1177/1940082918769460</v>
      </c>
      <c r="G468" s="14" t="s">
        <v>693</v>
      </c>
      <c r="H468" s="14" t="s">
        <v>696</v>
      </c>
      <c r="L468" s="16">
        <v>1.0</v>
      </c>
    </row>
    <row r="469" ht="12.75" customHeight="1">
      <c r="A469" s="14" t="s">
        <v>97</v>
      </c>
      <c r="B469" s="14" t="s">
        <v>553</v>
      </c>
      <c r="C469" s="14" t="s">
        <v>555</v>
      </c>
      <c r="D469" s="14" t="s">
        <v>559</v>
      </c>
      <c r="E469" s="14" t="s">
        <v>572</v>
      </c>
      <c r="F469" s="15" t="str">
        <f>HYPERLINK("http://dx.doi.org/10.1088/1748-9326/aacd1c","http://dx.doi.org/10.1088/1748-9326/aacd1c")</f>
        <v>http://dx.doi.org/10.1088/1748-9326/aacd1c</v>
      </c>
      <c r="G469" s="14" t="s">
        <v>573</v>
      </c>
      <c r="H469" s="14" t="s">
        <v>577</v>
      </c>
      <c r="L469" s="16">
        <v>1.0</v>
      </c>
    </row>
    <row r="470" ht="12.75" customHeight="1">
      <c r="A470" s="14" t="s">
        <v>97</v>
      </c>
      <c r="B470" s="14" t="s">
        <v>697</v>
      </c>
      <c r="C470" s="14" t="s">
        <v>699</v>
      </c>
      <c r="D470" s="14" t="s">
        <v>702</v>
      </c>
      <c r="E470" s="14" t="s">
        <v>719</v>
      </c>
      <c r="F470" s="15" t="str">
        <f>HYPERLINK("http://dx.doi.org/10.5343/bms.2017.1061","http://dx.doi.org/10.5343/bms.2017.1061")</f>
        <v>http://dx.doi.org/10.5343/bms.2017.1061</v>
      </c>
      <c r="G470" s="14" t="s">
        <v>720</v>
      </c>
      <c r="H470" s="14" t="s">
        <v>722</v>
      </c>
      <c r="L470" s="16">
        <v>1.0</v>
      </c>
    </row>
    <row r="471" ht="12.75" customHeight="1">
      <c r="A471" s="14" t="s">
        <v>97</v>
      </c>
      <c r="B471" s="14" t="s">
        <v>578</v>
      </c>
      <c r="C471" s="14" t="s">
        <v>580</v>
      </c>
      <c r="D471" s="14" t="s">
        <v>584</v>
      </c>
      <c r="E471" s="14" t="s">
        <v>597</v>
      </c>
      <c r="F471" s="15" t="str">
        <f>HYPERLINK("http://dx.doi.org/10.1016/j.ecolind.2018.03.004","http://dx.doi.org/10.1016/j.ecolind.2018.03.004")</f>
        <v>http://dx.doi.org/10.1016/j.ecolind.2018.03.004</v>
      </c>
      <c r="G471" s="14" t="s">
        <v>598</v>
      </c>
      <c r="H471" s="14" t="s">
        <v>600</v>
      </c>
      <c r="L471" s="16">
        <v>1.0</v>
      </c>
    </row>
    <row r="472" ht="12.75" customHeight="1">
      <c r="A472" s="14" t="s">
        <v>97</v>
      </c>
      <c r="B472" s="14" t="s">
        <v>453</v>
      </c>
      <c r="C472" s="14" t="s">
        <v>455</v>
      </c>
      <c r="D472" s="14" t="s">
        <v>459</v>
      </c>
      <c r="E472" s="14" t="s">
        <v>475</v>
      </c>
      <c r="F472" s="15" t="str">
        <f>HYPERLINK("http://dx.doi.org/10.1016/j.marpolbul.2018.04.065","http://dx.doi.org/10.1016/j.marpolbul.2018.04.065")</f>
        <v>http://dx.doi.org/10.1016/j.marpolbul.2018.04.065</v>
      </c>
      <c r="G472" s="14" t="s">
        <v>396</v>
      </c>
      <c r="H472" s="14" t="s">
        <v>477</v>
      </c>
      <c r="L472" s="16">
        <v>1.0</v>
      </c>
    </row>
    <row r="473" ht="12.75" customHeight="1">
      <c r="A473" s="14" t="s">
        <v>97</v>
      </c>
      <c r="B473" s="14" t="s">
        <v>401</v>
      </c>
      <c r="C473" s="14" t="s">
        <v>403</v>
      </c>
      <c r="D473" s="14" t="s">
        <v>407</v>
      </c>
      <c r="E473" s="14" t="s">
        <v>422</v>
      </c>
      <c r="F473" s="15" t="str">
        <f>HYPERLINK("http://dx.doi.org/10.1002/eap.1755","http://dx.doi.org/10.1002/eap.1755")</f>
        <v>http://dx.doi.org/10.1002/eap.1755</v>
      </c>
      <c r="G473" s="14" t="s">
        <v>423</v>
      </c>
      <c r="H473" s="14" t="s">
        <v>426</v>
      </c>
      <c r="L473" s="16">
        <v>1.0</v>
      </c>
    </row>
    <row r="474" ht="12.75" customHeight="1">
      <c r="A474" s="14" t="s">
        <v>97</v>
      </c>
      <c r="B474" s="14" t="s">
        <v>375</v>
      </c>
      <c r="C474" s="14" t="s">
        <v>377</v>
      </c>
      <c r="D474" s="14" t="s">
        <v>381</v>
      </c>
      <c r="E474" s="14" t="s">
        <v>395</v>
      </c>
      <c r="F474" s="15" t="str">
        <f>HYPERLINK("http://dx.doi.org/10.3389/fmars.2019.00370","http://dx.doi.org/10.3389/fmars.2019.00370")</f>
        <v>http://dx.doi.org/10.3389/fmars.2019.00370</v>
      </c>
      <c r="G474" s="14" t="s">
        <v>396</v>
      </c>
      <c r="H474" s="14" t="s">
        <v>400</v>
      </c>
      <c r="M474" s="16">
        <v>1.0</v>
      </c>
    </row>
    <row r="475" ht="12.75" customHeight="1">
      <c r="A475" s="14" t="s">
        <v>97</v>
      </c>
      <c r="B475" s="14" t="s">
        <v>356</v>
      </c>
      <c r="C475" s="14" t="s">
        <v>358</v>
      </c>
      <c r="D475" s="14" t="s">
        <v>361</v>
      </c>
      <c r="E475" s="14" t="s">
        <v>371</v>
      </c>
      <c r="F475" s="15" t="str">
        <f>HYPERLINK("http://dx.doi.org/10.1111/gcb.14785","http://dx.doi.org/10.1111/gcb.14785")</f>
        <v>http://dx.doi.org/10.1111/gcb.14785</v>
      </c>
      <c r="G475" s="14" t="s">
        <v>351</v>
      </c>
      <c r="H475" s="14" t="s">
        <v>374</v>
      </c>
      <c r="M475" s="16">
        <v>1.0</v>
      </c>
    </row>
    <row r="476" ht="12.75" customHeight="1">
      <c r="A476" s="14" t="s">
        <v>97</v>
      </c>
      <c r="B476" s="14" t="s">
        <v>3512</v>
      </c>
      <c r="C476" s="14" t="s">
        <v>3514</v>
      </c>
      <c r="D476" s="14" t="s">
        <v>3517</v>
      </c>
      <c r="E476" s="14" t="s">
        <v>3527</v>
      </c>
      <c r="F476" s="15" t="str">
        <f>HYPERLINK("http://dx.doi.org/10.3389/fmars.2014.00004","http://dx.doi.org/10.3389/fmars.2014.00004")</f>
        <v>http://dx.doi.org/10.3389/fmars.2014.00004</v>
      </c>
      <c r="G476" s="14" t="s">
        <v>396</v>
      </c>
      <c r="H476" s="14" t="s">
        <v>3529</v>
      </c>
      <c r="K476" s="16">
        <v>1.0</v>
      </c>
    </row>
    <row r="477" ht="12.75" customHeight="1">
      <c r="A477" s="14" t="s">
        <v>97</v>
      </c>
      <c r="B477" s="14" t="s">
        <v>325</v>
      </c>
      <c r="C477" s="14" t="s">
        <v>327</v>
      </c>
      <c r="D477" s="14" t="s">
        <v>331</v>
      </c>
      <c r="E477" s="14" t="s">
        <v>349</v>
      </c>
      <c r="F477" s="15" t="str">
        <f>HYPERLINK("http://dx.doi.org/10.1111/gcb.14810","http://dx.doi.org/10.1111/gcb.14810")</f>
        <v>http://dx.doi.org/10.1111/gcb.14810</v>
      </c>
      <c r="G477" s="14" t="s">
        <v>351</v>
      </c>
      <c r="H477" s="14" t="s">
        <v>355</v>
      </c>
      <c r="M477" s="16">
        <v>1.0</v>
      </c>
    </row>
    <row r="478" ht="12.75" customHeight="1">
      <c r="A478" s="14" t="s">
        <v>97</v>
      </c>
      <c r="B478" s="14" t="s">
        <v>10517</v>
      </c>
      <c r="C478" s="14" t="s">
        <v>10518</v>
      </c>
      <c r="D478" s="14" t="s">
        <v>10519</v>
      </c>
      <c r="E478" s="14" t="s">
        <v>10521</v>
      </c>
      <c r="F478" s="15" t="str">
        <f>HYPERLINK("http://dx.doi.org/10.2307/2388054","http://dx.doi.org/10.2307/2388054")</f>
        <v>http://dx.doi.org/10.2307/2388054</v>
      </c>
      <c r="G478" s="14" t="s">
        <v>259</v>
      </c>
      <c r="H478" s="14" t="s">
        <v>10523</v>
      </c>
      <c r="J478" s="16">
        <v>1.0</v>
      </c>
    </row>
    <row r="479" ht="12.75" customHeight="1">
      <c r="A479" s="14" t="s">
        <v>97</v>
      </c>
      <c r="B479" s="14" t="s">
        <v>10501</v>
      </c>
      <c r="C479" s="14" t="s">
        <v>10502</v>
      </c>
      <c r="D479" s="14" t="s">
        <v>10504</v>
      </c>
      <c r="E479" s="14" t="s">
        <v>10514</v>
      </c>
      <c r="F479" s="15" t="str">
        <f>HYPERLINK("http://dx.doi.org/10.2134/jeq1987.00472425001600040016x","http://dx.doi.org/10.2134/jeq1987.00472425001600040016x")</f>
        <v>http://dx.doi.org/10.2134/jeq1987.00472425001600040016x</v>
      </c>
      <c r="G479" s="14" t="s">
        <v>1041</v>
      </c>
      <c r="H479" s="14" t="s">
        <v>10516</v>
      </c>
      <c r="K479" s="16">
        <v>1.0</v>
      </c>
    </row>
    <row r="480" ht="12.75" customHeight="1">
      <c r="A480" s="14" t="s">
        <v>97</v>
      </c>
      <c r="B480" s="14" t="s">
        <v>10472</v>
      </c>
      <c r="C480" s="14" t="s">
        <v>10473</v>
      </c>
      <c r="D480" s="14" t="s">
        <v>10474</v>
      </c>
      <c r="E480" s="14" t="s">
        <v>10477</v>
      </c>
      <c r="F480" s="15" t="str">
        <f>HYPERLINK("http://dx.doi.org/10.3354/meps066285","http://dx.doi.org/10.3354/meps066285")</f>
        <v>http://dx.doi.org/10.3354/meps066285</v>
      </c>
      <c r="G480" s="14" t="s">
        <v>301</v>
      </c>
      <c r="H480" s="14" t="s">
        <v>10479</v>
      </c>
      <c r="M480" s="16">
        <v>1.0</v>
      </c>
    </row>
    <row r="481" ht="12.75" customHeight="1">
      <c r="A481" s="14" t="s">
        <v>97</v>
      </c>
      <c r="B481" s="14" t="s">
        <v>10447</v>
      </c>
      <c r="C481" s="14" t="s">
        <v>10448</v>
      </c>
      <c r="D481" s="14" t="s">
        <v>10450</v>
      </c>
      <c r="E481" s="14" t="s">
        <v>10453</v>
      </c>
      <c r="F481" s="15" t="str">
        <f>HYPERLINK("http://dx.doi.org/10.1111/j.1365-2028.1991.tb01000.x","http://dx.doi.org/10.1111/j.1365-2028.1991.tb01000.x")</f>
        <v>http://dx.doi.org/10.1111/j.1365-2028.1991.tb01000.x</v>
      </c>
      <c r="G481" s="14" t="s">
        <v>259</v>
      </c>
      <c r="H481" s="14" t="s">
        <v>10455</v>
      </c>
      <c r="J481" s="16">
        <v>1.0</v>
      </c>
    </row>
    <row r="482" ht="12.75" customHeight="1">
      <c r="A482" s="14" t="s">
        <v>97</v>
      </c>
      <c r="B482" s="14" t="s">
        <v>10438</v>
      </c>
      <c r="C482" s="14" t="s">
        <v>10439</v>
      </c>
      <c r="D482" s="14" t="s">
        <v>10440</v>
      </c>
      <c r="E482" s="14" t="s">
        <v>10444</v>
      </c>
      <c r="F482" s="15" t="str">
        <f>HYPERLINK("http://dx.doi.org/10.1046/j.1523-1739.1992.06030409.x","http://dx.doi.org/10.1046/j.1523-1739.1992.06030409.x")</f>
        <v>http://dx.doi.org/10.1046/j.1523-1739.1992.06030409.x</v>
      </c>
      <c r="G482" s="14" t="s">
        <v>351</v>
      </c>
      <c r="H482" s="14" t="s">
        <v>10446</v>
      </c>
      <c r="N482" s="16">
        <v>1.0</v>
      </c>
    </row>
    <row r="483" ht="12.75" customHeight="1">
      <c r="A483" s="14" t="s">
        <v>97</v>
      </c>
      <c r="B483" s="14" t="s">
        <v>10430</v>
      </c>
      <c r="C483" s="14" t="s">
        <v>10431</v>
      </c>
      <c r="D483" s="14" t="s">
        <v>10433</v>
      </c>
      <c r="E483" s="14" t="s">
        <v>10435</v>
      </c>
      <c r="F483" s="15" t="str">
        <f>HYPERLINK("http://dx.doi.org/10.3354/meps091313","http://dx.doi.org/10.3354/meps091313")</f>
        <v>http://dx.doi.org/10.3354/meps091313</v>
      </c>
      <c r="G483" s="14" t="s">
        <v>301</v>
      </c>
      <c r="H483" s="14" t="s">
        <v>10437</v>
      </c>
      <c r="M483" s="16">
        <v>1.0</v>
      </c>
    </row>
    <row r="484" ht="12.75" customHeight="1">
      <c r="A484" s="14" t="s">
        <v>97</v>
      </c>
      <c r="B484" s="14" t="s">
        <v>10415</v>
      </c>
      <c r="C484" s="14" t="s">
        <v>10416</v>
      </c>
      <c r="D484" s="14" t="s">
        <v>10419</v>
      </c>
      <c r="E484" s="14" t="s">
        <v>10427</v>
      </c>
      <c r="F484" s="15" t="str">
        <f>HYPERLINK("http://dx.doi.org/10.1007/BF02367167","http://dx.doi.org/10.1007/BF02367167")</f>
        <v>http://dx.doi.org/10.1007/BF02367167</v>
      </c>
      <c r="G484" s="14" t="s">
        <v>720</v>
      </c>
      <c r="H484" s="14" t="s">
        <v>10429</v>
      </c>
      <c r="M484" s="16">
        <v>1.0</v>
      </c>
    </row>
    <row r="485" ht="12.75" customHeight="1">
      <c r="A485" s="14" t="s">
        <v>97</v>
      </c>
      <c r="B485" s="14" t="s">
        <v>10397</v>
      </c>
      <c r="C485" s="14" t="s">
        <v>10398</v>
      </c>
      <c r="D485" s="14" t="s">
        <v>10401</v>
      </c>
      <c r="E485" s="14" t="s">
        <v>10403</v>
      </c>
      <c r="F485" s="15" t="str">
        <f>HYPERLINK("http://dx.doi.org/10.2307/2404595","http://dx.doi.org/10.2307/2404595")</f>
        <v>http://dx.doi.org/10.2307/2404595</v>
      </c>
      <c r="G485" s="14" t="s">
        <v>550</v>
      </c>
      <c r="H485" s="14" t="s">
        <v>10405</v>
      </c>
      <c r="I485" s="16">
        <v>1.0</v>
      </c>
    </row>
    <row r="486" ht="12.75" customHeight="1">
      <c r="A486" s="14" t="s">
        <v>97</v>
      </c>
      <c r="B486" s="14" t="s">
        <v>10406</v>
      </c>
      <c r="C486" s="14" t="s">
        <v>10407</v>
      </c>
      <c r="D486" s="14" t="s">
        <v>10409</v>
      </c>
      <c r="E486" s="14" t="s">
        <v>10412</v>
      </c>
      <c r="F486" s="15" t="str">
        <f>HYPERLINK("http://dx.doi.org/10.1016/0025-326X(94)90680-7","http://dx.doi.org/10.1016/0025-326X(94)90680-7")</f>
        <v>http://dx.doi.org/10.1016/0025-326X(94)90680-7</v>
      </c>
      <c r="G486" s="14" t="s">
        <v>396</v>
      </c>
      <c r="H486" s="14" t="s">
        <v>10414</v>
      </c>
      <c r="M486" s="16">
        <v>1.0</v>
      </c>
    </row>
    <row r="487" ht="12.75" customHeight="1">
      <c r="A487" s="14" t="s">
        <v>97</v>
      </c>
      <c r="B487" s="14" t="s">
        <v>10387</v>
      </c>
      <c r="C487" s="14" t="s">
        <v>10388</v>
      </c>
      <c r="D487" s="14" t="s">
        <v>10391</v>
      </c>
      <c r="E487" s="14" t="s">
        <v>10394</v>
      </c>
      <c r="F487" s="15" t="str">
        <f>HYPERLINK("http://dx.doi.org/10.1016/0006-3207(94)00016-J","http://dx.doi.org/10.1016/0006-3207(94)00016-J")</f>
        <v>http://dx.doi.org/10.1016/0006-3207(94)00016-J</v>
      </c>
      <c r="G487" s="14" t="s">
        <v>351</v>
      </c>
      <c r="H487" s="14" t="s">
        <v>10396</v>
      </c>
      <c r="N487" s="16">
        <v>1.0</v>
      </c>
    </row>
    <row r="488" ht="12.75" customHeight="1">
      <c r="A488" s="14" t="s">
        <v>97</v>
      </c>
      <c r="B488" s="14" t="s">
        <v>10342</v>
      </c>
      <c r="C488" s="14" t="s">
        <v>10343</v>
      </c>
      <c r="D488" s="14" t="s">
        <v>10346</v>
      </c>
      <c r="E488" s="14" t="s">
        <v>10353</v>
      </c>
      <c r="F488" s="15" t="str">
        <f>HYPERLINK("http://dx.doi.org/10.2307/2269357","http://dx.doi.org/10.2307/2269357")</f>
        <v>http://dx.doi.org/10.2307/2269357</v>
      </c>
      <c r="G488" s="14" t="s">
        <v>423</v>
      </c>
      <c r="H488" s="14" t="s">
        <v>10355</v>
      </c>
      <c r="I488" s="16">
        <v>1.0</v>
      </c>
    </row>
    <row r="489" ht="12.75" customHeight="1">
      <c r="A489" s="14" t="s">
        <v>97</v>
      </c>
      <c r="B489" s="14" t="s">
        <v>10356</v>
      </c>
      <c r="C489" s="14" t="s">
        <v>10357</v>
      </c>
      <c r="D489" s="14" t="s">
        <v>10360</v>
      </c>
      <c r="E489" s="14" t="s">
        <v>10366</v>
      </c>
      <c r="F489" s="15" t="str">
        <f>HYPERLINK("http://dx.doi.org/10.2307/2845830","http://dx.doi.org/10.2307/2845830")</f>
        <v>http://dx.doi.org/10.2307/2845830</v>
      </c>
      <c r="G489" s="14" t="s">
        <v>869</v>
      </c>
      <c r="H489" s="14" t="s">
        <v>10368</v>
      </c>
      <c r="N489" s="16">
        <v>1.0</v>
      </c>
    </row>
    <row r="490" ht="12.75" customHeight="1">
      <c r="A490" s="14" t="s">
        <v>97</v>
      </c>
      <c r="B490" s="14" t="s">
        <v>10293</v>
      </c>
      <c r="C490" s="14" t="s">
        <v>10294</v>
      </c>
      <c r="D490" s="14" t="s">
        <v>10297</v>
      </c>
      <c r="E490" s="14" t="s">
        <v>10306</v>
      </c>
      <c r="F490" s="15" t="str">
        <f>HYPERLINK("http://dx.doi.org/10.1029/95JD02138","http://dx.doi.org/10.1029/95JD02138")</f>
        <v>http://dx.doi.org/10.1029/95JD02138</v>
      </c>
      <c r="G490" s="14" t="s">
        <v>963</v>
      </c>
      <c r="H490" s="14" t="s">
        <v>10308</v>
      </c>
      <c r="L490" s="16">
        <v>1.0</v>
      </c>
    </row>
    <row r="491" ht="12.75" customHeight="1">
      <c r="A491" s="14" t="s">
        <v>97</v>
      </c>
      <c r="B491" s="14" t="s">
        <v>10309</v>
      </c>
      <c r="C491" s="14" t="s">
        <v>10310</v>
      </c>
      <c r="D491" s="14" t="s">
        <v>10314</v>
      </c>
      <c r="E491" s="14" t="s">
        <v>10322</v>
      </c>
      <c r="F491" s="15" t="str">
        <f>HYPERLINK("http://dx.doi.org/10.2307/2997467","http://dx.doi.org/10.2307/2997467")</f>
        <v>http://dx.doi.org/10.2307/2997467</v>
      </c>
      <c r="G491" s="14" t="s">
        <v>869</v>
      </c>
      <c r="H491" s="14" t="s">
        <v>10324</v>
      </c>
      <c r="N491" s="16">
        <v>1.0</v>
      </c>
    </row>
    <row r="492" ht="12.75" customHeight="1">
      <c r="A492" s="14" t="s">
        <v>97</v>
      </c>
      <c r="B492" s="14" t="s">
        <v>10271</v>
      </c>
      <c r="C492" s="14" t="s">
        <v>10272</v>
      </c>
      <c r="D492" s="14" t="s">
        <v>10279</v>
      </c>
      <c r="E492" s="14" t="s">
        <v>10289</v>
      </c>
      <c r="F492" s="15" t="str">
        <f>HYPERLINK("http://dx.doi.org/10.4319/lo.1996.41.5.1109","http://dx.doi.org/10.4319/lo.1996.41.5.1109")</f>
        <v>http://dx.doi.org/10.4319/lo.1996.41.5.1109</v>
      </c>
      <c r="G492" s="14" t="s">
        <v>10290</v>
      </c>
      <c r="H492" s="14" t="s">
        <v>10292</v>
      </c>
      <c r="N492" s="16">
        <v>1.0</v>
      </c>
    </row>
    <row r="493" ht="12.75" customHeight="1">
      <c r="A493" s="14" t="s">
        <v>97</v>
      </c>
      <c r="B493" s="14" t="s">
        <v>10231</v>
      </c>
      <c r="C493" s="14" t="s">
        <v>10232</v>
      </c>
      <c r="D493" s="14" t="s">
        <v>10239</v>
      </c>
      <c r="E493" s="14" t="s">
        <v>10241</v>
      </c>
      <c r="F493" s="15" t="str">
        <f>HYPERLINK("http://dx.doi.org/10.1006/jmsc.1996.0117","http://dx.doi.org/10.1006/jmsc.1996.0117")</f>
        <v>http://dx.doi.org/10.1006/jmsc.1996.0117</v>
      </c>
      <c r="G493" s="14" t="s">
        <v>3086</v>
      </c>
      <c r="H493" s="14" t="s">
        <v>10243</v>
      </c>
      <c r="M493" s="16">
        <v>1.0</v>
      </c>
    </row>
    <row r="494" ht="12.75" customHeight="1">
      <c r="A494" s="14" t="s">
        <v>97</v>
      </c>
      <c r="B494" s="14" t="s">
        <v>10255</v>
      </c>
      <c r="C494" s="14" t="s">
        <v>10256</v>
      </c>
      <c r="D494" s="14" t="s">
        <v>10260</v>
      </c>
      <c r="E494" s="14" t="s">
        <v>10268</v>
      </c>
      <c r="F494" s="15" t="str">
        <f>HYPERLINK("http://dx.doi.org/10.1017/S0376892900038819","http://dx.doi.org/10.1017/S0376892900038819")</f>
        <v>http://dx.doi.org/10.1017/S0376892900038819</v>
      </c>
      <c r="G494" s="14" t="s">
        <v>598</v>
      </c>
      <c r="H494" s="14" t="s">
        <v>10270</v>
      </c>
      <c r="M494" s="16">
        <v>1.0</v>
      </c>
    </row>
    <row r="495" ht="12.75" customHeight="1">
      <c r="A495" s="14" t="s">
        <v>97</v>
      </c>
      <c r="B495" s="14" t="s">
        <v>10325</v>
      </c>
      <c r="C495" s="14" t="s">
        <v>10326</v>
      </c>
      <c r="D495" s="14" t="s">
        <v>10330</v>
      </c>
      <c r="E495" s="14" t="s">
        <v>10339</v>
      </c>
      <c r="F495" s="15" t="str">
        <f>HYPERLINK("http://dx.doi.org/10.1080/12538078.1996.10515741","http://dx.doi.org/10.1080/12538078.1996.10515741")</f>
        <v>http://dx.doi.org/10.1080/12538078.1996.10515741</v>
      </c>
      <c r="G495" s="14" t="s">
        <v>214</v>
      </c>
      <c r="H495" s="14" t="s">
        <v>10341</v>
      </c>
      <c r="I495" s="16">
        <v>1.0</v>
      </c>
    </row>
    <row r="496" ht="12.75" customHeight="1">
      <c r="A496" s="14" t="s">
        <v>97</v>
      </c>
      <c r="B496" s="14" t="s">
        <v>10215</v>
      </c>
      <c r="C496" s="14" t="s">
        <v>10216</v>
      </c>
      <c r="D496" s="14" t="s">
        <v>10220</v>
      </c>
      <c r="E496" s="14" t="s">
        <v>10228</v>
      </c>
      <c r="F496" s="15" t="str">
        <f>HYPERLINK("http://dx.doi.org/10.2307/3802425","http://dx.doi.org/10.2307/3802425")</f>
        <v>http://dx.doi.org/10.2307/3802425</v>
      </c>
      <c r="G496" s="14" t="s">
        <v>189</v>
      </c>
      <c r="H496" s="14" t="s">
        <v>10230</v>
      </c>
      <c r="I496" s="16">
        <v>1.0</v>
      </c>
    </row>
    <row r="497" ht="12.75" customHeight="1">
      <c r="A497" s="14" t="s">
        <v>97</v>
      </c>
      <c r="B497" s="14" t="s">
        <v>10205</v>
      </c>
      <c r="C497" s="14" t="s">
        <v>10206</v>
      </c>
      <c r="D497" s="14" t="s">
        <v>10209</v>
      </c>
      <c r="E497" s="14" t="s">
        <v>10212</v>
      </c>
      <c r="F497" s="15" t="str">
        <f>HYPERLINK("http://dx.doi.org/10.1016/S0378-1127(97)00052-2","http://dx.doi.org/10.1016/S0378-1127(97)00052-2")</f>
        <v>http://dx.doi.org/10.1016/S0378-1127(97)00052-2</v>
      </c>
      <c r="G497" s="14" t="s">
        <v>281</v>
      </c>
      <c r="H497" s="14" t="s">
        <v>10214</v>
      </c>
      <c r="I497" s="16">
        <v>1.0</v>
      </c>
    </row>
    <row r="498" ht="12.75" customHeight="1">
      <c r="A498" s="14" t="s">
        <v>97</v>
      </c>
      <c r="B498" s="14" t="s">
        <v>10171</v>
      </c>
      <c r="C498" s="14" t="s">
        <v>10172</v>
      </c>
      <c r="D498" s="14" t="s">
        <v>10173</v>
      </c>
      <c r="E498" s="14" t="s">
        <v>10178</v>
      </c>
      <c r="F498" s="15" t="str">
        <f>HYPERLINK("http://dx.doi.org/10.1046/j.1523-1739.1997.96048.x","http://dx.doi.org/10.1046/j.1523-1739.1997.96048.x")</f>
        <v>http://dx.doi.org/10.1046/j.1523-1739.1997.96048.x</v>
      </c>
      <c r="G498" s="14" t="s">
        <v>351</v>
      </c>
      <c r="H498" s="14" t="s">
        <v>10180</v>
      </c>
      <c r="J498" s="16">
        <v>1.0</v>
      </c>
    </row>
  </sheetData>
  <autoFilter ref="$A$1:$N$498">
    <sortState ref="A1:N498">
      <sortCondition ref="H1:H498"/>
      <sortCondition ref="N1:N498"/>
      <sortCondition ref="M1:M498"/>
      <sortCondition ref="L1:L498"/>
      <sortCondition ref="K1:K498"/>
    </sortState>
  </autoFilter>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B5" s="16" t="s">
        <v>10531</v>
      </c>
    </row>
    <row r="7">
      <c r="B7" s="16" t="s">
        <v>10532</v>
      </c>
    </row>
    <row r="8">
      <c r="B8" s="16" t="s">
        <v>10533</v>
      </c>
    </row>
    <row r="9">
      <c r="B9" s="16" t="s">
        <v>10534</v>
      </c>
    </row>
    <row r="10">
      <c r="B10" s="16" t="s">
        <v>10535</v>
      </c>
    </row>
    <row r="11">
      <c r="B11" s="16" t="s">
        <v>10536</v>
      </c>
    </row>
    <row r="12">
      <c r="B12" s="16" t="s">
        <v>10537</v>
      </c>
    </row>
    <row r="13">
      <c r="B13" s="16" t="s">
        <v>10538</v>
      </c>
    </row>
    <row r="14">
      <c r="B14" s="16" t="s">
        <v>10539</v>
      </c>
    </row>
    <row r="15">
      <c r="B15" s="16" t="s">
        <v>10540</v>
      </c>
    </row>
    <row r="16">
      <c r="B16" s="16" t="s">
        <v>10541</v>
      </c>
    </row>
    <row r="17">
      <c r="B17" s="16" t="s">
        <v>10542</v>
      </c>
    </row>
    <row r="18">
      <c r="B18" s="16" t="s">
        <v>10543</v>
      </c>
    </row>
    <row r="19">
      <c r="B19" s="16" t="s">
        <v>10544</v>
      </c>
    </row>
    <row r="20">
      <c r="B20" s="16" t="s">
        <v>10545</v>
      </c>
    </row>
    <row r="21">
      <c r="B21" s="16" t="s">
        <v>10546</v>
      </c>
    </row>
    <row r="22">
      <c r="B22" s="16" t="s">
        <v>10547</v>
      </c>
    </row>
    <row r="23">
      <c r="B23" s="16" t="s">
        <v>799</v>
      </c>
    </row>
    <row r="24">
      <c r="B24" s="16" t="s">
        <v>10548</v>
      </c>
    </row>
    <row r="26">
      <c r="B26" s="16" t="s">
        <v>10549</v>
      </c>
    </row>
    <row r="27">
      <c r="B27" s="16" t="s">
        <v>10550</v>
      </c>
    </row>
    <row r="28">
      <c r="B28" s="16" t="s">
        <v>10550</v>
      </c>
    </row>
    <row r="29">
      <c r="B29" s="16" t="s">
        <v>10551</v>
      </c>
    </row>
    <row r="30">
      <c r="B30" s="16" t="s">
        <v>10552</v>
      </c>
    </row>
    <row r="31">
      <c r="B31" s="16" t="s">
        <v>10553</v>
      </c>
    </row>
    <row r="32">
      <c r="B32" s="16" t="s">
        <v>10548</v>
      </c>
    </row>
    <row r="33">
      <c r="B33" s="16" t="s">
        <v>10554</v>
      </c>
    </row>
    <row r="34">
      <c r="B34" s="16" t="s">
        <v>10555</v>
      </c>
    </row>
    <row r="35">
      <c r="B35" s="16" t="s">
        <v>10548</v>
      </c>
    </row>
    <row r="37">
      <c r="B37" s="16" t="s">
        <v>10556</v>
      </c>
    </row>
    <row r="38">
      <c r="B38" s="16" t="s">
        <v>10550</v>
      </c>
    </row>
    <row r="39">
      <c r="B39" s="16" t="s">
        <v>10550</v>
      </c>
    </row>
    <row r="40">
      <c r="B40" s="16" t="s">
        <v>10557</v>
      </c>
    </row>
    <row r="41">
      <c r="B41" s="16" t="s">
        <v>10558</v>
      </c>
    </row>
    <row r="42">
      <c r="B42" s="16" t="s">
        <v>10559</v>
      </c>
    </row>
    <row r="43">
      <c r="B43" s="16" t="s">
        <v>10560</v>
      </c>
    </row>
    <row r="44">
      <c r="B44" s="16" t="s">
        <v>10561</v>
      </c>
    </row>
    <row r="45">
      <c r="B45" s="16" t="s">
        <v>10562</v>
      </c>
    </row>
    <row r="46">
      <c r="B46" s="16" t="s">
        <v>10563</v>
      </c>
    </row>
    <row r="47">
      <c r="B47" s="16" t="s">
        <v>10564</v>
      </c>
    </row>
    <row r="48">
      <c r="B48" s="16" t="s">
        <v>10565</v>
      </c>
    </row>
    <row r="49">
      <c r="B49" s="16" t="s">
        <v>10566</v>
      </c>
    </row>
    <row r="50">
      <c r="B50" s="16" t="s">
        <v>10567</v>
      </c>
    </row>
    <row r="51">
      <c r="B51" s="16" t="s">
        <v>10568</v>
      </c>
    </row>
    <row r="52">
      <c r="B52" s="16" t="s">
        <v>10569</v>
      </c>
    </row>
    <row r="53">
      <c r="B53" s="16" t="s">
        <v>10570</v>
      </c>
    </row>
    <row r="54">
      <c r="B54" s="16" t="s">
        <v>10571</v>
      </c>
    </row>
    <row r="55">
      <c r="B55" s="16" t="s">
        <v>10548</v>
      </c>
    </row>
    <row r="56">
      <c r="B56" s="16" t="s">
        <v>10554</v>
      </c>
    </row>
    <row r="57">
      <c r="B57" s="16" t="s">
        <v>10550</v>
      </c>
    </row>
    <row r="58">
      <c r="B58" s="16" t="s">
        <v>10572</v>
      </c>
    </row>
    <row r="59">
      <c r="B59" s="16" t="s">
        <v>10573</v>
      </c>
    </row>
    <row r="60">
      <c r="B60" s="16" t="s">
        <v>10574</v>
      </c>
    </row>
    <row r="61">
      <c r="B61" s="16" t="s">
        <v>10575</v>
      </c>
    </row>
    <row r="62">
      <c r="B62" s="16" t="s">
        <v>10576</v>
      </c>
    </row>
    <row r="63">
      <c r="B63" s="16" t="s">
        <v>10577</v>
      </c>
    </row>
    <row r="64">
      <c r="B64" s="16" t="s">
        <v>10578</v>
      </c>
    </row>
    <row r="65">
      <c r="B65" s="16" t="s">
        <v>10548</v>
      </c>
    </row>
    <row r="66">
      <c r="B66" s="16" t="s">
        <v>10554</v>
      </c>
    </row>
    <row r="67">
      <c r="B67" s="16" t="s">
        <v>10550</v>
      </c>
    </row>
    <row r="68">
      <c r="B68" s="16" t="s">
        <v>10579</v>
      </c>
    </row>
    <row r="69">
      <c r="B69" s="16" t="s">
        <v>10580</v>
      </c>
    </row>
    <row r="70">
      <c r="B70" s="16" t="s">
        <v>10581</v>
      </c>
    </row>
    <row r="71">
      <c r="B71" s="16" t="s">
        <v>10582</v>
      </c>
    </row>
    <row r="72">
      <c r="B72" s="16" t="s">
        <v>10583</v>
      </c>
    </row>
    <row r="73">
      <c r="B73" s="16" t="s">
        <v>10584</v>
      </c>
    </row>
    <row r="74">
      <c r="B74" s="16" t="s">
        <v>10548</v>
      </c>
    </row>
    <row r="75">
      <c r="B75" s="16" t="s">
        <v>10554</v>
      </c>
    </row>
    <row r="76">
      <c r="B76" s="16" t="s">
        <v>10550</v>
      </c>
    </row>
    <row r="77">
      <c r="B77" s="16" t="s">
        <v>10585</v>
      </c>
    </row>
    <row r="78">
      <c r="B78" s="16" t="s">
        <v>10586</v>
      </c>
    </row>
    <row r="79">
      <c r="B79" s="16" t="s">
        <v>10587</v>
      </c>
    </row>
    <row r="80">
      <c r="B80" s="16" t="s">
        <v>10588</v>
      </c>
    </row>
    <row r="81">
      <c r="B81" s="16" t="s">
        <v>10589</v>
      </c>
    </row>
    <row r="82">
      <c r="B82" s="16" t="s">
        <v>10590</v>
      </c>
    </row>
    <row r="83">
      <c r="B83" s="16" t="s">
        <v>10591</v>
      </c>
    </row>
    <row r="84">
      <c r="B84" s="16" t="s">
        <v>10548</v>
      </c>
    </row>
    <row r="85">
      <c r="B85" s="16" t="s">
        <v>10554</v>
      </c>
    </row>
    <row r="86">
      <c r="B86" s="16" t="s">
        <v>10550</v>
      </c>
    </row>
    <row r="87">
      <c r="B87" s="16" t="s">
        <v>10592</v>
      </c>
    </row>
    <row r="88">
      <c r="B88" s="16" t="s">
        <v>10593</v>
      </c>
    </row>
    <row r="89">
      <c r="B89" s="16" t="s">
        <v>10548</v>
      </c>
    </row>
    <row r="91">
      <c r="B91" s="16" t="s">
        <v>10548</v>
      </c>
    </row>
    <row r="92">
      <c r="B92" s="16" t="s">
        <v>10548</v>
      </c>
    </row>
    <row r="94">
      <c r="B94" s="16" t="s">
        <v>10594</v>
      </c>
    </row>
    <row r="95">
      <c r="B95" s="16" t="s">
        <v>10595</v>
      </c>
    </row>
    <row r="96">
      <c r="B96" s="16" t="s">
        <v>10596</v>
      </c>
    </row>
    <row r="97">
      <c r="B97" s="16" t="s">
        <v>10597</v>
      </c>
    </row>
    <row r="98">
      <c r="B98" s="16" t="s">
        <v>10598</v>
      </c>
    </row>
    <row r="99">
      <c r="B99" s="16" t="s">
        <v>10599</v>
      </c>
    </row>
    <row r="100">
      <c r="B100" s="16" t="s">
        <v>10600</v>
      </c>
    </row>
    <row r="101">
      <c r="B101" s="16" t="s">
        <v>10601</v>
      </c>
    </row>
    <row r="102">
      <c r="B102" s="16" t="s">
        <v>10602</v>
      </c>
    </row>
    <row r="103">
      <c r="B103" s="16" t="s">
        <v>10603</v>
      </c>
    </row>
    <row r="104">
      <c r="B104" s="16" t="s">
        <v>10604</v>
      </c>
    </row>
    <row r="105">
      <c r="B105" s="16" t="s">
        <v>10605</v>
      </c>
    </row>
    <row r="106">
      <c r="B106" s="16" t="s">
        <v>10606</v>
      </c>
    </row>
    <row r="107">
      <c r="B107" s="16" t="s">
        <v>10607</v>
      </c>
    </row>
    <row r="108">
      <c r="B108" s="16" t="s">
        <v>10608</v>
      </c>
    </row>
    <row r="109">
      <c r="B109" s="16" t="s">
        <v>10609</v>
      </c>
    </row>
    <row r="110">
      <c r="B110" s="16" t="s">
        <v>10610</v>
      </c>
    </row>
    <row r="111">
      <c r="B111" s="16" t="s">
        <v>10611</v>
      </c>
    </row>
    <row r="112">
      <c r="B112" s="16" t="s">
        <v>10612</v>
      </c>
    </row>
    <row r="113">
      <c r="B113" s="16" t="s">
        <v>10613</v>
      </c>
    </row>
    <row r="114">
      <c r="B114" s="16" t="s">
        <v>10614</v>
      </c>
    </row>
    <row r="115">
      <c r="B115" s="16" t="s">
        <v>10615</v>
      </c>
    </row>
    <row r="116">
      <c r="B116" s="16" t="s">
        <v>10616</v>
      </c>
    </row>
    <row r="117">
      <c r="B117" s="16" t="s">
        <v>10617</v>
      </c>
    </row>
    <row r="118">
      <c r="B118" s="16" t="s">
        <v>10618</v>
      </c>
    </row>
    <row r="119">
      <c r="B119" s="16" t="s">
        <v>10619</v>
      </c>
    </row>
    <row r="120">
      <c r="B120" s="16" t="s">
        <v>10620</v>
      </c>
    </row>
    <row r="121">
      <c r="B121" s="16" t="s">
        <v>10621</v>
      </c>
    </row>
    <row r="122">
      <c r="B122" s="16" t="s">
        <v>10622</v>
      </c>
    </row>
    <row r="123">
      <c r="B123" s="16" t="s">
        <v>10623</v>
      </c>
    </row>
    <row r="124">
      <c r="B124" s="16" t="s">
        <v>10624</v>
      </c>
    </row>
    <row r="125">
      <c r="B125" s="16" t="s">
        <v>10625</v>
      </c>
    </row>
    <row r="126">
      <c r="B126" s="16" t="s">
        <v>10626</v>
      </c>
    </row>
    <row r="127">
      <c r="B127" s="16" t="s">
        <v>10627</v>
      </c>
    </row>
    <row r="128">
      <c r="B128" s="16" t="s">
        <v>10628</v>
      </c>
    </row>
    <row r="129">
      <c r="B129" s="16" t="s">
        <v>10629</v>
      </c>
    </row>
    <row r="130">
      <c r="B130" s="16" t="s">
        <v>10630</v>
      </c>
    </row>
    <row r="131">
      <c r="B131" s="16" t="s">
        <v>10631</v>
      </c>
    </row>
    <row r="132">
      <c r="B132" s="16" t="s">
        <v>10632</v>
      </c>
    </row>
    <row r="133">
      <c r="B133" s="16" t="s">
        <v>10633</v>
      </c>
    </row>
    <row r="134">
      <c r="B134" s="16" t="s">
        <v>10634</v>
      </c>
    </row>
    <row r="135">
      <c r="B135" s="16" t="s">
        <v>10635</v>
      </c>
    </row>
    <row r="136">
      <c r="B136" s="16" t="s">
        <v>10636</v>
      </c>
    </row>
    <row r="137">
      <c r="B137" s="16" t="s">
        <v>10637</v>
      </c>
    </row>
    <row r="138">
      <c r="B138" s="16" t="s">
        <v>10638</v>
      </c>
    </row>
    <row r="139">
      <c r="B139" s="16" t="s">
        <v>10639</v>
      </c>
    </row>
    <row r="140">
      <c r="B140" s="16" t="s">
        <v>10640</v>
      </c>
    </row>
    <row r="141">
      <c r="B141" s="16" t="s">
        <v>10641</v>
      </c>
    </row>
    <row r="142">
      <c r="B142" s="16" t="s">
        <v>10642</v>
      </c>
    </row>
    <row r="143">
      <c r="B143" s="16" t="s">
        <v>10643</v>
      </c>
    </row>
    <row r="144">
      <c r="B144" s="16" t="s">
        <v>10644</v>
      </c>
    </row>
    <row r="145">
      <c r="B145" s="16" t="s">
        <v>10645</v>
      </c>
    </row>
    <row r="146">
      <c r="B146" s="16" t="s">
        <v>10646</v>
      </c>
    </row>
    <row r="147">
      <c r="B147" s="16" t="s">
        <v>10647</v>
      </c>
    </row>
    <row r="148">
      <c r="B148" s="16" t="s">
        <v>10648</v>
      </c>
    </row>
    <row r="149">
      <c r="B149" s="16" t="s">
        <v>10649</v>
      </c>
    </row>
    <row r="150">
      <c r="B150" s="16" t="s">
        <v>10650</v>
      </c>
    </row>
    <row r="151">
      <c r="B151" s="16" t="s">
        <v>10651</v>
      </c>
    </row>
    <row r="152">
      <c r="B152" s="16" t="s">
        <v>10652</v>
      </c>
    </row>
    <row r="153">
      <c r="B153" s="16" t="s">
        <v>10653</v>
      </c>
    </row>
    <row r="154">
      <c r="B154" s="16" t="s">
        <v>10654</v>
      </c>
    </row>
    <row r="155">
      <c r="B155" s="16" t="s">
        <v>10655</v>
      </c>
    </row>
    <row r="156">
      <c r="B156" s="16" t="s">
        <v>10656</v>
      </c>
    </row>
    <row r="157">
      <c r="B157" s="16" t="s">
        <v>10657</v>
      </c>
    </row>
    <row r="158">
      <c r="B158" s="16" t="s">
        <v>10658</v>
      </c>
    </row>
    <row r="159">
      <c r="B159" s="16" t="s">
        <v>10659</v>
      </c>
    </row>
    <row r="160">
      <c r="B160" s="16" t="s">
        <v>10660</v>
      </c>
    </row>
    <row r="161">
      <c r="B161" s="16" t="s">
        <v>10661</v>
      </c>
    </row>
    <row r="162">
      <c r="B162" s="16" t="s">
        <v>10662</v>
      </c>
    </row>
    <row r="163">
      <c r="B163" s="16" t="s">
        <v>10663</v>
      </c>
    </row>
    <row r="164">
      <c r="B164" s="16" t="s">
        <v>10664</v>
      </c>
    </row>
    <row r="165">
      <c r="B165" s="16" t="s">
        <v>10665</v>
      </c>
    </row>
    <row r="166">
      <c r="B166" s="16" t="s">
        <v>10666</v>
      </c>
    </row>
    <row r="167">
      <c r="B167" s="16" t="s">
        <v>10667</v>
      </c>
    </row>
    <row r="168">
      <c r="B168" s="16" t="s">
        <v>10668</v>
      </c>
    </row>
    <row r="169">
      <c r="B169" s="16" t="s">
        <v>10669</v>
      </c>
    </row>
    <row r="170">
      <c r="B170" s="16" t="s">
        <v>10670</v>
      </c>
    </row>
    <row r="171">
      <c r="B171" s="16" t="s">
        <v>10671</v>
      </c>
    </row>
    <row r="172">
      <c r="B172" s="16" t="s">
        <v>10672</v>
      </c>
    </row>
    <row r="173">
      <c r="B173" s="16" t="s">
        <v>10673</v>
      </c>
    </row>
    <row r="174">
      <c r="B174" s="16" t="s">
        <v>10674</v>
      </c>
    </row>
    <row r="175">
      <c r="B175" s="16" t="s">
        <v>10675</v>
      </c>
    </row>
    <row r="176">
      <c r="B176" s="16" t="s">
        <v>10676</v>
      </c>
    </row>
    <row r="177">
      <c r="B177" s="16" t="s">
        <v>10677</v>
      </c>
    </row>
    <row r="178">
      <c r="B178" s="16" t="s">
        <v>10678</v>
      </c>
    </row>
    <row r="179">
      <c r="B179" s="16" t="s">
        <v>10679</v>
      </c>
    </row>
    <row r="180">
      <c r="B180" s="16" t="s">
        <v>10680</v>
      </c>
    </row>
    <row r="181">
      <c r="B181" s="16" t="s">
        <v>10681</v>
      </c>
    </row>
    <row r="182">
      <c r="B182" s="16" t="s">
        <v>10682</v>
      </c>
    </row>
    <row r="183">
      <c r="B183" s="16" t="s">
        <v>10683</v>
      </c>
    </row>
    <row r="184">
      <c r="B184" s="16" t="s">
        <v>10684</v>
      </c>
    </row>
    <row r="185">
      <c r="B185" s="16" t="s">
        <v>10685</v>
      </c>
    </row>
    <row r="186">
      <c r="B186" s="16" t="s">
        <v>10686</v>
      </c>
    </row>
    <row r="187">
      <c r="B187" s="16" t="s">
        <v>10687</v>
      </c>
    </row>
    <row r="188">
      <c r="B188" s="16" t="s">
        <v>10688</v>
      </c>
    </row>
    <row r="189">
      <c r="B189" s="16" t="s">
        <v>10689</v>
      </c>
    </row>
    <row r="190">
      <c r="B190" s="16" t="s">
        <v>10690</v>
      </c>
    </row>
    <row r="191">
      <c r="B191" s="16" t="s">
        <v>10691</v>
      </c>
    </row>
    <row r="192">
      <c r="B192" s="16" t="s">
        <v>10692</v>
      </c>
    </row>
    <row r="193">
      <c r="B193" s="16" t="s">
        <v>10693</v>
      </c>
    </row>
    <row r="194">
      <c r="B194" s="16" t="s">
        <v>10694</v>
      </c>
    </row>
    <row r="195">
      <c r="B195" s="16" t="s">
        <v>10695</v>
      </c>
    </row>
    <row r="197">
      <c r="B197" s="16" t="s">
        <v>10696</v>
      </c>
    </row>
    <row r="198">
      <c r="B198" s="16" t="s">
        <v>10697</v>
      </c>
    </row>
    <row r="199">
      <c r="B199" s="16" t="s">
        <v>10698</v>
      </c>
    </row>
    <row r="200">
      <c r="B200" s="16" t="s">
        <v>10699</v>
      </c>
    </row>
    <row r="201">
      <c r="B201" s="16" t="s">
        <v>10700</v>
      </c>
    </row>
    <row r="202">
      <c r="B202" s="16" t="s">
        <v>10701</v>
      </c>
    </row>
    <row r="203">
      <c r="B203" s="16" t="s">
        <v>10702</v>
      </c>
    </row>
    <row r="204">
      <c r="B204" s="16" t="s">
        <v>10703</v>
      </c>
    </row>
    <row r="205">
      <c r="B205" s="16" t="s">
        <v>10704</v>
      </c>
    </row>
    <row r="206">
      <c r="B206" s="16" t="s">
        <v>10705</v>
      </c>
    </row>
    <row r="207">
      <c r="B207" s="16" t="s">
        <v>10706</v>
      </c>
    </row>
    <row r="208">
      <c r="B208" s="16" t="s">
        <v>10707</v>
      </c>
    </row>
    <row r="209">
      <c r="B209" s="16" t="s">
        <v>10708</v>
      </c>
    </row>
    <row r="210">
      <c r="B210" s="16" t="s">
        <v>10709</v>
      </c>
    </row>
    <row r="211">
      <c r="B211" s="16" t="s">
        <v>10710</v>
      </c>
    </row>
    <row r="212">
      <c r="B212" s="16" t="s">
        <v>10711</v>
      </c>
    </row>
    <row r="213">
      <c r="B213" s="16" t="s">
        <v>10712</v>
      </c>
    </row>
    <row r="214">
      <c r="B214" s="16" t="s">
        <v>10713</v>
      </c>
    </row>
    <row r="215">
      <c r="B215" s="16" t="s">
        <v>10714</v>
      </c>
    </row>
    <row r="216">
      <c r="B216" s="16" t="s">
        <v>10715</v>
      </c>
    </row>
    <row r="217">
      <c r="B217" s="16" t="s">
        <v>10715</v>
      </c>
    </row>
    <row r="218">
      <c r="B218" s="16" t="s">
        <v>10716</v>
      </c>
    </row>
    <row r="219">
      <c r="B219" s="16" t="s">
        <v>10717</v>
      </c>
    </row>
    <row r="220">
      <c r="B220" s="16" t="s">
        <v>10718</v>
      </c>
    </row>
    <row r="221">
      <c r="B221" s="16" t="s">
        <v>10719</v>
      </c>
    </row>
    <row r="222">
      <c r="B222" s="16" t="s">
        <v>10720</v>
      </c>
    </row>
    <row r="223">
      <c r="B223" s="16" t="s">
        <v>10721</v>
      </c>
    </row>
    <row r="224">
      <c r="B224" s="16" t="s">
        <v>10722</v>
      </c>
    </row>
    <row r="225">
      <c r="B225" s="16" t="s">
        <v>10723</v>
      </c>
    </row>
    <row r="226">
      <c r="B226" s="16" t="s">
        <v>10724</v>
      </c>
    </row>
    <row r="227">
      <c r="B227" s="16" t="s">
        <v>10725</v>
      </c>
    </row>
    <row r="228">
      <c r="B228" s="16" t="s">
        <v>10726</v>
      </c>
    </row>
    <row r="229">
      <c r="B229" s="16" t="s">
        <v>10727</v>
      </c>
    </row>
    <row r="230">
      <c r="B230" s="16" t="s">
        <v>10728</v>
      </c>
    </row>
    <row r="231">
      <c r="B231" s="16" t="s">
        <v>10729</v>
      </c>
    </row>
    <row r="232">
      <c r="B232" s="16" t="s">
        <v>10730</v>
      </c>
    </row>
    <row r="233">
      <c r="B233" s="16" t="s">
        <v>10731</v>
      </c>
    </row>
    <row r="234">
      <c r="B234" s="16" t="s">
        <v>10732</v>
      </c>
    </row>
    <row r="235">
      <c r="B235" s="16" t="s">
        <v>10733</v>
      </c>
    </row>
    <row r="236">
      <c r="B236" s="16" t="s">
        <v>10734</v>
      </c>
    </row>
    <row r="237">
      <c r="B237" s="16" t="s">
        <v>10735</v>
      </c>
    </row>
    <row r="238">
      <c r="B238" s="16" t="s">
        <v>10736</v>
      </c>
    </row>
    <row r="239">
      <c r="B239" s="16" t="s">
        <v>10737</v>
      </c>
    </row>
    <row r="240">
      <c r="B240" s="16" t="s">
        <v>10738</v>
      </c>
    </row>
    <row r="241">
      <c r="B241" s="16" t="s">
        <v>10739</v>
      </c>
    </row>
    <row r="242">
      <c r="B242" s="16" t="s">
        <v>10740</v>
      </c>
    </row>
    <row r="243">
      <c r="B243" s="16" t="s">
        <v>10741</v>
      </c>
    </row>
    <row r="244">
      <c r="B244" s="16" t="s">
        <v>10742</v>
      </c>
    </row>
    <row r="245">
      <c r="B245" s="16" t="s">
        <v>10743</v>
      </c>
    </row>
    <row r="246">
      <c r="B246" s="16" t="s">
        <v>10744</v>
      </c>
    </row>
    <row r="247">
      <c r="B247" s="16" t="s">
        <v>10745</v>
      </c>
    </row>
    <row r="248">
      <c r="B248" s="16" t="s">
        <v>10746</v>
      </c>
    </row>
    <row r="249">
      <c r="B249" s="16" t="s">
        <v>10747</v>
      </c>
    </row>
    <row r="250">
      <c r="B250" s="16" t="s">
        <v>10748</v>
      </c>
    </row>
    <row r="251">
      <c r="B251" s="16" t="s">
        <v>10749</v>
      </c>
    </row>
    <row r="252">
      <c r="B252" s="16" t="s">
        <v>10750</v>
      </c>
    </row>
    <row r="253">
      <c r="B253" s="16" t="s">
        <v>10751</v>
      </c>
    </row>
    <row r="254">
      <c r="B254" s="16" t="s">
        <v>10752</v>
      </c>
    </row>
    <row r="255">
      <c r="B255" s="16" t="s">
        <v>10753</v>
      </c>
    </row>
    <row r="256">
      <c r="B256" s="16" t="s">
        <v>10754</v>
      </c>
    </row>
    <row r="257">
      <c r="B257" s="16" t="s">
        <v>10755</v>
      </c>
    </row>
    <row r="258">
      <c r="B258" s="16" t="s">
        <v>10756</v>
      </c>
    </row>
    <row r="259">
      <c r="B259" s="16" t="s">
        <v>10757</v>
      </c>
    </row>
    <row r="260">
      <c r="B260" s="16" t="s">
        <v>10758</v>
      </c>
    </row>
    <row r="261">
      <c r="B261" s="16" t="s">
        <v>10759</v>
      </c>
    </row>
    <row r="262">
      <c r="B262" s="16" t="s">
        <v>10760</v>
      </c>
    </row>
    <row r="263">
      <c r="B263" s="16" t="s">
        <v>10761</v>
      </c>
    </row>
    <row r="264">
      <c r="B264" s="16" t="s">
        <v>10762</v>
      </c>
    </row>
    <row r="265">
      <c r="B265" s="16" t="s">
        <v>10763</v>
      </c>
    </row>
    <row r="266">
      <c r="B266" s="16" t="s">
        <v>10764</v>
      </c>
    </row>
    <row r="267">
      <c r="B267" s="16" t="s">
        <v>10765</v>
      </c>
    </row>
    <row r="268">
      <c r="B268" s="16" t="s">
        <v>10766</v>
      </c>
    </row>
    <row r="269">
      <c r="B269" s="16" t="s">
        <v>10767</v>
      </c>
    </row>
    <row r="270">
      <c r="B270" s="16" t="s">
        <v>10768</v>
      </c>
    </row>
    <row r="271">
      <c r="B271" s="16" t="s">
        <v>10769</v>
      </c>
    </row>
    <row r="272">
      <c r="B272" s="16" t="s">
        <v>10770</v>
      </c>
    </row>
    <row r="273">
      <c r="B273" s="16" t="s">
        <v>10771</v>
      </c>
    </row>
    <row r="274">
      <c r="B274" s="16" t="s">
        <v>10772</v>
      </c>
    </row>
    <row r="275">
      <c r="B275" s="16" t="s">
        <v>10773</v>
      </c>
    </row>
    <row r="276">
      <c r="B276" s="16" t="s">
        <v>10774</v>
      </c>
    </row>
    <row r="277">
      <c r="B277" s="16" t="s">
        <v>10775</v>
      </c>
    </row>
    <row r="278">
      <c r="B278" s="16" t="s">
        <v>10776</v>
      </c>
    </row>
    <row r="279">
      <c r="B279" s="16" t="s">
        <v>10777</v>
      </c>
    </row>
    <row r="280">
      <c r="B280" s="16" t="s">
        <v>10778</v>
      </c>
    </row>
    <row r="281">
      <c r="B281" s="16" t="s">
        <v>10779</v>
      </c>
    </row>
    <row r="282">
      <c r="B282" s="16" t="s">
        <v>10780</v>
      </c>
    </row>
    <row r="283">
      <c r="B283" s="16" t="s">
        <v>10781</v>
      </c>
    </row>
    <row r="284">
      <c r="B284" s="16" t="s">
        <v>10782</v>
      </c>
    </row>
    <row r="285">
      <c r="B285" s="16" t="s">
        <v>10783</v>
      </c>
    </row>
    <row r="286">
      <c r="B286" s="16" t="s">
        <v>10784</v>
      </c>
    </row>
    <row r="287">
      <c r="B287" s="16" t="s">
        <v>10785</v>
      </c>
    </row>
    <row r="288">
      <c r="B288" s="16" t="s">
        <v>10786</v>
      </c>
    </row>
    <row r="289">
      <c r="B289" s="16" t="s">
        <v>10787</v>
      </c>
    </row>
    <row r="290">
      <c r="B290" s="16" t="s">
        <v>10788</v>
      </c>
    </row>
    <row r="291">
      <c r="B291" s="16" t="s">
        <v>10789</v>
      </c>
    </row>
    <row r="292">
      <c r="B292" s="16" t="s">
        <v>10790</v>
      </c>
    </row>
    <row r="293">
      <c r="B293" s="16" t="s">
        <v>10791</v>
      </c>
    </row>
    <row r="294">
      <c r="B294" s="16" t="s">
        <v>10792</v>
      </c>
    </row>
    <row r="295">
      <c r="B295" s="16" t="s">
        <v>10793</v>
      </c>
    </row>
    <row r="296">
      <c r="B296" s="16" t="s">
        <v>10794</v>
      </c>
    </row>
    <row r="297">
      <c r="B297" s="16" t="s">
        <v>10795</v>
      </c>
    </row>
    <row r="298">
      <c r="B298" s="16" t="s">
        <v>10796</v>
      </c>
    </row>
    <row r="299">
      <c r="B299" s="16" t="s">
        <v>10797</v>
      </c>
    </row>
    <row r="300">
      <c r="B300" s="16" t="s">
        <v>10798</v>
      </c>
    </row>
    <row r="301">
      <c r="B301" s="16" t="s">
        <v>10799</v>
      </c>
    </row>
    <row r="302">
      <c r="B302" s="16" t="s">
        <v>10800</v>
      </c>
    </row>
    <row r="303">
      <c r="B303" s="16" t="s">
        <v>10801</v>
      </c>
    </row>
    <row r="304">
      <c r="B304" s="16" t="s">
        <v>10802</v>
      </c>
    </row>
    <row r="305">
      <c r="B305" s="16" t="s">
        <v>10803</v>
      </c>
    </row>
    <row r="306">
      <c r="B306" s="16" t="s">
        <v>10804</v>
      </c>
    </row>
    <row r="307">
      <c r="B307" s="16" t="s">
        <v>10805</v>
      </c>
    </row>
    <row r="308">
      <c r="B308" s="16" t="s">
        <v>10806</v>
      </c>
    </row>
    <row r="309">
      <c r="B309" s="16" t="s">
        <v>10807</v>
      </c>
    </row>
    <row r="310">
      <c r="B310" s="16" t="s">
        <v>10808</v>
      </c>
    </row>
    <row r="311">
      <c r="B311" s="16" t="s">
        <v>10809</v>
      </c>
    </row>
    <row r="312">
      <c r="B312" s="16" t="s">
        <v>10810</v>
      </c>
    </row>
    <row r="313">
      <c r="B313" s="16" t="s">
        <v>10811</v>
      </c>
    </row>
    <row r="314">
      <c r="B314" s="16" t="s">
        <v>10812</v>
      </c>
    </row>
    <row r="315">
      <c r="B315" s="16" t="s">
        <v>10813</v>
      </c>
    </row>
    <row r="316">
      <c r="B316" s="16" t="s">
        <v>10814</v>
      </c>
    </row>
    <row r="317">
      <c r="B317" s="16" t="s">
        <v>10815</v>
      </c>
    </row>
    <row r="318">
      <c r="B318" s="16" t="s">
        <v>10816</v>
      </c>
    </row>
    <row r="319">
      <c r="B319" s="16" t="s">
        <v>10817</v>
      </c>
    </row>
    <row r="320">
      <c r="B320" s="16" t="s">
        <v>10818</v>
      </c>
    </row>
    <row r="321">
      <c r="B321" s="16" t="s">
        <v>10819</v>
      </c>
    </row>
    <row r="322">
      <c r="B322" s="16" t="s">
        <v>10820</v>
      </c>
    </row>
    <row r="323">
      <c r="B323" s="16" t="s">
        <v>10821</v>
      </c>
    </row>
    <row r="324">
      <c r="B324" s="16" t="s">
        <v>10822</v>
      </c>
    </row>
    <row r="325">
      <c r="B325" s="16" t="s">
        <v>10823</v>
      </c>
    </row>
    <row r="326">
      <c r="B326" s="16" t="s">
        <v>10824</v>
      </c>
    </row>
    <row r="327">
      <c r="B327" s="16" t="s">
        <v>10825</v>
      </c>
    </row>
    <row r="328">
      <c r="B328" s="16" t="s">
        <v>10826</v>
      </c>
    </row>
    <row r="329">
      <c r="B329" s="16" t="s">
        <v>10827</v>
      </c>
    </row>
    <row r="330">
      <c r="B330" s="16" t="s">
        <v>10828</v>
      </c>
    </row>
    <row r="331">
      <c r="B331" s="16" t="s">
        <v>10829</v>
      </c>
    </row>
    <row r="332">
      <c r="B332" s="16" t="s">
        <v>10830</v>
      </c>
    </row>
    <row r="333">
      <c r="B333" s="16" t="s">
        <v>10831</v>
      </c>
    </row>
    <row r="334">
      <c r="B334" s="16" t="s">
        <v>10832</v>
      </c>
    </row>
    <row r="335">
      <c r="B335" s="16" t="s">
        <v>10833</v>
      </c>
    </row>
    <row r="336">
      <c r="B336" s="16" t="s">
        <v>10834</v>
      </c>
    </row>
    <row r="337">
      <c r="B337" s="16" t="s">
        <v>10835</v>
      </c>
    </row>
    <row r="338">
      <c r="B338" s="16" t="s">
        <v>10836</v>
      </c>
    </row>
    <row r="339">
      <c r="B339" s="16" t="s">
        <v>10837</v>
      </c>
    </row>
    <row r="340">
      <c r="B340" s="16" t="s">
        <v>10838</v>
      </c>
    </row>
    <row r="341">
      <c r="B341" s="16" t="s">
        <v>10839</v>
      </c>
    </row>
    <row r="342">
      <c r="B342" s="16" t="s">
        <v>10840</v>
      </c>
    </row>
    <row r="343">
      <c r="B343" s="16" t="s">
        <v>10841</v>
      </c>
    </row>
    <row r="344">
      <c r="B344" s="16" t="s">
        <v>10842</v>
      </c>
    </row>
    <row r="345">
      <c r="B345" s="16" t="s">
        <v>10843</v>
      </c>
    </row>
    <row r="346">
      <c r="B346" s="16" t="s">
        <v>10844</v>
      </c>
    </row>
    <row r="347">
      <c r="B347" s="16" t="s">
        <v>10845</v>
      </c>
    </row>
    <row r="348">
      <c r="B348" s="16" t="s">
        <v>10846</v>
      </c>
    </row>
    <row r="349">
      <c r="B349" s="16" t="s">
        <v>10847</v>
      </c>
    </row>
    <row r="350">
      <c r="B350" s="16" t="s">
        <v>10848</v>
      </c>
    </row>
    <row r="351">
      <c r="B351" s="16" t="s">
        <v>10849</v>
      </c>
    </row>
    <row r="352">
      <c r="B352" s="16" t="s">
        <v>10850</v>
      </c>
    </row>
    <row r="353">
      <c r="B353" s="16" t="s">
        <v>10851</v>
      </c>
    </row>
    <row r="354">
      <c r="B354" s="16" t="s">
        <v>10852</v>
      </c>
    </row>
    <row r="355">
      <c r="B355" s="16" t="s">
        <v>10853</v>
      </c>
    </row>
    <row r="356">
      <c r="B356" s="16" t="s">
        <v>10854</v>
      </c>
    </row>
    <row r="357">
      <c r="B357" s="16" t="s">
        <v>10855</v>
      </c>
    </row>
    <row r="358">
      <c r="B358" s="16" t="s">
        <v>10856</v>
      </c>
    </row>
    <row r="359">
      <c r="B359" s="16" t="s">
        <v>10857</v>
      </c>
    </row>
    <row r="360">
      <c r="B360" s="16" t="s">
        <v>10858</v>
      </c>
    </row>
    <row r="361">
      <c r="B361" s="16" t="s">
        <v>10859</v>
      </c>
    </row>
    <row r="362">
      <c r="B362" s="16" t="s">
        <v>10860</v>
      </c>
    </row>
    <row r="363">
      <c r="B363" s="16" t="s">
        <v>10861</v>
      </c>
    </row>
    <row r="364">
      <c r="B364" s="16" t="s">
        <v>10862</v>
      </c>
    </row>
    <row r="365">
      <c r="B365" s="16" t="s">
        <v>10863</v>
      </c>
    </row>
    <row r="366">
      <c r="B366" s="16" t="s">
        <v>10864</v>
      </c>
    </row>
    <row r="367">
      <c r="B367" s="16" t="s">
        <v>10865</v>
      </c>
    </row>
    <row r="368">
      <c r="B368" s="16" t="s">
        <v>10866</v>
      </c>
    </row>
    <row r="369">
      <c r="B369" s="16" t="s">
        <v>10867</v>
      </c>
    </row>
    <row r="370">
      <c r="B370" s="16" t="s">
        <v>10868</v>
      </c>
    </row>
    <row r="371">
      <c r="B371" s="16" t="s">
        <v>10869</v>
      </c>
    </row>
    <row r="372">
      <c r="B372" s="16" t="s">
        <v>10870</v>
      </c>
    </row>
    <row r="373">
      <c r="B373" s="16" t="s">
        <v>10871</v>
      </c>
    </row>
    <row r="374">
      <c r="B374" s="16" t="s">
        <v>10872</v>
      </c>
    </row>
    <row r="375">
      <c r="B375" s="16" t="s">
        <v>10873</v>
      </c>
    </row>
    <row r="376">
      <c r="B376" s="16" t="s">
        <v>10874</v>
      </c>
    </row>
    <row r="377">
      <c r="B377" s="16" t="s">
        <v>10875</v>
      </c>
    </row>
    <row r="378">
      <c r="B378" s="16" t="s">
        <v>10876</v>
      </c>
    </row>
    <row r="379">
      <c r="B379" s="16" t="s">
        <v>10877</v>
      </c>
    </row>
    <row r="380">
      <c r="B380" s="16" t="s">
        <v>10878</v>
      </c>
    </row>
    <row r="381">
      <c r="B381" s="16" t="s">
        <v>10879</v>
      </c>
    </row>
    <row r="382">
      <c r="B382" s="16" t="s">
        <v>10880</v>
      </c>
    </row>
    <row r="383">
      <c r="B383" s="16" t="s">
        <v>10881</v>
      </c>
    </row>
    <row r="384">
      <c r="B384" s="16" t="s">
        <v>10882</v>
      </c>
    </row>
    <row r="385">
      <c r="B385" s="16" t="s">
        <v>10883</v>
      </c>
    </row>
    <row r="386">
      <c r="B386" s="16" t="s">
        <v>10884</v>
      </c>
    </row>
    <row r="387">
      <c r="B387" s="16" t="s">
        <v>10885</v>
      </c>
    </row>
    <row r="388">
      <c r="B388" s="16" t="s">
        <v>10886</v>
      </c>
    </row>
    <row r="389">
      <c r="B389" s="16" t="s">
        <v>10887</v>
      </c>
    </row>
    <row r="390">
      <c r="B390" s="16" t="s">
        <v>10888</v>
      </c>
    </row>
    <row r="391">
      <c r="B391" s="16" t="s">
        <v>10889</v>
      </c>
    </row>
    <row r="392">
      <c r="B392" s="16" t="s">
        <v>10890</v>
      </c>
    </row>
    <row r="393">
      <c r="B393" s="16" t="s">
        <v>10891</v>
      </c>
    </row>
    <row r="394">
      <c r="B394" s="16" t="s">
        <v>10892</v>
      </c>
    </row>
    <row r="395">
      <c r="B395" s="16" t="s">
        <v>10893</v>
      </c>
    </row>
    <row r="396">
      <c r="B396" s="16" t="s">
        <v>10894</v>
      </c>
    </row>
    <row r="397">
      <c r="B397" s="16" t="s">
        <v>10895</v>
      </c>
    </row>
    <row r="398">
      <c r="B398" s="16" t="s">
        <v>10896</v>
      </c>
    </row>
    <row r="399">
      <c r="B399" s="16" t="s">
        <v>10897</v>
      </c>
    </row>
    <row r="400">
      <c r="B400" s="16" t="s">
        <v>10898</v>
      </c>
    </row>
    <row r="401">
      <c r="B401" s="16" t="s">
        <v>10899</v>
      </c>
    </row>
    <row r="402">
      <c r="B402" s="16" t="s">
        <v>10900</v>
      </c>
    </row>
    <row r="403">
      <c r="B403" s="16" t="s">
        <v>10901</v>
      </c>
    </row>
    <row r="404">
      <c r="B404" s="16" t="s">
        <v>10902</v>
      </c>
    </row>
    <row r="405">
      <c r="B405" s="16" t="s">
        <v>10903</v>
      </c>
    </row>
    <row r="406">
      <c r="B406" s="16" t="s">
        <v>10904</v>
      </c>
    </row>
    <row r="407">
      <c r="B407" s="16" t="s">
        <v>10905</v>
      </c>
    </row>
    <row r="408">
      <c r="B408" s="16" t="s">
        <v>10906</v>
      </c>
    </row>
    <row r="409">
      <c r="B409" s="16" t="s">
        <v>10907</v>
      </c>
    </row>
    <row r="410">
      <c r="B410" s="16" t="s">
        <v>10908</v>
      </c>
    </row>
    <row r="411">
      <c r="B411" s="16" t="s">
        <v>10909</v>
      </c>
    </row>
    <row r="412">
      <c r="B412" s="16" t="s">
        <v>10910</v>
      </c>
    </row>
    <row r="413">
      <c r="B413" s="16" t="s">
        <v>10911</v>
      </c>
    </row>
    <row r="414">
      <c r="B414" s="16" t="s">
        <v>10912</v>
      </c>
    </row>
    <row r="415">
      <c r="B415" s="16" t="s">
        <v>10913</v>
      </c>
    </row>
    <row r="416">
      <c r="B416" s="16" t="s">
        <v>10914</v>
      </c>
    </row>
    <row r="417">
      <c r="B417" s="16" t="s">
        <v>10915</v>
      </c>
    </row>
    <row r="418">
      <c r="B418" s="16" t="s">
        <v>10916</v>
      </c>
    </row>
    <row r="419">
      <c r="B419" s="16" t="s">
        <v>10917</v>
      </c>
    </row>
    <row r="420">
      <c r="B420" s="16" t="s">
        <v>10918</v>
      </c>
    </row>
    <row r="421">
      <c r="B421" s="16" t="s">
        <v>10919</v>
      </c>
    </row>
    <row r="422">
      <c r="B422" s="16" t="s">
        <v>10920</v>
      </c>
    </row>
    <row r="423">
      <c r="B423" s="16" t="s">
        <v>10921</v>
      </c>
    </row>
    <row r="424">
      <c r="B424" s="16" t="s">
        <v>10922</v>
      </c>
    </row>
    <row r="425">
      <c r="B425" s="16" t="s">
        <v>10923</v>
      </c>
    </row>
    <row r="426">
      <c r="B426" s="16" t="s">
        <v>10924</v>
      </c>
    </row>
    <row r="427">
      <c r="B427" s="16" t="s">
        <v>10925</v>
      </c>
    </row>
    <row r="428">
      <c r="B428" s="16" t="s">
        <v>10926</v>
      </c>
    </row>
    <row r="429">
      <c r="B429" s="16" t="s">
        <v>10927</v>
      </c>
    </row>
    <row r="430">
      <c r="B430" s="16" t="s">
        <v>10928</v>
      </c>
    </row>
    <row r="431">
      <c r="B431" s="16" t="s">
        <v>10929</v>
      </c>
    </row>
    <row r="432">
      <c r="B432" s="16" t="s">
        <v>10930</v>
      </c>
    </row>
    <row r="433">
      <c r="B433" s="16" t="s">
        <v>10931</v>
      </c>
    </row>
    <row r="434">
      <c r="B434" s="16" t="s">
        <v>10932</v>
      </c>
    </row>
    <row r="435">
      <c r="B435" s="16" t="s">
        <v>10933</v>
      </c>
    </row>
    <row r="436">
      <c r="B436" s="16" t="s">
        <v>10934</v>
      </c>
    </row>
    <row r="437">
      <c r="B437" s="16" t="s">
        <v>10935</v>
      </c>
    </row>
    <row r="438">
      <c r="B438" s="16" t="s">
        <v>10936</v>
      </c>
    </row>
    <row r="439">
      <c r="B439" s="16" t="s">
        <v>10937</v>
      </c>
    </row>
    <row r="440">
      <c r="B440" s="16" t="s">
        <v>10938</v>
      </c>
    </row>
    <row r="441">
      <c r="B441" s="16" t="s">
        <v>10939</v>
      </c>
    </row>
    <row r="442">
      <c r="B442" s="16" t="s">
        <v>10940</v>
      </c>
    </row>
    <row r="443">
      <c r="B443" s="16" t="s">
        <v>10941</v>
      </c>
    </row>
    <row r="444">
      <c r="B444" s="16" t="s">
        <v>10942</v>
      </c>
    </row>
    <row r="445">
      <c r="B445" s="16" t="s">
        <v>10943</v>
      </c>
    </row>
    <row r="446">
      <c r="B446" s="16" t="s">
        <v>10944</v>
      </c>
    </row>
    <row r="447">
      <c r="B447" s="16" t="s">
        <v>10945</v>
      </c>
    </row>
    <row r="448">
      <c r="B448" s="16" t="s">
        <v>10946</v>
      </c>
    </row>
    <row r="449">
      <c r="B449" s="16" t="s">
        <v>10947</v>
      </c>
    </row>
    <row r="450">
      <c r="B450" s="16" t="s">
        <v>10948</v>
      </c>
    </row>
    <row r="451">
      <c r="B451" s="16" t="s">
        <v>10949</v>
      </c>
    </row>
    <row r="452">
      <c r="B452" s="16" t="s">
        <v>10950</v>
      </c>
    </row>
    <row r="453">
      <c r="B453" s="16" t="s">
        <v>10951</v>
      </c>
    </row>
    <row r="454">
      <c r="B454" s="16" t="s">
        <v>10952</v>
      </c>
    </row>
    <row r="455">
      <c r="B455" s="16" t="s">
        <v>10953</v>
      </c>
    </row>
    <row r="456">
      <c r="B456" s="16" t="s">
        <v>10954</v>
      </c>
    </row>
    <row r="457">
      <c r="B457" s="16" t="s">
        <v>10955</v>
      </c>
    </row>
    <row r="458">
      <c r="B458" s="16" t="s">
        <v>10956</v>
      </c>
    </row>
    <row r="459">
      <c r="B459" s="16" t="s">
        <v>10957</v>
      </c>
    </row>
    <row r="460">
      <c r="B460" s="16" t="s">
        <v>10958</v>
      </c>
    </row>
    <row r="461">
      <c r="B461" s="16" t="s">
        <v>10959</v>
      </c>
    </row>
    <row r="462">
      <c r="B462" s="16" t="s">
        <v>10960</v>
      </c>
    </row>
    <row r="463">
      <c r="B463" s="16" t="s">
        <v>10961</v>
      </c>
    </row>
    <row r="464">
      <c r="B464" s="16" t="s">
        <v>10962</v>
      </c>
    </row>
    <row r="465">
      <c r="B465" s="16" t="s">
        <v>10963</v>
      </c>
    </row>
    <row r="466">
      <c r="B466" s="16" t="s">
        <v>10964</v>
      </c>
    </row>
    <row r="467">
      <c r="B467" s="16" t="s">
        <v>10965</v>
      </c>
    </row>
    <row r="468">
      <c r="B468" s="16" t="s">
        <v>10966</v>
      </c>
    </row>
    <row r="469">
      <c r="B469" s="16" t="s">
        <v>10967</v>
      </c>
    </row>
    <row r="470">
      <c r="B470" s="16" t="s">
        <v>10968</v>
      </c>
    </row>
    <row r="471">
      <c r="B471" s="16" t="s">
        <v>10969</v>
      </c>
    </row>
    <row r="472">
      <c r="B472" s="16" t="s">
        <v>10970</v>
      </c>
    </row>
    <row r="473">
      <c r="B473" s="16" t="s">
        <v>10971</v>
      </c>
    </row>
    <row r="474">
      <c r="B474" s="16" t="s">
        <v>10972</v>
      </c>
    </row>
    <row r="475">
      <c r="B475" s="16" t="s">
        <v>10973</v>
      </c>
    </row>
    <row r="476">
      <c r="B476" s="16" t="s">
        <v>10974</v>
      </c>
    </row>
    <row r="477">
      <c r="B477" s="16" t="s">
        <v>10975</v>
      </c>
    </row>
    <row r="478">
      <c r="B478" s="16" t="s">
        <v>10976</v>
      </c>
    </row>
    <row r="479">
      <c r="B479" s="16" t="s">
        <v>10977</v>
      </c>
    </row>
    <row r="480">
      <c r="B480" s="16" t="s">
        <v>10978</v>
      </c>
    </row>
    <row r="481">
      <c r="B481" s="16" t="s">
        <v>10979</v>
      </c>
    </row>
    <row r="482">
      <c r="B482" s="16" t="s">
        <v>10980</v>
      </c>
    </row>
    <row r="483">
      <c r="B483" s="16" t="s">
        <v>10981</v>
      </c>
    </row>
    <row r="484">
      <c r="B484" s="16" t="s">
        <v>10982</v>
      </c>
    </row>
    <row r="485">
      <c r="B485" s="16" t="s">
        <v>10983</v>
      </c>
    </row>
    <row r="486">
      <c r="B486" s="16" t="s">
        <v>10984</v>
      </c>
    </row>
    <row r="487">
      <c r="B487" s="16" t="s">
        <v>10985</v>
      </c>
    </row>
    <row r="488">
      <c r="B488" s="16" t="s">
        <v>10986</v>
      </c>
    </row>
    <row r="489">
      <c r="B489" s="16" t="s">
        <v>10987</v>
      </c>
    </row>
    <row r="490">
      <c r="B490" s="16" t="s">
        <v>10988</v>
      </c>
    </row>
    <row r="491">
      <c r="B491" s="16" t="s">
        <v>10989</v>
      </c>
    </row>
    <row r="492">
      <c r="B492" s="16" t="s">
        <v>10990</v>
      </c>
    </row>
    <row r="493">
      <c r="B493" s="16" t="s">
        <v>10991</v>
      </c>
    </row>
    <row r="494">
      <c r="B494" s="16" t="s">
        <v>10992</v>
      </c>
    </row>
    <row r="495">
      <c r="B495" s="16" t="s">
        <v>10993</v>
      </c>
    </row>
    <row r="496">
      <c r="B496" s="16" t="s">
        <v>10994</v>
      </c>
    </row>
    <row r="497">
      <c r="B497" s="16" t="s">
        <v>10995</v>
      </c>
    </row>
    <row r="498">
      <c r="B498" s="16" t="s">
        <v>10996</v>
      </c>
    </row>
    <row r="499">
      <c r="B499" s="16" t="s">
        <v>10997</v>
      </c>
    </row>
    <row r="500">
      <c r="B500" s="16" t="s">
        <v>10998</v>
      </c>
    </row>
    <row r="501">
      <c r="B501" s="16" t="s">
        <v>10999</v>
      </c>
    </row>
    <row r="502">
      <c r="B502" s="16" t="s">
        <v>11000</v>
      </c>
    </row>
    <row r="503">
      <c r="B503" s="16" t="s">
        <v>11001</v>
      </c>
    </row>
    <row r="504">
      <c r="B504" s="16" t="s">
        <v>11002</v>
      </c>
    </row>
    <row r="505">
      <c r="B505" s="16" t="s">
        <v>11003</v>
      </c>
    </row>
    <row r="506">
      <c r="B506" s="16" t="s">
        <v>11004</v>
      </c>
    </row>
    <row r="507">
      <c r="B507" s="16" t="s">
        <v>11005</v>
      </c>
    </row>
    <row r="508">
      <c r="B508" s="16" t="s">
        <v>11006</v>
      </c>
    </row>
    <row r="509">
      <c r="B509" s="16" t="s">
        <v>11007</v>
      </c>
    </row>
    <row r="510">
      <c r="B510" s="16" t="s">
        <v>11008</v>
      </c>
    </row>
    <row r="511">
      <c r="B511" s="16" t="s">
        <v>11009</v>
      </c>
    </row>
    <row r="512">
      <c r="B512" s="16" t="s">
        <v>11010</v>
      </c>
    </row>
    <row r="513">
      <c r="B513" s="16" t="s">
        <v>11011</v>
      </c>
    </row>
    <row r="514">
      <c r="B514" s="16" t="s">
        <v>11012</v>
      </c>
    </row>
    <row r="515">
      <c r="B515" s="16" t="s">
        <v>11013</v>
      </c>
    </row>
    <row r="516">
      <c r="B516" s="16" t="s">
        <v>11014</v>
      </c>
    </row>
    <row r="517">
      <c r="B517" s="16" t="s">
        <v>11015</v>
      </c>
    </row>
    <row r="518">
      <c r="B518" s="16" t="s">
        <v>11016</v>
      </c>
    </row>
    <row r="519">
      <c r="B519" s="16" t="s">
        <v>11017</v>
      </c>
    </row>
    <row r="520">
      <c r="B520" s="16" t="s">
        <v>11018</v>
      </c>
    </row>
    <row r="521">
      <c r="B521" s="16" t="s">
        <v>11019</v>
      </c>
    </row>
    <row r="522">
      <c r="B522" s="16" t="s">
        <v>11020</v>
      </c>
    </row>
    <row r="523">
      <c r="B523" s="16" t="s">
        <v>11021</v>
      </c>
    </row>
    <row r="524">
      <c r="B524" s="16" t="s">
        <v>11022</v>
      </c>
    </row>
    <row r="525">
      <c r="B525" s="16" t="s">
        <v>11023</v>
      </c>
    </row>
    <row r="526">
      <c r="B526" s="16" t="s">
        <v>11024</v>
      </c>
    </row>
    <row r="527">
      <c r="B527" s="16" t="s">
        <v>11025</v>
      </c>
    </row>
    <row r="528">
      <c r="B528" s="16" t="s">
        <v>11026</v>
      </c>
    </row>
    <row r="529">
      <c r="B529" s="16" t="s">
        <v>11027</v>
      </c>
    </row>
    <row r="530">
      <c r="B530" s="16" t="s">
        <v>11028</v>
      </c>
    </row>
    <row r="531">
      <c r="B531" s="16" t="s">
        <v>11029</v>
      </c>
    </row>
    <row r="532">
      <c r="B532" s="16" t="s">
        <v>11030</v>
      </c>
    </row>
    <row r="533">
      <c r="B533" s="16" t="s">
        <v>11031</v>
      </c>
    </row>
    <row r="534">
      <c r="B534" s="16" t="s">
        <v>11032</v>
      </c>
    </row>
    <row r="535">
      <c r="B535" s="16" t="s">
        <v>11033</v>
      </c>
    </row>
    <row r="536">
      <c r="B536" s="16" t="s">
        <v>11034</v>
      </c>
    </row>
    <row r="537">
      <c r="B537" s="16" t="s">
        <v>11035</v>
      </c>
    </row>
    <row r="538">
      <c r="B538" s="16" t="s">
        <v>11036</v>
      </c>
    </row>
    <row r="539">
      <c r="B539" s="16" t="s">
        <v>11037</v>
      </c>
    </row>
    <row r="540">
      <c r="B540" s="16" t="s">
        <v>11038</v>
      </c>
    </row>
    <row r="541">
      <c r="B541" s="16" t="s">
        <v>11039</v>
      </c>
    </row>
    <row r="542">
      <c r="B542" s="16" t="s">
        <v>11040</v>
      </c>
    </row>
    <row r="543">
      <c r="B543" s="16" t="s">
        <v>11041</v>
      </c>
    </row>
    <row r="544">
      <c r="B544" s="16" t="s">
        <v>11042</v>
      </c>
    </row>
    <row r="545">
      <c r="B545" s="16" t="s">
        <v>11043</v>
      </c>
    </row>
    <row r="546">
      <c r="B546" s="16" t="s">
        <v>11044</v>
      </c>
    </row>
    <row r="547">
      <c r="B547" s="16" t="s">
        <v>11045</v>
      </c>
    </row>
    <row r="548">
      <c r="B548" s="16" t="s">
        <v>11046</v>
      </c>
    </row>
    <row r="549">
      <c r="B549" s="16" t="s">
        <v>11047</v>
      </c>
    </row>
    <row r="550">
      <c r="B550" s="16" t="s">
        <v>11048</v>
      </c>
    </row>
    <row r="551">
      <c r="B551" s="16" t="s">
        <v>11049</v>
      </c>
    </row>
    <row r="552">
      <c r="B552" s="16" t="s">
        <v>11050</v>
      </c>
    </row>
    <row r="553">
      <c r="B553" s="16" t="s">
        <v>11051</v>
      </c>
    </row>
    <row r="554">
      <c r="B554" s="16" t="s">
        <v>11052</v>
      </c>
    </row>
    <row r="555">
      <c r="B555" s="16" t="s">
        <v>11053</v>
      </c>
    </row>
    <row r="556">
      <c r="B556" s="16" t="s">
        <v>11054</v>
      </c>
    </row>
    <row r="557">
      <c r="B557" s="16" t="s">
        <v>11055</v>
      </c>
    </row>
    <row r="558">
      <c r="B558" s="16" t="s">
        <v>11056</v>
      </c>
    </row>
    <row r="559">
      <c r="B559" s="16" t="s">
        <v>11057</v>
      </c>
    </row>
    <row r="560">
      <c r="B560" s="16" t="s">
        <v>11058</v>
      </c>
    </row>
    <row r="561">
      <c r="B561" s="16" t="s">
        <v>11059</v>
      </c>
    </row>
    <row r="562">
      <c r="B562" s="16" t="s">
        <v>11060</v>
      </c>
    </row>
    <row r="563">
      <c r="B563" s="16" t="s">
        <v>11061</v>
      </c>
    </row>
    <row r="564">
      <c r="B564" s="16" t="s">
        <v>11062</v>
      </c>
    </row>
    <row r="565">
      <c r="B565" s="16" t="s">
        <v>11063</v>
      </c>
    </row>
    <row r="566">
      <c r="B566" s="16" t="s">
        <v>11064</v>
      </c>
    </row>
    <row r="567">
      <c r="B567" s="16" t="s">
        <v>11065</v>
      </c>
    </row>
    <row r="568">
      <c r="B568" s="16" t="s">
        <v>11066</v>
      </c>
    </row>
    <row r="569">
      <c r="B569" s="16" t="s">
        <v>11067</v>
      </c>
    </row>
    <row r="570">
      <c r="B570" s="16" t="s">
        <v>11068</v>
      </c>
    </row>
    <row r="571">
      <c r="B571" s="16" t="s">
        <v>11069</v>
      </c>
    </row>
    <row r="572">
      <c r="B572" s="16" t="s">
        <v>11070</v>
      </c>
    </row>
    <row r="573">
      <c r="B573" s="16" t="s">
        <v>11071</v>
      </c>
    </row>
    <row r="574">
      <c r="B574" s="16" t="s">
        <v>11072</v>
      </c>
    </row>
    <row r="575">
      <c r="B575" s="16" t="s">
        <v>11073</v>
      </c>
    </row>
    <row r="576">
      <c r="B576" s="16" t="s">
        <v>11074</v>
      </c>
    </row>
    <row r="577">
      <c r="B577" s="16" t="s">
        <v>11075</v>
      </c>
    </row>
    <row r="578">
      <c r="B578" s="16" t="s">
        <v>11076</v>
      </c>
    </row>
    <row r="579">
      <c r="B579" s="16" t="s">
        <v>11077</v>
      </c>
    </row>
    <row r="580">
      <c r="B580" s="16" t="s">
        <v>11078</v>
      </c>
    </row>
    <row r="581">
      <c r="B581" s="16" t="s">
        <v>11079</v>
      </c>
    </row>
    <row r="582">
      <c r="B582" s="16" t="s">
        <v>11080</v>
      </c>
    </row>
    <row r="583">
      <c r="B583" s="16" t="s">
        <v>11081</v>
      </c>
    </row>
    <row r="584">
      <c r="B584" s="16" t="s">
        <v>11082</v>
      </c>
    </row>
    <row r="585">
      <c r="B585" s="16" t="s">
        <v>11083</v>
      </c>
    </row>
    <row r="586">
      <c r="B586" s="16" t="s">
        <v>11084</v>
      </c>
    </row>
    <row r="587">
      <c r="B587" s="16" t="s">
        <v>11085</v>
      </c>
    </row>
    <row r="588">
      <c r="B588" s="16" t="s">
        <v>11086</v>
      </c>
    </row>
    <row r="589">
      <c r="B589" s="16" t="s">
        <v>11087</v>
      </c>
    </row>
    <row r="590">
      <c r="B590" s="16" t="s">
        <v>11088</v>
      </c>
    </row>
    <row r="591">
      <c r="B591" s="16" t="s">
        <v>11089</v>
      </c>
    </row>
    <row r="592">
      <c r="B592" s="16" t="s">
        <v>11090</v>
      </c>
    </row>
    <row r="593">
      <c r="B593" s="16" t="s">
        <v>11091</v>
      </c>
    </row>
    <row r="594">
      <c r="B594" s="16" t="s">
        <v>11092</v>
      </c>
    </row>
    <row r="595">
      <c r="B595" s="16" t="s">
        <v>11093</v>
      </c>
    </row>
    <row r="596">
      <c r="B596" s="16" t="s">
        <v>11094</v>
      </c>
    </row>
    <row r="597">
      <c r="B597" s="16" t="s">
        <v>11095</v>
      </c>
    </row>
    <row r="598">
      <c r="B598" s="16" t="s">
        <v>11096</v>
      </c>
    </row>
    <row r="599">
      <c r="B599" s="16" t="s">
        <v>11097</v>
      </c>
    </row>
    <row r="600">
      <c r="B600" s="16" t="s">
        <v>11098</v>
      </c>
    </row>
    <row r="601">
      <c r="B601" s="16" t="s">
        <v>11099</v>
      </c>
    </row>
    <row r="602">
      <c r="B602" s="16" t="s">
        <v>11100</v>
      </c>
    </row>
    <row r="603">
      <c r="B603" s="16" t="s">
        <v>11101</v>
      </c>
    </row>
    <row r="604">
      <c r="B604" s="16" t="s">
        <v>11102</v>
      </c>
    </row>
    <row r="605">
      <c r="B605" s="16" t="s">
        <v>11103</v>
      </c>
    </row>
    <row r="606">
      <c r="B606" s="16" t="s">
        <v>11104</v>
      </c>
    </row>
    <row r="607">
      <c r="B607" s="16" t="s">
        <v>11105</v>
      </c>
    </row>
    <row r="608">
      <c r="B608" s="16" t="s">
        <v>11106</v>
      </c>
    </row>
    <row r="609">
      <c r="B609" s="16" t="s">
        <v>11107</v>
      </c>
    </row>
    <row r="610">
      <c r="B610" s="16" t="s">
        <v>11108</v>
      </c>
    </row>
    <row r="611">
      <c r="B611" s="16" t="s">
        <v>11109</v>
      </c>
    </row>
    <row r="612">
      <c r="B612" s="16" t="s">
        <v>11110</v>
      </c>
    </row>
    <row r="613">
      <c r="B613" s="16" t="s">
        <v>11111</v>
      </c>
    </row>
    <row r="614">
      <c r="B614" s="16" t="s">
        <v>11112</v>
      </c>
    </row>
    <row r="615">
      <c r="B615" s="16" t="s">
        <v>11113</v>
      </c>
    </row>
    <row r="616">
      <c r="B616" s="16" t="s">
        <v>11114</v>
      </c>
    </row>
    <row r="617">
      <c r="B617" s="16" t="s">
        <v>11115</v>
      </c>
    </row>
    <row r="618">
      <c r="B618" s="16" t="s">
        <v>11116</v>
      </c>
    </row>
    <row r="619">
      <c r="B619" s="16" t="s">
        <v>11117</v>
      </c>
    </row>
    <row r="620">
      <c r="B620" s="16" t="s">
        <v>11118</v>
      </c>
    </row>
    <row r="621">
      <c r="B621" s="16" t="s">
        <v>11119</v>
      </c>
    </row>
    <row r="622">
      <c r="B622" s="16" t="s">
        <v>11120</v>
      </c>
    </row>
    <row r="623">
      <c r="B623" s="16" t="s">
        <v>11121</v>
      </c>
    </row>
    <row r="624">
      <c r="B624" s="16" t="s">
        <v>11122</v>
      </c>
    </row>
    <row r="625">
      <c r="B625" s="16" t="s">
        <v>11123</v>
      </c>
    </row>
    <row r="626">
      <c r="B626" s="16" t="s">
        <v>11124</v>
      </c>
    </row>
    <row r="627">
      <c r="B627" s="16" t="s">
        <v>11125</v>
      </c>
    </row>
    <row r="628">
      <c r="B628" s="16" t="s">
        <v>11126</v>
      </c>
    </row>
    <row r="629">
      <c r="B629" s="16" t="s">
        <v>11127</v>
      </c>
    </row>
    <row r="630">
      <c r="B630" s="16" t="s">
        <v>11128</v>
      </c>
    </row>
    <row r="631">
      <c r="B631" s="16" t="s">
        <v>11129</v>
      </c>
    </row>
    <row r="632">
      <c r="B632" s="16" t="s">
        <v>11130</v>
      </c>
    </row>
    <row r="633">
      <c r="B633" s="16" t="s">
        <v>11131</v>
      </c>
    </row>
    <row r="634">
      <c r="B634" s="16" t="s">
        <v>11132</v>
      </c>
    </row>
    <row r="635">
      <c r="B635" s="16" t="s">
        <v>11133</v>
      </c>
    </row>
    <row r="636">
      <c r="B636" s="16" t="s">
        <v>11134</v>
      </c>
    </row>
    <row r="637">
      <c r="B637" s="16" t="s">
        <v>11135</v>
      </c>
    </row>
    <row r="638">
      <c r="B638" s="16" t="s">
        <v>11136</v>
      </c>
    </row>
    <row r="639">
      <c r="B639" s="16" t="s">
        <v>11137</v>
      </c>
    </row>
    <row r="640">
      <c r="B640" s="16" t="s">
        <v>11138</v>
      </c>
    </row>
    <row r="641">
      <c r="B641" s="16" t="s">
        <v>11139</v>
      </c>
    </row>
    <row r="642">
      <c r="B642" s="16" t="s">
        <v>11140</v>
      </c>
    </row>
    <row r="643">
      <c r="B643" s="16" t="s">
        <v>11141</v>
      </c>
    </row>
    <row r="644">
      <c r="B644" s="16" t="s">
        <v>11142</v>
      </c>
    </row>
    <row r="645">
      <c r="B645" s="16" t="s">
        <v>11143</v>
      </c>
    </row>
    <row r="646">
      <c r="B646" s="16" t="s">
        <v>11144</v>
      </c>
    </row>
    <row r="647">
      <c r="B647" s="16" t="s">
        <v>11145</v>
      </c>
    </row>
    <row r="648">
      <c r="B648" s="16" t="s">
        <v>11146</v>
      </c>
    </row>
    <row r="649">
      <c r="B649" s="16" t="s">
        <v>11147</v>
      </c>
    </row>
    <row r="650">
      <c r="B650" s="16" t="s">
        <v>11148</v>
      </c>
    </row>
    <row r="651">
      <c r="B651" s="16" t="s">
        <v>11149</v>
      </c>
    </row>
    <row r="652">
      <c r="B652" s="16" t="s">
        <v>11150</v>
      </c>
    </row>
    <row r="653">
      <c r="B653" s="16" t="s">
        <v>11151</v>
      </c>
    </row>
    <row r="654">
      <c r="B654" s="16" t="s">
        <v>11152</v>
      </c>
    </row>
    <row r="655">
      <c r="B655" s="16" t="s">
        <v>11153</v>
      </c>
    </row>
    <row r="656">
      <c r="B656" s="16" t="s">
        <v>11154</v>
      </c>
    </row>
    <row r="657">
      <c r="B657" s="16" t="s">
        <v>11155</v>
      </c>
    </row>
    <row r="658">
      <c r="B658" s="16" t="s">
        <v>11156</v>
      </c>
    </row>
    <row r="659">
      <c r="B659" s="16" t="s">
        <v>11157</v>
      </c>
    </row>
    <row r="660">
      <c r="B660" s="16" t="s">
        <v>11158</v>
      </c>
    </row>
    <row r="661">
      <c r="B661" s="16" t="s">
        <v>11159</v>
      </c>
    </row>
    <row r="662">
      <c r="B662" s="16" t="s">
        <v>11160</v>
      </c>
    </row>
    <row r="663">
      <c r="B663" s="16" t="s">
        <v>11161</v>
      </c>
    </row>
    <row r="664">
      <c r="B664" s="16" t="s">
        <v>11162</v>
      </c>
    </row>
    <row r="665">
      <c r="B665" s="16" t="s">
        <v>11163</v>
      </c>
    </row>
    <row r="666">
      <c r="B666" s="16" t="s">
        <v>11164</v>
      </c>
    </row>
    <row r="667">
      <c r="B667" s="16" t="s">
        <v>11165</v>
      </c>
    </row>
    <row r="668">
      <c r="B668" s="16" t="s">
        <v>11166</v>
      </c>
    </row>
    <row r="669">
      <c r="B669" s="16" t="s">
        <v>11167</v>
      </c>
    </row>
    <row r="670">
      <c r="B670" s="16" t="s">
        <v>11168</v>
      </c>
    </row>
    <row r="671">
      <c r="B671" s="16" t="s">
        <v>11169</v>
      </c>
    </row>
    <row r="672">
      <c r="B672" s="16" t="s">
        <v>11170</v>
      </c>
    </row>
    <row r="673">
      <c r="B673" s="16" t="s">
        <v>11171</v>
      </c>
    </row>
    <row r="674">
      <c r="B674" s="16" t="s">
        <v>11172</v>
      </c>
    </row>
    <row r="675">
      <c r="B675" s="16" t="s">
        <v>11173</v>
      </c>
    </row>
    <row r="676">
      <c r="B676" s="16" t="s">
        <v>11174</v>
      </c>
    </row>
    <row r="677">
      <c r="B677" s="16" t="s">
        <v>11175</v>
      </c>
    </row>
    <row r="678">
      <c r="B678" s="16" t="s">
        <v>11176</v>
      </c>
    </row>
    <row r="679">
      <c r="B679" s="16" t="s">
        <v>11177</v>
      </c>
    </row>
    <row r="680">
      <c r="B680" s="16" t="s">
        <v>11178</v>
      </c>
    </row>
    <row r="681">
      <c r="B681" s="16" t="s">
        <v>10366</v>
      </c>
    </row>
    <row r="682">
      <c r="B682" s="16" t="s">
        <v>10548</v>
      </c>
    </row>
    <row r="684">
      <c r="B684" s="16" t="s">
        <v>11179</v>
      </c>
    </row>
    <row r="685">
      <c r="B685" s="16" t="s">
        <v>11180</v>
      </c>
    </row>
    <row r="686">
      <c r="B686" s="16" t="s">
        <v>11181</v>
      </c>
    </row>
    <row r="687">
      <c r="B687" s="16" t="s">
        <v>11182</v>
      </c>
    </row>
    <row r="688">
      <c r="B688" s="16" t="s">
        <v>11183</v>
      </c>
    </row>
    <row r="689">
      <c r="B689" s="16" t="s">
        <v>11184</v>
      </c>
    </row>
    <row r="690">
      <c r="B690" s="16" t="s">
        <v>11185</v>
      </c>
    </row>
    <row r="691">
      <c r="B691" s="16" t="s">
        <v>11186</v>
      </c>
    </row>
    <row r="692">
      <c r="B692" s="16" t="s">
        <v>11187</v>
      </c>
    </row>
    <row r="693">
      <c r="B693" s="16" t="s">
        <v>11188</v>
      </c>
    </row>
    <row r="694">
      <c r="B694" s="16" t="s">
        <v>11189</v>
      </c>
    </row>
    <row r="695">
      <c r="B695" s="16" t="s">
        <v>11190</v>
      </c>
    </row>
    <row r="696">
      <c r="B696" s="16" t="s">
        <v>11191</v>
      </c>
    </row>
    <row r="697">
      <c r="B697" s="16" t="s">
        <v>11192</v>
      </c>
    </row>
    <row r="698">
      <c r="B698" s="16" t="s">
        <v>307</v>
      </c>
    </row>
    <row r="699">
      <c r="B699" s="16" t="s">
        <v>10548</v>
      </c>
    </row>
    <row r="700">
      <c r="B700" s="16" t="s">
        <v>10548</v>
      </c>
    </row>
  </sheetData>
  <drawing r:id="rId1"/>
</worksheet>
</file>