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シート1" sheetId="1" r:id="rId1"/>
  </sheets>
  <calcPr calcId="144525"/>
</workbook>
</file>

<file path=xl/sharedStrings.xml><?xml version="1.0" encoding="utf-8"?>
<sst xmlns="http://schemas.openxmlformats.org/spreadsheetml/2006/main" count="136" uniqueCount="92">
  <si>
    <t>使い方:</t>
  </si>
  <si>
    <t>左上に表示されている「ファイル」→「コピーを作成」を選択し、ご自身のドライブに本スプレッドシートをコピーしてからご利用ください。</t>
  </si>
  <si>
    <t>・「入力欄」の内容を埋めると、「出力欄」にレース時間とラストスパート距離の計算結果が表示されます。</t>
  </si>
  <si>
    <t>・用いられている計算式は、あくまで「現状分かっているもの」となります。正確性などは保証しません。</t>
  </si>
  <si>
    <t>・他のウマの影響や、回復スキル以外のスキル、乱数要素などは全く考慮していません（特にポジションキープ戦略を考慮していないことに注意）。</t>
  </si>
  <si>
    <t>・本計算機はラストスパート候補の選択部分をサボっていますのでご注意ください（常に基準目標速度上限を採用している）。</t>
  </si>
  <si>
    <t>・エラーの対処はあまり行っていません。例えばラストスパート距離が負になった場合などは正常に計算が行えていません（簡易チェック欄を参照）。</t>
  </si>
  <si>
    <t>・【更新履歴】4/15: ラストスパート速度に誤りがあったため修正 / 4/18: ラストスパート部分を改良（ゴールの 60[m] 手前でHPを使い切るように）</t>
  </si>
  <si>
    <t>入力欄:</t>
  </si>
  <si>
    <t>バ場 (1:芝/2:ダート)</t>
  </si>
  <si>
    <t>簡易チェック</t>
  </si>
  <si>
    <t>定数欄:</t>
  </si>
  <si>
    <t>バ場状態 (1:良/2:稍/3:重/4:不良)</t>
  </si>
  <si>
    <t>脚質 (1:逃/2:先/3:差/4:追)</t>
  </si>
  <si>
    <t>芝</t>
  </si>
  <si>
    <t>バ場</t>
  </si>
  <si>
    <t>状態</t>
  </si>
  <si>
    <t>各種補正</t>
  </si>
  <si>
    <t>バ場適性</t>
  </si>
  <si>
    <t>A</t>
  </si>
  <si>
    <t>ダート</t>
  </si>
  <si>
    <t>良</t>
  </si>
  <si>
    <t>距離適性</t>
  </si>
  <si>
    <t>稍重</t>
  </si>
  <si>
    <t>脚質適性</t>
  </si>
  <si>
    <t>重</t>
  </si>
  <si>
    <t>スピード値</t>
  </si>
  <si>
    <t>不良</t>
  </si>
  <si>
    <t>スタミナ値</t>
  </si>
  <si>
    <t>パワー値</t>
  </si>
  <si>
    <t>根性値</t>
  </si>
  <si>
    <t>賢さ値</t>
  </si>
  <si>
    <t>やる気 (1:絶好/2:好/3:普/4:不/5:絶不)</t>
  </si>
  <si>
    <t>コース距離</t>
  </si>
  <si>
    <t>[m]</t>
  </si>
  <si>
    <t>脚質</t>
  </si>
  <si>
    <t>HP補正</t>
  </si>
  <si>
    <t>スピード補正</t>
  </si>
  <si>
    <t>加速度補正</t>
  </si>
  <si>
    <t>(中盤までの) 回復スキル値合計</t>
  </si>
  <si>
    <t>（マエストロ = 550, コーナー回復○ = 150 など）</t>
  </si>
  <si>
    <t>逃げ</t>
  </si>
  <si>
    <t>先行</t>
  </si>
  <si>
    <t>出力欄:</t>
  </si>
  <si>
    <t>表示レース時間</t>
  </si>
  <si>
    <t>[s]</t>
  </si>
  <si>
    <t>（上限・下限による補正を受けない場合）</t>
  </si>
  <si>
    <t>差し</t>
  </si>
  <si>
    <t>ラストスパート距離</t>
  </si>
  <si>
    <t>追込</t>
  </si>
  <si>
    <t>計算欄:</t>
  </si>
  <si>
    <t>ベーススピード</t>
  </si>
  <si>
    <t>[m/s]</t>
  </si>
  <si>
    <t>補正後パラメータ</t>
  </si>
  <si>
    <t>補正</t>
  </si>
  <si>
    <t>補正 (速度/加速度)</t>
  </si>
  <si>
    <t>初期HP</t>
  </si>
  <si>
    <t>S</t>
  </si>
  <si>
    <t>回復スキル込HP</t>
  </si>
  <si>
    <t>バ場HP消費係数</t>
  </si>
  <si>
    <t>B</t>
  </si>
  <si>
    <t>終盤HP消費係数</t>
  </si>
  <si>
    <t>C</t>
  </si>
  <si>
    <t>生レース時間</t>
  </si>
  <si>
    <t>D</t>
  </si>
  <si>
    <t>E</t>
  </si>
  <si>
    <t>開始秒速 [m/s]</t>
  </si>
  <si>
    <t>目標秒速 [m/s]</t>
  </si>
  <si>
    <t>加速度 [m/s^2]</t>
  </si>
  <si>
    <t>時間 [s]</t>
  </si>
  <si>
    <t>距離 [m]</t>
  </si>
  <si>
    <t>HP消費量</t>
  </si>
  <si>
    <t>F</t>
  </si>
  <si>
    <t>スタートダッシュ</t>
  </si>
  <si>
    <t>G</t>
  </si>
  <si>
    <t>phase = 0 / 加速</t>
  </si>
  <si>
    <t>phase = 0 / 定常</t>
  </si>
  <si>
    <t>-</t>
  </si>
  <si>
    <t>やる気</t>
  </si>
  <si>
    <t xml:space="preserve"> phase = 1 / 加減速</t>
  </si>
  <si>
    <t>絶好調</t>
  </si>
  <si>
    <t>phase = 1 / 定常</t>
  </si>
  <si>
    <t>好調</t>
  </si>
  <si>
    <t>phase = 2 / 加速</t>
  </si>
  <si>
    <t>普通</t>
  </si>
  <si>
    <t>phase = 2, 3 / 定常</t>
  </si>
  <si>
    <t>不調</t>
  </si>
  <si>
    <t>ラストスパート / 加速</t>
  </si>
  <si>
    <t>絶不調</t>
  </si>
  <si>
    <t>ラストスパート / 定常</t>
  </si>
  <si>
    <t>HP0 / 減速</t>
  </si>
  <si>
    <t>総和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</si>
</sst>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#"/>
    <numFmt numFmtId="177" formatCode="0.000"/>
    <numFmt numFmtId="178" formatCode="###0"/>
    <numFmt numFmtId="179" formatCode="###0.###"/>
  </numFmts>
  <fonts count="23">
    <font>
      <sz val="10"/>
      <color rgb="FF000000"/>
      <name val="Arial"/>
      <charset val="134"/>
    </font>
    <font>
      <b/>
      <u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77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/>
    </xf>
    <xf numFmtId="178" fontId="2" fillId="0" borderId="0" xfId="0" applyNumberFormat="1" applyFont="1" applyAlignment="1">
      <alignment horizontal="center"/>
    </xf>
    <xf numFmtId="17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b val="1"/>
        <color rgb="FFFF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1022"/>
  <sheetViews>
    <sheetView tabSelected="1" topLeftCell="A13" workbookViewId="0">
      <selection activeCell="G29" sqref="G29"/>
    </sheetView>
  </sheetViews>
  <sheetFormatPr defaultColWidth="14.4285714285714" defaultRowHeight="15.75" customHeight="1"/>
  <cols>
    <col min="2" max="2" width="33.7142857142857" customWidth="1"/>
    <col min="9" max="19" width="8.57142857142857" customWidth="1"/>
  </cols>
  <sheetData>
    <row r="1" ht="12.75" spans="1:33">
      <c r="A1" s="1" t="s">
        <v>0</v>
      </c>
      <c r="B1" s="2" t="s">
        <v>1</v>
      </c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ht="12.75" spans="1:33">
      <c r="A2" s="3"/>
      <c r="B2" s="2" t="s">
        <v>2</v>
      </c>
      <c r="K2" s="1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12.75" spans="1:33">
      <c r="A3" s="3"/>
      <c r="B3" s="2" t="s">
        <v>3</v>
      </c>
      <c r="K3" s="1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ht="12.75" spans="1:33">
      <c r="A4" s="3"/>
      <c r="B4" s="2" t="s">
        <v>4</v>
      </c>
      <c r="K4" s="1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ht="12.75" spans="1:33">
      <c r="A5" s="3"/>
      <c r="B5" s="2" t="s">
        <v>5</v>
      </c>
      <c r="K5" s="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ht="12.75" spans="1:33">
      <c r="A6" s="3"/>
      <c r="B6" s="2" t="s">
        <v>6</v>
      </c>
      <c r="K6" s="1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ht="12.75" spans="1:33">
      <c r="A7" s="3"/>
      <c r="B7" s="2" t="s">
        <v>7</v>
      </c>
      <c r="K7" s="1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ht="12.75" spans="1:33">
      <c r="A8" s="3"/>
      <c r="B8" s="3"/>
      <c r="C8" s="3"/>
      <c r="D8" s="3"/>
      <c r="E8" s="3"/>
      <c r="F8" s="3"/>
      <c r="G8" s="3"/>
      <c r="H8" s="3"/>
      <c r="I8" s="3"/>
      <c r="J8" s="1"/>
      <c r="K8" s="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ht="12.75" spans="1:33">
      <c r="A9" s="1" t="s">
        <v>8</v>
      </c>
      <c r="B9" s="3" t="s">
        <v>9</v>
      </c>
      <c r="C9" s="3">
        <v>1</v>
      </c>
      <c r="D9" s="3" t="str">
        <f>VLOOKUP(C9,J11:K12,2)</f>
        <v>芝</v>
      </c>
      <c r="E9" s="3"/>
      <c r="F9" s="3" t="s">
        <v>10</v>
      </c>
      <c r="G9" s="3" t="str">
        <f>IF(MIN(C25,F35:H44)&lt;-0.0000000001,"Error!","OK")</f>
        <v>OK</v>
      </c>
      <c r="H9" s="3"/>
      <c r="I9" s="3"/>
      <c r="J9" s="1" t="s">
        <v>11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ht="12.75" spans="1:33">
      <c r="A10" s="3"/>
      <c r="B10" s="3" t="s">
        <v>12</v>
      </c>
      <c r="C10" s="3">
        <v>1</v>
      </c>
      <c r="D10" s="3" t="str">
        <f>VLOOKUP(C10,J14:K17,2)</f>
        <v>良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ht="12.75" spans="1:33">
      <c r="A11" s="3"/>
      <c r="B11" s="3" t="s">
        <v>13</v>
      </c>
      <c r="C11" s="3">
        <v>1</v>
      </c>
      <c r="D11" s="3" t="str">
        <f>VLOOKUP(C11,J22:K25,2)</f>
        <v>逃げ</v>
      </c>
      <c r="E11" s="3"/>
      <c r="F11" s="3"/>
      <c r="G11" s="3"/>
      <c r="H11" s="3"/>
      <c r="I11" s="3"/>
      <c r="J11" s="3">
        <v>1</v>
      </c>
      <c r="K11" s="3" t="s">
        <v>14</v>
      </c>
      <c r="L11" s="3"/>
      <c r="M11" s="3" t="s">
        <v>15</v>
      </c>
      <c r="N11" s="3" t="s">
        <v>16</v>
      </c>
      <c r="O11" s="3" t="s">
        <v>17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ht="12.75" spans="1:33">
      <c r="A12" s="3"/>
      <c r="B12" s="3" t="s">
        <v>18</v>
      </c>
      <c r="C12" s="3" t="s">
        <v>19</v>
      </c>
      <c r="D12" s="3"/>
      <c r="E12" s="3"/>
      <c r="F12" s="3"/>
      <c r="G12" s="3"/>
      <c r="H12" s="3"/>
      <c r="I12" s="3"/>
      <c r="J12" s="3">
        <v>2</v>
      </c>
      <c r="K12" s="3" t="s">
        <v>20</v>
      </c>
      <c r="L12" s="3"/>
      <c r="M12" s="11" t="s">
        <v>14</v>
      </c>
      <c r="N12" s="3" t="s">
        <v>21</v>
      </c>
      <c r="O12" s="3">
        <v>0</v>
      </c>
      <c r="P12" s="3">
        <v>0</v>
      </c>
      <c r="Q12" s="3">
        <v>1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ht="12.75" spans="1:33">
      <c r="A13" s="3"/>
      <c r="B13" s="3" t="s">
        <v>22</v>
      </c>
      <c r="C13" s="3" t="s">
        <v>19</v>
      </c>
      <c r="D13" s="3"/>
      <c r="E13" s="3"/>
      <c r="F13" s="3"/>
      <c r="G13" s="3"/>
      <c r="H13" s="3"/>
      <c r="I13" s="3"/>
      <c r="J13" s="3"/>
      <c r="K13" s="3"/>
      <c r="L13" s="3"/>
      <c r="N13" s="3" t="s">
        <v>23</v>
      </c>
      <c r="O13" s="3">
        <v>0</v>
      </c>
      <c r="P13" s="3">
        <v>-50</v>
      </c>
      <c r="Q13" s="3">
        <v>1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ht="12.75" spans="1:33">
      <c r="A14" s="3"/>
      <c r="B14" s="3" t="s">
        <v>24</v>
      </c>
      <c r="C14" s="3" t="s">
        <v>19</v>
      </c>
      <c r="D14" s="3"/>
      <c r="E14" s="3"/>
      <c r="F14" s="3"/>
      <c r="G14" s="3"/>
      <c r="H14" s="3"/>
      <c r="I14" s="3"/>
      <c r="J14" s="3">
        <v>1</v>
      </c>
      <c r="K14" s="3" t="s">
        <v>21</v>
      </c>
      <c r="L14" s="3"/>
      <c r="N14" s="3" t="s">
        <v>25</v>
      </c>
      <c r="O14" s="3">
        <v>0</v>
      </c>
      <c r="P14" s="3">
        <v>-50</v>
      </c>
      <c r="Q14" s="3">
        <v>1.02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ht="12.75" spans="1:33">
      <c r="A15" s="3"/>
      <c r="B15" s="3" t="s">
        <v>26</v>
      </c>
      <c r="C15" s="3">
        <v>800</v>
      </c>
      <c r="D15" s="3"/>
      <c r="E15" s="3"/>
      <c r="F15" s="3"/>
      <c r="G15" s="3"/>
      <c r="H15" s="3"/>
      <c r="I15" s="3"/>
      <c r="J15" s="3">
        <v>2</v>
      </c>
      <c r="K15" s="3" t="s">
        <v>23</v>
      </c>
      <c r="L15" s="3"/>
      <c r="N15" s="3" t="s">
        <v>27</v>
      </c>
      <c r="O15" s="3">
        <v>-50</v>
      </c>
      <c r="P15" s="3">
        <v>-50</v>
      </c>
      <c r="Q15" s="3">
        <v>1.02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ht="12.75" spans="1:33">
      <c r="A16" s="3"/>
      <c r="B16" s="3" t="s">
        <v>28</v>
      </c>
      <c r="C16" s="3">
        <v>400</v>
      </c>
      <c r="D16" s="3"/>
      <c r="E16" s="3"/>
      <c r="F16" s="3"/>
      <c r="G16" s="3"/>
      <c r="H16" s="3"/>
      <c r="I16" s="3"/>
      <c r="J16" s="3">
        <v>3</v>
      </c>
      <c r="K16" s="3" t="s">
        <v>25</v>
      </c>
      <c r="L16" s="3"/>
      <c r="M16" s="11" t="s">
        <v>20</v>
      </c>
      <c r="N16" s="3" t="s">
        <v>21</v>
      </c>
      <c r="O16" s="3">
        <v>0</v>
      </c>
      <c r="P16" s="3">
        <v>-100</v>
      </c>
      <c r="Q16" s="3">
        <v>1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ht="12.75" spans="1:33">
      <c r="A17" s="3"/>
      <c r="B17" s="3" t="s">
        <v>29</v>
      </c>
      <c r="C17" s="3">
        <v>600</v>
      </c>
      <c r="D17" s="3"/>
      <c r="E17" s="3"/>
      <c r="F17" s="3"/>
      <c r="G17" s="3"/>
      <c r="H17" s="3"/>
      <c r="I17" s="3"/>
      <c r="J17" s="3">
        <v>4</v>
      </c>
      <c r="K17" s="3" t="s">
        <v>27</v>
      </c>
      <c r="L17" s="3"/>
      <c r="N17" s="3" t="s">
        <v>23</v>
      </c>
      <c r="O17" s="3">
        <v>0</v>
      </c>
      <c r="P17" s="3">
        <v>-50</v>
      </c>
      <c r="Q17" s="3">
        <v>1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ht="12.75" spans="1:33">
      <c r="A18" s="3"/>
      <c r="B18" s="3" t="s">
        <v>30</v>
      </c>
      <c r="C18" s="3">
        <v>600</v>
      </c>
      <c r="D18" s="3"/>
      <c r="E18" s="3"/>
      <c r="F18" s="3"/>
      <c r="G18" s="3"/>
      <c r="H18" s="3"/>
      <c r="I18" s="3"/>
      <c r="L18" s="3"/>
      <c r="N18" s="3" t="s">
        <v>25</v>
      </c>
      <c r="O18" s="3">
        <v>0</v>
      </c>
      <c r="P18" s="3">
        <v>-100</v>
      </c>
      <c r="Q18" s="3">
        <v>1.01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ht="12.75" spans="1:33">
      <c r="A19" s="3"/>
      <c r="B19" s="3" t="s">
        <v>31</v>
      </c>
      <c r="C19" s="3">
        <v>200</v>
      </c>
      <c r="D19" s="3"/>
      <c r="E19" s="3"/>
      <c r="F19" s="3"/>
      <c r="G19" s="3"/>
      <c r="H19" s="3"/>
      <c r="I19" s="3"/>
      <c r="J19" s="3"/>
      <c r="K19" s="3"/>
      <c r="L19" s="3"/>
      <c r="N19" s="3" t="s">
        <v>27</v>
      </c>
      <c r="O19" s="3">
        <v>-50</v>
      </c>
      <c r="P19" s="3">
        <v>-100</v>
      </c>
      <c r="Q19" s="3">
        <v>1.02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ht="12.75" spans="1:33">
      <c r="A20" s="3"/>
      <c r="B20" s="3" t="s">
        <v>32</v>
      </c>
      <c r="C20" s="3">
        <v>3</v>
      </c>
      <c r="D20" s="3" t="str">
        <f>VLOOKUP(C20,J38:L42,2)</f>
        <v>普通</v>
      </c>
      <c r="E20" s="3"/>
      <c r="F20" s="3"/>
      <c r="G20" s="3"/>
      <c r="H20" s="3"/>
      <c r="I20" s="3"/>
      <c r="J20" s="3"/>
      <c r="K20" s="3"/>
      <c r="L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ht="12.75" spans="1:33">
      <c r="A21" s="3"/>
      <c r="B21" s="3" t="s">
        <v>33</v>
      </c>
      <c r="C21" s="3">
        <v>1600</v>
      </c>
      <c r="D21" s="3" t="s">
        <v>34</v>
      </c>
      <c r="E21" s="3"/>
      <c r="F21" s="3"/>
      <c r="G21" s="3"/>
      <c r="H21" s="3"/>
      <c r="I21" s="3"/>
      <c r="J21" s="3"/>
      <c r="K21" s="3" t="s">
        <v>35</v>
      </c>
      <c r="L21" s="3" t="s">
        <v>36</v>
      </c>
      <c r="M21" s="3" t="s">
        <v>37</v>
      </c>
      <c r="P21" s="3" t="s">
        <v>38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>
      <c r="A22" s="3"/>
      <c r="B22" s="3" t="s">
        <v>39</v>
      </c>
      <c r="C22" s="3">
        <v>0</v>
      </c>
      <c r="D22" s="3" t="s">
        <v>40</v>
      </c>
      <c r="G22" s="3"/>
      <c r="H22" s="3"/>
      <c r="I22" s="3"/>
      <c r="J22" s="3">
        <v>1</v>
      </c>
      <c r="K22" s="3" t="s">
        <v>41</v>
      </c>
      <c r="L22" s="3">
        <v>0.95</v>
      </c>
      <c r="M22" s="3">
        <v>1</v>
      </c>
      <c r="N22" s="3">
        <v>0.98</v>
      </c>
      <c r="O22" s="3">
        <v>0.962</v>
      </c>
      <c r="P22" s="3">
        <v>1</v>
      </c>
      <c r="Q22" s="3">
        <v>1</v>
      </c>
      <c r="R22" s="3">
        <v>0.996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ht="12.75" spans="1:33">
      <c r="A23" s="3"/>
      <c r="B23" s="3"/>
      <c r="C23" s="3"/>
      <c r="D23" s="3"/>
      <c r="E23" s="3"/>
      <c r="F23" s="3"/>
      <c r="G23" s="3"/>
      <c r="H23" s="3"/>
      <c r="I23" s="3"/>
      <c r="J23" s="3">
        <v>2</v>
      </c>
      <c r="K23" s="3" t="s">
        <v>42</v>
      </c>
      <c r="L23" s="3">
        <v>0.89</v>
      </c>
      <c r="M23" s="3">
        <v>0.978</v>
      </c>
      <c r="N23" s="3">
        <v>0.991</v>
      </c>
      <c r="O23" s="3">
        <v>0.975</v>
      </c>
      <c r="P23" s="3">
        <v>0.985</v>
      </c>
      <c r="Q23" s="3">
        <v>1</v>
      </c>
      <c r="R23" s="3">
        <v>0.996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ht="12.75" spans="1:33">
      <c r="A24" s="1" t="s">
        <v>43</v>
      </c>
      <c r="B24" s="3" t="s">
        <v>44</v>
      </c>
      <c r="C24" s="4">
        <f>1.18*C32</f>
        <v>91.7690982973821</v>
      </c>
      <c r="D24" s="3" t="s">
        <v>45</v>
      </c>
      <c r="E24" s="3" t="s">
        <v>46</v>
      </c>
      <c r="H24" s="3"/>
      <c r="I24" s="3"/>
      <c r="J24" s="3">
        <v>3</v>
      </c>
      <c r="K24" s="3" t="s">
        <v>47</v>
      </c>
      <c r="L24" s="3">
        <v>1</v>
      </c>
      <c r="M24" s="3">
        <v>0.938</v>
      </c>
      <c r="N24" s="3">
        <v>0.998</v>
      </c>
      <c r="O24" s="3">
        <v>0.994</v>
      </c>
      <c r="P24" s="3">
        <v>0.975</v>
      </c>
      <c r="Q24" s="3">
        <v>1</v>
      </c>
      <c r="R24" s="3">
        <v>1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ht="12.75" spans="1:33">
      <c r="A25" s="1"/>
      <c r="B25" s="3" t="s">
        <v>48</v>
      </c>
      <c r="C25" s="5">
        <f>MIN((C29-SUM(H35:H39)-(C21/3-60)*20*C30*C31*(C41-C27+12)^2/144/C41)/(20*C30*C31*((C43-C27+12)^2/144/C43-(C41-C27+12)^2/144/C41))+60,C21/3)</f>
        <v>533.333333333333</v>
      </c>
      <c r="D25" s="3" t="s">
        <v>34</v>
      </c>
      <c r="E25" s="3"/>
      <c r="F25" s="3"/>
      <c r="G25" s="3"/>
      <c r="H25" s="3"/>
      <c r="I25" s="3"/>
      <c r="J25" s="3">
        <v>4</v>
      </c>
      <c r="K25" s="3" t="s">
        <v>49</v>
      </c>
      <c r="L25" s="3">
        <v>0.995</v>
      </c>
      <c r="M25" s="3">
        <v>0.931</v>
      </c>
      <c r="N25" s="3">
        <v>1</v>
      </c>
      <c r="O25" s="3">
        <v>1</v>
      </c>
      <c r="P25" s="3">
        <v>0.945</v>
      </c>
      <c r="Q25" s="3">
        <v>1</v>
      </c>
      <c r="R25" s="3">
        <v>0.997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ht="12.75" spans="1:3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>
      <c r="A27" s="1" t="s">
        <v>50</v>
      </c>
      <c r="B27" s="3" t="s">
        <v>51</v>
      </c>
      <c r="C27" s="5">
        <f>20-(C21-2000)/1000</f>
        <v>20.4</v>
      </c>
      <c r="D27" s="3" t="s">
        <v>52</v>
      </c>
      <c r="E27" s="3"/>
      <c r="F27" s="3" t="s">
        <v>53</v>
      </c>
      <c r="H27" s="3"/>
      <c r="I27" s="3"/>
      <c r="J27" s="3" t="s">
        <v>18</v>
      </c>
      <c r="K27" s="3" t="s">
        <v>54</v>
      </c>
      <c r="L27" s="3"/>
      <c r="M27" s="3" t="s">
        <v>22</v>
      </c>
      <c r="N27" s="3" t="s">
        <v>55</v>
      </c>
      <c r="P27" s="3"/>
      <c r="Q27" s="3" t="s">
        <v>24</v>
      </c>
      <c r="R27" s="3" t="s">
        <v>54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>
      <c r="A28" s="3"/>
      <c r="B28" s="3" t="s">
        <v>56</v>
      </c>
      <c r="C28" s="6">
        <f>C21+0.8*G29*VLOOKUP(C11,J22:O25,3)</f>
        <v>1904</v>
      </c>
      <c r="D28" s="3"/>
      <c r="E28" s="3"/>
      <c r="F28" s="3" t="s">
        <v>26</v>
      </c>
      <c r="G28" s="3">
        <f t="array" ref="G28">C15*VLOOKUP(C20,J38:L42,3)+INDEX(O12:Q19,(C9-1)*4+C10,1)</f>
        <v>800</v>
      </c>
      <c r="H28" s="3"/>
      <c r="I28" s="3"/>
      <c r="J28" s="3" t="s">
        <v>57</v>
      </c>
      <c r="K28" s="3">
        <v>1.05</v>
      </c>
      <c r="L28" s="3"/>
      <c r="M28" s="3" t="s">
        <v>57</v>
      </c>
      <c r="N28" s="3">
        <v>1.05</v>
      </c>
      <c r="O28" s="3">
        <v>1</v>
      </c>
      <c r="P28" s="3"/>
      <c r="Q28" s="3" t="s">
        <v>57</v>
      </c>
      <c r="R28" s="3">
        <v>1.1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>
      <c r="A29" s="3"/>
      <c r="B29" s="3" t="s">
        <v>58</v>
      </c>
      <c r="C29" s="6">
        <f>C28*(1+C22/10000)</f>
        <v>1904</v>
      </c>
      <c r="D29" s="3"/>
      <c r="E29" s="3"/>
      <c r="F29" s="3" t="s">
        <v>28</v>
      </c>
      <c r="G29" s="3">
        <f>C16*VLOOKUP(C20,J38:L42,3)</f>
        <v>400</v>
      </c>
      <c r="H29" s="3"/>
      <c r="I29" s="3"/>
      <c r="J29" s="3" t="s">
        <v>19</v>
      </c>
      <c r="K29" s="3">
        <v>1</v>
      </c>
      <c r="L29" s="3"/>
      <c r="M29" s="3" t="s">
        <v>19</v>
      </c>
      <c r="N29" s="3">
        <v>1</v>
      </c>
      <c r="O29" s="3">
        <v>1</v>
      </c>
      <c r="P29" s="3"/>
      <c r="Q29" s="3" t="s">
        <v>19</v>
      </c>
      <c r="R29" s="3">
        <v>1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>
      <c r="A30" s="3"/>
      <c r="B30" s="3" t="s">
        <v>59</v>
      </c>
      <c r="C30" s="3">
        <f t="array" ref="C30">INDEX(O12:Q19,(C9-1)*4+C10,3)</f>
        <v>1</v>
      </c>
      <c r="D30" s="3"/>
      <c r="E30" s="3"/>
      <c r="F30" s="3" t="s">
        <v>29</v>
      </c>
      <c r="G30" s="3">
        <f t="array" ref="G30">C17*VLOOKUP(C20,J38:L42,3)+INDEX(O12:Q19,(C9-1)*4+C10,2)</f>
        <v>600</v>
      </c>
      <c r="H30" s="3"/>
      <c r="I30" s="3"/>
      <c r="J30" s="3" t="s">
        <v>60</v>
      </c>
      <c r="K30" s="3">
        <v>0.9</v>
      </c>
      <c r="L30" s="3"/>
      <c r="M30" s="3" t="s">
        <v>60</v>
      </c>
      <c r="N30" s="3">
        <v>0.9</v>
      </c>
      <c r="O30" s="3">
        <v>1</v>
      </c>
      <c r="P30" s="3"/>
      <c r="Q30" s="3" t="s">
        <v>60</v>
      </c>
      <c r="R30" s="3">
        <v>0.85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ht="12.75" spans="1:33">
      <c r="A31" s="3"/>
      <c r="B31" s="3" t="s">
        <v>61</v>
      </c>
      <c r="C31" s="4">
        <f>1+(200/SQRT(600*G31))</f>
        <v>1.33333333333333</v>
      </c>
      <c r="D31" s="3"/>
      <c r="E31" s="3"/>
      <c r="F31" s="3" t="s">
        <v>30</v>
      </c>
      <c r="G31" s="3">
        <f>C18*VLOOKUP(C20,J38:L42,3)</f>
        <v>600</v>
      </c>
      <c r="H31" s="3"/>
      <c r="I31" s="3"/>
      <c r="J31" s="3" t="s">
        <v>62</v>
      </c>
      <c r="K31" s="3">
        <v>0.8</v>
      </c>
      <c r="L31" s="3"/>
      <c r="M31" s="3" t="s">
        <v>62</v>
      </c>
      <c r="N31" s="3">
        <v>0.8</v>
      </c>
      <c r="O31" s="3">
        <v>1</v>
      </c>
      <c r="P31" s="3"/>
      <c r="Q31" s="3" t="s">
        <v>62</v>
      </c>
      <c r="R31" s="3">
        <v>0.75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ht="12.75" spans="1:33">
      <c r="A32" s="3"/>
      <c r="B32" s="3" t="s">
        <v>63</v>
      </c>
      <c r="C32" s="4">
        <f>SUM(F35:F44)</f>
        <v>77.770422285917</v>
      </c>
      <c r="D32" s="3" t="s">
        <v>45</v>
      </c>
      <c r="E32" s="3"/>
      <c r="F32" s="3" t="s">
        <v>31</v>
      </c>
      <c r="G32" s="3">
        <f>C19*VLOOKUP(C20,J38:L42,3)*VLOOKUP(C14,Q28:R35,2,FALSE)</f>
        <v>200</v>
      </c>
      <c r="H32" s="3"/>
      <c r="I32" s="3"/>
      <c r="J32" s="3" t="s">
        <v>64</v>
      </c>
      <c r="K32" s="3">
        <v>0.7</v>
      </c>
      <c r="L32" s="3"/>
      <c r="M32" s="3" t="s">
        <v>64</v>
      </c>
      <c r="N32" s="3">
        <v>0.6</v>
      </c>
      <c r="O32" s="3">
        <v>1</v>
      </c>
      <c r="P32" s="3"/>
      <c r="Q32" s="3" t="s">
        <v>64</v>
      </c>
      <c r="R32" s="3">
        <v>0.6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ht="12.75" spans="1:33">
      <c r="A33" s="3"/>
      <c r="B33" s="3"/>
      <c r="C33" s="3"/>
      <c r="D33" s="3"/>
      <c r="E33" s="3"/>
      <c r="F33" s="3"/>
      <c r="G33" s="3"/>
      <c r="H33" s="3"/>
      <c r="I33" s="3"/>
      <c r="J33" s="3" t="s">
        <v>65</v>
      </c>
      <c r="K33" s="3">
        <v>0.5</v>
      </c>
      <c r="L33" s="3"/>
      <c r="M33" s="3" t="s">
        <v>65</v>
      </c>
      <c r="N33" s="3">
        <v>0.4</v>
      </c>
      <c r="O33" s="3">
        <v>0.6</v>
      </c>
      <c r="P33" s="3"/>
      <c r="Q33" s="3" t="s">
        <v>65</v>
      </c>
      <c r="R33" s="3">
        <v>0.4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>
      <c r="A34" s="3"/>
      <c r="B34" s="3"/>
      <c r="C34" s="3" t="s">
        <v>66</v>
      </c>
      <c r="D34" s="3" t="s">
        <v>67</v>
      </c>
      <c r="E34" s="3" t="s">
        <v>68</v>
      </c>
      <c r="F34" s="3" t="s">
        <v>69</v>
      </c>
      <c r="G34" s="3" t="s">
        <v>70</v>
      </c>
      <c r="H34" s="3" t="s">
        <v>71</v>
      </c>
      <c r="I34" s="3"/>
      <c r="J34" s="3" t="s">
        <v>72</v>
      </c>
      <c r="K34" s="3">
        <v>0.3</v>
      </c>
      <c r="L34" s="3"/>
      <c r="M34" s="3" t="s">
        <v>72</v>
      </c>
      <c r="N34" s="3">
        <v>0.2</v>
      </c>
      <c r="O34" s="3">
        <v>0.5</v>
      </c>
      <c r="P34" s="3"/>
      <c r="Q34" s="3" t="s">
        <v>72</v>
      </c>
      <c r="R34" s="3">
        <v>0.2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>
      <c r="A35" s="3"/>
      <c r="B35" s="3" t="s">
        <v>73</v>
      </c>
      <c r="C35" s="4">
        <v>3</v>
      </c>
      <c r="D35" s="4">
        <f>C27*0.85</f>
        <v>17.34</v>
      </c>
      <c r="E35" s="4">
        <f>24+0.0006*SQRT(500*G30)*VLOOKUP(C11,J22:R25,7)*VLOOKUP(C12,J27:K35,2,FALSE)*VLOOKUP(C13,M27:O35,3,FALSE)</f>
        <v>24.3286335345031</v>
      </c>
      <c r="F35" s="4">
        <f>(D35-C35)/E35</f>
        <v>0.589428912218308</v>
      </c>
      <c r="G35" s="5">
        <f>(C35+D35)/2*F35</f>
        <v>5.99449203726019</v>
      </c>
      <c r="H35" s="5">
        <f>20*C30*F35</f>
        <v>11.7885782443661</v>
      </c>
      <c r="I35" s="3"/>
      <c r="J35" s="3" t="s">
        <v>74</v>
      </c>
      <c r="K35" s="3">
        <v>0.1</v>
      </c>
      <c r="L35" s="3"/>
      <c r="M35" s="3" t="s">
        <v>74</v>
      </c>
      <c r="N35" s="3">
        <v>0.1</v>
      </c>
      <c r="O35" s="3">
        <v>0.4</v>
      </c>
      <c r="P35" s="3"/>
      <c r="Q35" s="3" t="s">
        <v>74</v>
      </c>
      <c r="R35" s="3">
        <v>0.1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>
      <c r="A36" s="3"/>
      <c r="B36" s="3" t="s">
        <v>75</v>
      </c>
      <c r="C36" s="4">
        <f>C27*0.85</f>
        <v>17.34</v>
      </c>
      <c r="D36" s="4">
        <f>C37</f>
        <v>20.3433512770587</v>
      </c>
      <c r="E36" s="4">
        <f>0.0006*SQRT(500*G30)*VLOOKUP(C11,J22:R25,7)*VLOOKUP(C12,J27:K35,2,FALSE)*VLOOKUP(C13,M27:O35,3,FALSE)</f>
        <v>0.3286335345031</v>
      </c>
      <c r="F36" s="4">
        <f>MIN((D36-C36)/E36,(-C36+SQRT(C36^2+2*E36*(C21/6-G35)))/E36)</f>
        <v>9.13890690309456</v>
      </c>
      <c r="G36" s="5">
        <f>(C36+E36*F36/2)*F36</f>
        <v>172.192319558825</v>
      </c>
      <c r="H36" s="5">
        <f>20*C30*((E36*F36+C36-C27+12)^3-(C36-C27+12)^3)/(3*E36)/144</f>
        <v>139.343282958696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ht="12.75" spans="1:33">
      <c r="A37" s="3"/>
      <c r="B37" s="3" t="s">
        <v>76</v>
      </c>
      <c r="C37" s="4">
        <f>C27*VLOOKUP(C11,J22:O25,4)+((G32/5500)*LOG10(G32*0.1)-0.65/2)*0.01*C27</f>
        <v>20.3433512770587</v>
      </c>
      <c r="E37" s="4" t="s">
        <v>77</v>
      </c>
      <c r="F37" s="4">
        <f>G37/C37</f>
        <v>4.34932543146718</v>
      </c>
      <c r="G37" s="5">
        <f>MAX(C21/6-(G35+G36),0)</f>
        <v>88.4798550705819</v>
      </c>
      <c r="H37" s="5">
        <f>20*C30*(C37-C27+12)^2/144*F37</f>
        <v>86.1671680420338</v>
      </c>
      <c r="I37" s="3"/>
      <c r="J37" s="3"/>
      <c r="K37" s="3" t="s">
        <v>78</v>
      </c>
      <c r="L37" s="3" t="s">
        <v>54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ht="12.75" spans="1:33">
      <c r="A38" s="3"/>
      <c r="B38" s="3" t="s">
        <v>79</v>
      </c>
      <c r="C38" s="4">
        <f>C36+E36*F36</f>
        <v>20.3433512770587</v>
      </c>
      <c r="D38" s="4">
        <f>C39</f>
        <v>19.9353512770587</v>
      </c>
      <c r="E38" s="4">
        <f>IF(C38&lt;=D38,0.0006*SQRT(500*G30)*VLOOKUP(C11,J22:R25,8)*VLOOKUP(C12,J27:K35,2,FALSE)*VLOOKUP(C13,M27:O35,3,FALSE),-0.8)</f>
        <v>-0.8</v>
      </c>
      <c r="F38" s="4">
        <f>(D38-C38)/E38</f>
        <v>0.510000000000002</v>
      </c>
      <c r="G38" s="5">
        <f>(C38+D38)/2*F38</f>
        <v>10.2710691513</v>
      </c>
      <c r="H38" s="5">
        <f>20*C30*((D38-C27+12)^3-(C38-C27+12)^3)/(3*E38)/144</f>
        <v>9.76269202877116</v>
      </c>
      <c r="I38" s="3"/>
      <c r="J38" s="3">
        <v>1</v>
      </c>
      <c r="K38" s="3" t="s">
        <v>80</v>
      </c>
      <c r="L38" s="3">
        <v>1.04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ht="12.75" spans="1:33">
      <c r="A39" s="3"/>
      <c r="B39" s="3" t="s">
        <v>81</v>
      </c>
      <c r="C39" s="4">
        <f>C27*VLOOKUP(C11,J22:O25,5)+((G32/5500)*LOG10(G32*0.1)-0.65/2)*0.01*C27</f>
        <v>19.9353512770587</v>
      </c>
      <c r="E39" s="4" t="s">
        <v>77</v>
      </c>
      <c r="F39" s="4">
        <f>G39/C39</f>
        <v>39.6144978773214</v>
      </c>
      <c r="G39" s="5">
        <f>C21/2-G38</f>
        <v>789.7289308487</v>
      </c>
      <c r="H39" s="5">
        <f>20*C30*(C39-C27+12)^2/144*F39</f>
        <v>732.12174751257</v>
      </c>
      <c r="I39" s="3"/>
      <c r="J39" s="3">
        <v>2</v>
      </c>
      <c r="K39" s="3" t="s">
        <v>82</v>
      </c>
      <c r="L39" s="3">
        <v>1.02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ht="12.75" spans="1:33">
      <c r="A40" s="3"/>
      <c r="B40" s="3" t="s">
        <v>83</v>
      </c>
      <c r="C40" s="4">
        <f>C39</f>
        <v>19.9353512770587</v>
      </c>
      <c r="D40" s="4">
        <f>C41</f>
        <v>20.8330623411261</v>
      </c>
      <c r="E40" s="7">
        <f>IF(C40&lt;=D40,0.0006*SQRT(500*G30)*VLOOKUP(C11,J22:R25,9)*VLOOKUP(C12,J27:K35,2,FALSE)*VLOOKUP(C13,M27:O35,3,FALSE),-1)</f>
        <v>0.327319000365087</v>
      </c>
      <c r="F40" s="4">
        <f>IF(C21/3&lt;=C25,0,(D40-C40)/E40)</f>
        <v>0</v>
      </c>
      <c r="G40" s="5">
        <f>(C40+D40)/2*F40</f>
        <v>0</v>
      </c>
      <c r="H40" s="5">
        <f>20*C30*C31*((C40+E40*F40-C27+12)^3-(C40-C27+12)^3)/(3*E40)/144</f>
        <v>0</v>
      </c>
      <c r="I40" s="3"/>
      <c r="J40" s="3">
        <v>3</v>
      </c>
      <c r="K40" s="3" t="s">
        <v>84</v>
      </c>
      <c r="L40" s="3">
        <v>1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ht="12.75" spans="1:33">
      <c r="A41" s="3"/>
      <c r="B41" s="3" t="s">
        <v>85</v>
      </c>
      <c r="C41" s="4">
        <f>C27*VLOOKUP(C11,J22:O25,6)+SQRT(500*G28)*VLOOKUP(C13,M28:O35,2,FALSE)*0.002+((G32/5500)*LOG10(G32*0.1)-0.65/2)*0.01*C27</f>
        <v>20.8330623411261</v>
      </c>
      <c r="E41" s="7" t="s">
        <v>77</v>
      </c>
      <c r="F41" s="4">
        <f>G41/C41</f>
        <v>0</v>
      </c>
      <c r="G41" s="5">
        <f>MAX(C21/3-C25-G40,0)</f>
        <v>0</v>
      </c>
      <c r="H41" s="5">
        <f>20*C30*C31*(C41-C27+12)^2/144*F41</f>
        <v>0</v>
      </c>
      <c r="I41" s="3"/>
      <c r="J41" s="3">
        <v>4</v>
      </c>
      <c r="K41" s="3" t="s">
        <v>86</v>
      </c>
      <c r="L41" s="3">
        <v>0.98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ht="12.75" spans="1:33">
      <c r="A42" s="3"/>
      <c r="B42" s="3" t="s">
        <v>87</v>
      </c>
      <c r="C42" s="4">
        <f>IF(G40=0,C39,C41)</f>
        <v>19.9353512770587</v>
      </c>
      <c r="D42" s="4">
        <f>C43</f>
        <v>23.4133076813381</v>
      </c>
      <c r="E42" s="7">
        <f>0.0006*SQRT(500*G30)*VLOOKUP(C11,J22:R25,9)*VLOOKUP(C12,J27:K35,2,FALSE)*VLOOKUP(C13,M27:O35,3,FALSE)</f>
        <v>0.327319000365087</v>
      </c>
      <c r="F42" s="4">
        <f>(D42-C42)/E42</f>
        <v>10.6255866613306</v>
      </c>
      <c r="G42" s="5">
        <f>(C42+D42)/2*F42</f>
        <v>230.302466207455</v>
      </c>
      <c r="H42" s="5">
        <f>20*C30*C31*((C42+E42*F42-C27+12)^3-(C42-C27+12)^3)/(3*E42)/144</f>
        <v>348.70782340614</v>
      </c>
      <c r="I42" s="3"/>
      <c r="J42" s="3">
        <v>5</v>
      </c>
      <c r="K42" s="3" t="s">
        <v>88</v>
      </c>
      <c r="L42" s="3">
        <v>0.96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ht="12.75" spans="1:33">
      <c r="A43" s="3"/>
      <c r="B43" s="3" t="s">
        <v>89</v>
      </c>
      <c r="C43" s="4">
        <f>(C27*(VLOOKUP(C11,J22:O25,6)+0.01)+SQRT(500*G28)*VLOOKUP(C13,M28:O35,2,FALSE)*0.002)*1.05+SQRT(500*G28)*VLOOKUP(C13,M28:O35,2,FALSE)*0.002</f>
        <v>23.4133076813381</v>
      </c>
      <c r="E43" s="7" t="s">
        <v>77</v>
      </c>
      <c r="F43" s="4">
        <f>H43/(20*C30*C31*(C43-C27+12)^2/144)</f>
        <v>12.942676500485</v>
      </c>
      <c r="G43" s="5">
        <f>C43*F43</f>
        <v>303.030867125879</v>
      </c>
      <c r="H43" s="5">
        <f>MIN(20*C30*C31*(C43-C27+12)^2/144*(C21/3-SUM(G40:G42))/C43,C29-SUM(H35:H42))</f>
        <v>540.235484281543</v>
      </c>
      <c r="I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>
      <c r="A44" s="3"/>
      <c r="B44" s="3" t="s">
        <v>90</v>
      </c>
      <c r="C44" s="4">
        <f>C43</f>
        <v>23.4133076813381</v>
      </c>
      <c r="D44" s="4"/>
      <c r="E44" s="4">
        <v>-1.2</v>
      </c>
      <c r="F44" s="4">
        <f>(-C44+SQRT(C44^2+2*E44*G44))/E44</f>
        <v>0</v>
      </c>
      <c r="G44" s="5">
        <f>C21/3-SUM(G40:G43)</f>
        <v>0</v>
      </c>
      <c r="H44" s="5">
        <v>0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>
      <c r="A45" s="3"/>
      <c r="B45" s="3"/>
      <c r="C45" s="4"/>
      <c r="D45" s="4"/>
      <c r="E45" s="4" t="s">
        <v>91</v>
      </c>
      <c r="F45" s="4">
        <f t="shared" ref="F45:H45" si="0">SUM(F35:F44)</f>
        <v>77.770422285917</v>
      </c>
      <c r="G45" s="5">
        <f t="shared" si="0"/>
        <v>1600</v>
      </c>
      <c r="H45" s="5">
        <f>SUM(H35:H44)</f>
        <v>1868.12677647412</v>
      </c>
      <c r="I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>
      <c r="A46" s="3"/>
      <c r="B46" s="3"/>
      <c r="C46" s="3"/>
      <c r="D46" s="3"/>
      <c r="E46" s="3"/>
      <c r="F46" s="3"/>
      <c r="G46" s="3"/>
      <c r="H46" s="3"/>
      <c r="I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ht="12.75" spans="1:3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ht="12.75" spans="1:3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ht="12.75" spans="1:3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ht="12.75" spans="1:3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ht="12.75" spans="1:3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ht="12.75" spans="1:33">
      <c r="A52" s="1"/>
      <c r="B52" s="3"/>
      <c r="C52" s="8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ht="12.75" spans="1:33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ht="12.75" spans="1:3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ht="12.75" spans="1:33">
      <c r="A55" s="1"/>
      <c r="B55" s="3"/>
      <c r="C55" s="8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ht="12.75" spans="1:33">
      <c r="A56" s="3"/>
      <c r="B56" s="3"/>
      <c r="C56" s="10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ht="12.75" spans="1:3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ht="12.75" spans="1:33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ht="12.75" spans="1:33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ht="12.75" spans="1:3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ht="12.75" spans="1:3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ht="12.75" spans="1:3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ht="12.75" spans="1:3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ht="12.75" spans="1:3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ht="12.75" spans="1:3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ht="12.75" spans="1:3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ht="12.75" spans="1:3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ht="12.75" spans="1:3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ht="12.75" spans="1:3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ht="12.75" spans="1:3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ht="12.75" spans="1:3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ht="12.75" spans="1:3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ht="12.75" spans="1:3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ht="12.75" spans="1:3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ht="12.75" spans="1:3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ht="12.75" spans="1:3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ht="12.75" spans="1:3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ht="12.75" spans="1:3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ht="12.75" spans="1:3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ht="12.75" spans="1:3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ht="12.75" spans="1:3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ht="12.75" spans="1:3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ht="12.75" spans="1:3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ht="12.75" spans="1:3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ht="12.75" spans="1:3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ht="12.75" spans="1:3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ht="12.75" spans="1:3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ht="12.75" spans="1:3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ht="12.75" spans="1:3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ht="12.75" spans="1:3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ht="12.75" spans="1:3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ht="12.75" spans="1:3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ht="12.75" spans="1:3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ht="12.75" spans="1:3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ht="12.75" spans="1:3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ht="12.75" spans="1:3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ht="12.75" spans="1:3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ht="12.75" spans="1:3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ht="12.75" spans="1:3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ht="12.75" spans="1:3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ht="12.75" spans="1:3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ht="12.75" spans="1:3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ht="12.75" spans="1:3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ht="12.75" spans="1:3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ht="12.75" spans="1:3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ht="12.75" spans="1:3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ht="12.75" spans="1:3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ht="12.75" spans="1:3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ht="12.75" spans="1:3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ht="12.75" spans="1:3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ht="12.75" spans="1:3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ht="12.75" spans="1:3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ht="12.75" spans="1:3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ht="12.75" spans="1:3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ht="12.75" spans="1:3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ht="12.75" spans="1:3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ht="12.75" spans="1:3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ht="12.75" spans="1:3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ht="12.75" spans="1:3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ht="12.75" spans="1:3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ht="12.75" spans="1:3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ht="12.75" spans="1:3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ht="12.75" spans="1:3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ht="12.75" spans="1:3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ht="12.75" spans="1:3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ht="12.75" spans="1:3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ht="12.75" spans="1:3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ht="12.75" spans="1:3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ht="12.75" spans="1:3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ht="12.75" spans="1:3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ht="12.75" spans="1:3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ht="12.75" spans="1:3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ht="12.75" spans="1: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ht="12.75" spans="1:3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ht="12.75" spans="1:3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ht="12.75" spans="1:3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ht="12.75" spans="1:3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ht="12.75" spans="1:3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ht="12.75" spans="1:3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ht="12.75" spans="1:3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ht="12.75" spans="1:3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ht="12.75" spans="1:3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ht="12.75" spans="1:3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ht="12.75" spans="1:3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ht="12.75" spans="1:3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ht="12.75" spans="1:3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ht="12.75" spans="1:3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ht="12.75" spans="1:3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ht="12.75" spans="1:3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ht="12.75" spans="1:3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ht="12.75" spans="1:3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ht="12.75" spans="1:3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ht="12.75" spans="1:3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ht="12.75" spans="1:3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ht="12.75" spans="1:3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ht="12.75" spans="1:3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ht="12.75" spans="1:3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ht="12.75" spans="1:3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ht="12.75" spans="1:3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ht="12.75" spans="1:3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ht="12.75" spans="1:3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ht="12.75" spans="1:3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ht="12.75" spans="1:3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ht="12.75" spans="1:3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ht="12.75" spans="1:3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ht="12.75" spans="1:3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ht="12.75" spans="1:3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ht="12.75" spans="1:3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ht="12.75" spans="1:3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ht="12.75" spans="1:3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ht="12.75" spans="1:3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ht="12.75" spans="1:3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ht="12.75" spans="1:3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ht="12.75" spans="1:3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ht="12.75" spans="1:3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ht="12.75" spans="1:3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ht="12.75" spans="1:3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ht="12.75" spans="1:3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ht="12.75" spans="1:3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ht="12.75" spans="1:3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ht="12.75" spans="1:3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ht="12.75" spans="1:3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ht="12.75" spans="1:3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ht="12.75" spans="1:3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ht="12.75" spans="1:3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ht="12.75" spans="1:3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ht="12.75" spans="1:3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ht="12.75" spans="1:3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ht="12.75" spans="1:3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ht="12.75" spans="1:3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ht="12.75" spans="1:3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ht="12.75" spans="1:3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ht="12.75" spans="1:3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ht="12.75" spans="1:3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ht="12.75" spans="1:3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ht="12.75" spans="1:3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ht="12.75" spans="1:3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ht="12.75" spans="1:3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ht="12.75" spans="1:3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ht="12.75" spans="1:3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ht="12.75" spans="1:3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ht="12.75" spans="1:3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ht="12.75" spans="1:3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ht="12.75" spans="1:3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ht="12.75" spans="1:3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ht="12.75" spans="1:3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ht="12.75" spans="1:3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ht="12.75" spans="1:3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ht="12.75" spans="1:3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ht="12.75" spans="1:3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ht="12.75" spans="1:3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ht="12.75" spans="1:3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ht="12.75" spans="1:3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ht="12.75" spans="1:3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ht="12.75" spans="1:3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ht="12.75" spans="1:3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ht="12.75" spans="1:3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ht="12.75" spans="1:3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ht="12.75" spans="1:3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ht="12.75" spans="1:3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ht="12.75" spans="1:3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ht="12.75" spans="1:3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ht="12.75" spans="1:3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ht="12.75" spans="1:3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ht="12.75" spans="1:3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ht="12.75" spans="1:3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ht="12.75" spans="1:3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ht="12.75" spans="1:3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ht="12.75" spans="1:3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ht="12.75" spans="1:3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ht="12.75" spans="1:3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ht="12.75" spans="1:3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ht="12.75" spans="1: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ht="12.75" spans="1:3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ht="12.75" spans="1:3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ht="12.75" spans="1:3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ht="12.75" spans="1:3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ht="12.75" spans="1:3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ht="12.75" spans="1:3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ht="12.75" spans="1:3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ht="12.75" spans="1:3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ht="12.75" spans="1:3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ht="12.75" spans="1:3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ht="12.75" spans="1:3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ht="12.75" spans="1:3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ht="12.75" spans="1:3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ht="12.75" spans="1:3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ht="12.75" spans="1:3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ht="12.75" spans="1:3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ht="12.75" spans="1:3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ht="12.75" spans="1:3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ht="12.75" spans="1:3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ht="12.75" spans="1:3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ht="12.75" spans="1:3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ht="12.75" spans="1:3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ht="12.75" spans="1:3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ht="12.75" spans="1:3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ht="12.75" spans="1:3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ht="12.75" spans="1:3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ht="12.75" spans="1:3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ht="12.75" spans="1:3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ht="12.75" spans="1:3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ht="12.75" spans="1:3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ht="12.75" spans="1:3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ht="12.75" spans="1:3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ht="12.75" spans="1:3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ht="12.75" spans="1:3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ht="12.75" spans="1:3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ht="12.75" spans="1:3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ht="12.75" spans="1:3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ht="12.75" spans="1:3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ht="12.75" spans="1:3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ht="12.75" spans="1:3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ht="12.75" spans="1:3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ht="12.75" spans="1:3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ht="12.75" spans="1:3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ht="12.75" spans="1:3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ht="12.75" spans="1:3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ht="12.75" spans="1:3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ht="12.75" spans="1:3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ht="12.75" spans="1:3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ht="12.75" spans="1:3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ht="12.75" spans="1:3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ht="12.75" spans="1:3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ht="12.75" spans="1:3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ht="12.75" spans="1:3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ht="12.75" spans="1:3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ht="12.75" spans="1:3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ht="12.75" spans="1:3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ht="12.75" spans="1:3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ht="12.75" spans="1:3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ht="12.75" spans="1:3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ht="12.75" spans="1:3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ht="12.75" spans="1:3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ht="12.75" spans="1:3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ht="12.75" spans="1:3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ht="12.75" spans="1:3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ht="12.75" spans="1:3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ht="12.75" spans="1:3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ht="12.75" spans="1:3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ht="12.75" spans="1:3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ht="12.75" spans="1:3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ht="12.75" spans="1:3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ht="12.75" spans="1:3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ht="12.75" spans="1:3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ht="12.75" spans="1:3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ht="12.75" spans="1:3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ht="12.75" spans="1:3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ht="12.75" spans="1:3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ht="12.75" spans="1:3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ht="12.75" spans="1:3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ht="12.75" spans="1:3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ht="12.75" spans="1:3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ht="12.75" spans="1:3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ht="12.75" spans="1:3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ht="12.75" spans="1:3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ht="12.75" spans="1:3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ht="12.75" spans="1:3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ht="12.75" spans="1:3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ht="12.75" spans="1:3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ht="12.75" spans="1:3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ht="12.75" spans="1:3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ht="12.75" spans="1:3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ht="12.75" spans="1:3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ht="12.75" spans="1:3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ht="12.75" spans="1:3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ht="12.75" spans="1:3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ht="12.75" spans="1:3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ht="12.75" spans="1:3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ht="12.75" spans="1:3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ht="12.75" spans="1:3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ht="12.75" spans="1:3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ht="12.75" spans="1: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ht="12.75" spans="1:3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ht="12.75" spans="1:3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ht="12.75" spans="1:3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ht="12.75" spans="1:3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ht="12.75" spans="1:3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ht="12.75" spans="1:3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ht="12.75" spans="1:3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ht="12.75" spans="1:3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ht="12.75" spans="1:3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ht="12.75" spans="1:3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ht="12.75" spans="1:3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ht="12.75" spans="1:3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ht="12.75" spans="1:3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ht="12.75" spans="1:3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ht="12.75" spans="1:3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ht="12.75" spans="1:3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ht="12.75" spans="1:3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ht="12.75" spans="1:3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ht="12.75" spans="1:3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ht="12.75" spans="1:3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ht="12.75" spans="1:3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ht="12.75" spans="1:3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ht="12.75" spans="1:3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ht="12.75" spans="1:3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ht="12.75" spans="1:3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ht="12.75" spans="1:3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ht="12.75" spans="1:3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ht="12.75" spans="1:3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ht="12.75" spans="1:3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ht="12.75" spans="1:3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ht="12.75" spans="1:3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ht="12.75" spans="1:3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ht="12.75" spans="1:3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ht="12.75" spans="1:3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ht="12.75" spans="1:3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ht="12.75" spans="1:3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ht="12.75" spans="1:3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ht="12.75" spans="1:3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ht="12.75" spans="1:3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ht="12.75" spans="1:3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ht="12.75" spans="1:3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ht="12.75" spans="1:3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ht="12.75" spans="1:3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ht="12.75" spans="1:3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ht="12.75" spans="1:3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ht="12.75" spans="1:3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ht="12.75" spans="1:3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ht="12.75" spans="1:3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ht="12.75" spans="1:3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ht="12.75" spans="1:3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ht="12.75" spans="1:3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ht="12.75" spans="1:3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ht="12.75" spans="1:3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ht="12.75" spans="1:3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ht="12.75" spans="1:3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ht="12.75" spans="1:3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ht="12.75" spans="1:3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ht="12.75" spans="1:3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ht="12.75" spans="1:3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ht="12.75" spans="1:3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ht="12.75" spans="1:3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ht="12.75" spans="1:3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ht="12.75" spans="1:3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ht="12.75" spans="1:3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ht="12.75" spans="1:3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ht="12.75" spans="1:3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ht="12.75" spans="1:3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ht="12.75" spans="1:3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ht="12.75" spans="1:3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ht="12.75" spans="1:3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ht="12.75" spans="1:3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ht="12.75" spans="1:3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ht="12.75" spans="1:3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ht="12.75" spans="1:3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ht="12.75" spans="1:3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ht="12.75" spans="1:3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ht="12.75" spans="1:3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ht="12.75" spans="1:3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ht="12.75" spans="1:3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ht="12.75" spans="1:3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ht="12.75" spans="1:3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ht="12.75" spans="1:3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ht="12.75" spans="1:3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ht="12.75" spans="1:3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ht="12.75" spans="1:3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ht="12.75" spans="1:3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ht="12.75" spans="1:3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ht="12.75" spans="1:3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ht="12.75" spans="1:3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ht="12.75" spans="1:3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ht="12.75" spans="1:3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ht="12.75" spans="1:3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ht="12.75" spans="1:3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ht="12.75" spans="1:3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ht="12.75" spans="1:3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ht="12.75" spans="1:3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ht="12.75" spans="1:3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ht="12.75" spans="1:3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ht="12.75" spans="1:3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ht="12.75" spans="1: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ht="12.75" spans="1:3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ht="12.75" spans="1:3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ht="12.75" spans="1:3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ht="12.75" spans="1:3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ht="12.75" spans="1:3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ht="12.75" spans="1:3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ht="12.75" spans="1:3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ht="12.75" spans="1:3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ht="12.75" spans="1:3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ht="12.75" spans="1:3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ht="12.75" spans="1:3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ht="12.75" spans="1:3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ht="12.75" spans="1:3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ht="12.75" spans="1:3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ht="12.75" spans="1:3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ht="12.75" spans="1:3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ht="12.75" spans="1:3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ht="12.75" spans="1:3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ht="12.75" spans="1:3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ht="12.75" spans="1:3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ht="12.75" spans="1:3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ht="12.75" spans="1:3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ht="12.75" spans="1:3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ht="12.75" spans="1:3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ht="12.75" spans="1:3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ht="12.75" spans="1:3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ht="12.75" spans="1:3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ht="12.75" spans="1:3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ht="12.75" spans="1:3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ht="12.75" spans="1:3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ht="12.75" spans="1:3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ht="12.75" spans="1:3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ht="12.75" spans="1:3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ht="12.75" spans="1:3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ht="12.75" spans="1:3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ht="12.75" spans="1:3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ht="12.75" spans="1:3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ht="12.75" spans="1:3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ht="12.75" spans="1:3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ht="12.75" spans="1:3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ht="12.75" spans="1:3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ht="12.75" spans="1:3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ht="12.75" spans="1:3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ht="12.75" spans="1:3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ht="12.75" spans="1:3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ht="12.75" spans="1:3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ht="12.75" spans="1:3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ht="12.75" spans="1:3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ht="12.75" spans="1:3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ht="12.75" spans="1:3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ht="12.75" spans="1:3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ht="12.75" spans="1:3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ht="12.75" spans="1:3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ht="12.75" spans="1:3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ht="12.75" spans="1:3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ht="12.75" spans="1:3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ht="12.75" spans="1:3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ht="12.75" spans="1:3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ht="12.75" spans="1:3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ht="12.75" spans="1:3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ht="12.75" spans="1:3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ht="12.75" spans="1:3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ht="12.75" spans="1:3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ht="12.75" spans="1:3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ht="12.75" spans="1:3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ht="12.75" spans="1:3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ht="12.75" spans="1:3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ht="12.75" spans="1:3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ht="12.75" spans="1:3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ht="12.75" spans="1:3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ht="12.75" spans="1:3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ht="12.75" spans="1:3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ht="12.75" spans="1:3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ht="12.75" spans="1:3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ht="12.75" spans="1:3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ht="12.75" spans="1:3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ht="12.75" spans="1:3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ht="12.75" spans="1:3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ht="12.75" spans="1:3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ht="12.75" spans="1:3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ht="12.75" spans="1:3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ht="12.75" spans="1:3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ht="12.75" spans="1:3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ht="12.75" spans="1:3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ht="12.75" spans="1:3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ht="12.75" spans="1:3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ht="12.75" spans="1:3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ht="12.75" spans="1:3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ht="12.75" spans="1:3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ht="12.75" spans="1:3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ht="12.75" spans="1:3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ht="12.75" spans="1:3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ht="12.75" spans="1:3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ht="12.75" spans="1:3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ht="12.75" spans="1:3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ht="12.75" spans="1:3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ht="12.75" spans="1:3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ht="12.75" spans="1:3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ht="12.75" spans="1:3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ht="12.75" spans="1: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ht="12.75" spans="1:3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ht="12.75" spans="1:3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ht="12.75" spans="1:3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ht="12.75" spans="1:3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ht="12.75" spans="1:3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ht="12.75" spans="1:3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ht="12.75" spans="1:3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ht="12.75" spans="1:3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ht="12.75" spans="1:3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ht="12.75" spans="1:3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ht="12.75" spans="1:3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ht="12.75" spans="1:3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ht="12.75" spans="1:3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ht="12.75" spans="1:3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ht="12.75" spans="1:3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ht="12.75" spans="1:3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ht="12.75" spans="1:3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ht="12.75" spans="1:3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ht="12.75" spans="1:3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ht="12.75" spans="1:3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ht="12.75" spans="1:3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ht="12.75" spans="1:3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ht="12.75" spans="1:3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ht="12.75" spans="1:3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ht="12.75" spans="1:3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ht="12.75" spans="1:3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ht="12.75" spans="1:3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ht="12.75" spans="1:3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ht="12.75" spans="1:3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ht="12.75" spans="1:3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ht="12.75" spans="1:3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ht="12.75" spans="1:3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ht="12.75" spans="1:3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ht="12.75" spans="1:3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ht="12.75" spans="1:3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ht="12.75" spans="1:3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ht="12.75" spans="1:3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ht="12.75" spans="1:3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ht="12.75" spans="1:3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ht="12.75" spans="1:3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ht="12.75" spans="1:3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ht="12.75" spans="1:3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ht="12.75" spans="1:3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ht="12.75" spans="1:3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ht="12.75" spans="1:3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ht="12.75" spans="1:3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ht="12.75" spans="1:3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ht="12.75" spans="1:3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ht="12.75" spans="1:3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ht="12.75" spans="1:3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ht="12.75" spans="1:3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ht="12.75" spans="1:3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ht="12.75" spans="1:3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ht="12.75" spans="1:3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ht="12.75" spans="1:3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ht="12.75" spans="1:3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ht="12.75" spans="1:3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ht="12.75" spans="1:3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ht="12.75" spans="1:3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ht="12.75" spans="1:3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ht="12.75" spans="1:3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ht="12.75" spans="1:3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ht="12.75" spans="1:3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ht="12.75" spans="1:3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ht="12.75" spans="1:3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ht="12.75" spans="1:3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ht="12.75" spans="1:3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ht="12.75" spans="1:3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ht="12.75" spans="1:3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ht="12.75" spans="1:3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ht="12.75" spans="1:3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ht="12.75" spans="1:3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ht="12.75" spans="1:3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ht="12.75" spans="1:3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ht="12.75" spans="1:3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ht="12.75" spans="1:3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ht="12.75" spans="1:3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ht="12.75" spans="1:3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ht="12.75" spans="1:3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ht="12.75" spans="1:3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ht="12.75" spans="1:3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ht="12.75" spans="1:3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ht="12.75" spans="1:3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ht="12.75" spans="1:3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ht="12.75" spans="1:3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ht="12.75" spans="1:3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ht="12.75" spans="1:3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ht="12.75" spans="1:3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ht="12.75" spans="1:3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ht="12.75" spans="1:3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ht="12.75" spans="1:3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ht="12.75" spans="1:3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ht="12.75" spans="1:3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ht="12.75" spans="1:3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ht="12.75" spans="1:3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ht="12.75" spans="1:3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ht="12.75" spans="1:3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ht="12.75" spans="1:3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ht="12.75" spans="1:3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ht="12.75" spans="1: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ht="12.75" spans="1:3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ht="12.75" spans="1:3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ht="12.75" spans="1:3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ht="12.75" spans="1:3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ht="12.75" spans="1:3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ht="12.75" spans="1:3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ht="12.75" spans="1:3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ht="12.75" spans="1:3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ht="12.75" spans="1:3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ht="12.75" spans="1:3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ht="12.75" spans="1:3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ht="12.75" spans="1:3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ht="12.75" spans="1:3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ht="12.75" spans="1:3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ht="12.75" spans="1:3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ht="12.75" spans="1:3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ht="12.75" spans="1:3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ht="12.75" spans="1:3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ht="12.75" spans="1:3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ht="12.75" spans="1:3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ht="12.75" spans="1:3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ht="12.75" spans="1:3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ht="12.75" spans="1:3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ht="12.75" spans="1:3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ht="12.75" spans="1:3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ht="12.75" spans="1:3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ht="12.75" spans="1:3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ht="12.75" spans="1:3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ht="12.75" spans="1:3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ht="12.75" spans="1:3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ht="12.75" spans="1:3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ht="12.75" spans="1:3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ht="12.75" spans="1:3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ht="12.75" spans="1:3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ht="12.75" spans="1:3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ht="12.75" spans="1:3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ht="12.75" spans="1:3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ht="12.75" spans="1:3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ht="12.75" spans="1:3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ht="12.75" spans="1:3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ht="12.75" spans="1:3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ht="12.75" spans="1:3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ht="12.75" spans="1:3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ht="12.75" spans="1:3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ht="12.75" spans="1:3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ht="12.75" spans="1:3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ht="12.75" spans="1:3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ht="12.75" spans="1:3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ht="12.75" spans="1:3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ht="12.75" spans="1:3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ht="12.75" spans="1:3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ht="12.75" spans="1:3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ht="12.75" spans="1:3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ht="12.75" spans="1:3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ht="12.75" spans="1:3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ht="12.75" spans="1:3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ht="12.75" spans="1:3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ht="12.75" spans="1:3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ht="12.75" spans="1:3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ht="12.75" spans="1:3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ht="12.75" spans="1:3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ht="12.75" spans="1:3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ht="12.75" spans="1:3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ht="12.75" spans="1:3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ht="12.75" spans="1:3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ht="12.75" spans="1:3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ht="12.75" spans="1:3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ht="12.75" spans="1:3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ht="12.75" spans="1:3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ht="12.75" spans="1:3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ht="12.75" spans="1:3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ht="12.75" spans="1:3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ht="12.75" spans="1:3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ht="12.75" spans="1:3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ht="12.75" spans="1:3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ht="12.75" spans="1:3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ht="12.75" spans="1:3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ht="12.75" spans="1:3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ht="12.75" spans="1:3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ht="12.75" spans="1:3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ht="12.75" spans="1:3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ht="12.75" spans="1:3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ht="12.75" spans="1:3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ht="12.75" spans="1:3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ht="12.75" spans="1:3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ht="12.75" spans="1:3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ht="12.75" spans="1:3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ht="12.75" spans="1:3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ht="12.75" spans="1:3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ht="12.75" spans="1:3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ht="12.75" spans="1:3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ht="12.75" spans="1:3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ht="12.75" spans="1:3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ht="12.75" spans="1:3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ht="12.75" spans="1:3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ht="12.75" spans="1:3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ht="12.75" spans="1:3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ht="12.75" spans="1:3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ht="12.75" spans="1:3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ht="12.75" spans="1: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ht="12.75" spans="1:3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ht="12.75" spans="1:3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ht="12.75" spans="1:3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ht="12.75" spans="1:3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ht="12.75" spans="1:3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ht="12.75" spans="1:3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ht="12.75" spans="1:3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ht="12.75" spans="1:3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ht="12.75" spans="1:3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ht="12.75" spans="1:3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ht="12.75" spans="1:3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ht="12.75" spans="1:3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ht="12.75" spans="1:3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ht="12.75" spans="1:3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ht="12.75" spans="1:3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ht="12.75" spans="1:3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ht="12.75" spans="1:3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ht="12.75" spans="1:3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ht="12.75" spans="1:3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ht="12.75" spans="1:3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ht="12.75" spans="1:3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ht="12.75" spans="1:3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ht="12.75" spans="1:3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ht="12.75" spans="1:3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ht="12.75" spans="1:3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ht="12.75" spans="1:3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ht="12.75" spans="1:3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ht="12.75" spans="1:3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ht="12.75" spans="1:3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ht="12.75" spans="1:3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ht="12.75" spans="1:3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ht="12.75" spans="1:3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ht="12.75" spans="1:3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ht="12.75" spans="1:3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ht="12.75" spans="1:3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ht="12.75" spans="1:3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ht="12.75" spans="1:3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ht="12.75" spans="1:3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ht="12.75" spans="1:3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ht="12.75" spans="1:3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ht="12.75" spans="1:3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ht="12.75" spans="1:3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ht="12.75" spans="1:3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ht="12.75" spans="1:3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ht="12.75" spans="1:3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ht="12.75" spans="1:3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ht="12.75" spans="1:3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ht="12.75" spans="1:3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ht="12.75" spans="1:3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ht="12.75" spans="1:3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ht="12.75" spans="1:3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ht="12.75" spans="1:3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ht="12.75" spans="1:3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ht="12.75" spans="1:3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ht="12.75" spans="1:3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ht="12.75" spans="1:3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ht="12.75" spans="1:3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ht="12.75" spans="1:3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ht="12.75" spans="1:3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ht="12.75" spans="1:3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ht="12.75" spans="1:3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ht="12.75" spans="1:3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ht="12.75" spans="1:3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ht="12.75" spans="1:3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ht="12.75" spans="1:3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ht="12.75" spans="1:3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ht="12.75" spans="1:3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ht="12.75" spans="1:3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ht="12.75" spans="1:3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ht="12.75" spans="1:3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ht="12.75" spans="1:3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ht="12.75" spans="1:3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ht="12.75" spans="1:3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ht="12.75" spans="1:3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ht="12.75" spans="1:3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ht="12.75" spans="1:3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ht="12.75" spans="1:3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ht="12.75" spans="1:3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ht="12.75" spans="1:3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ht="12.75" spans="1:3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ht="12.75" spans="1:3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ht="12.75" spans="1:3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ht="12.75" spans="1:3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ht="12.75" spans="1:3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ht="12.75" spans="1:3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ht="12.75" spans="1:3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ht="12.75" spans="1:3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ht="12.75" spans="1:3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ht="12.75" spans="1:3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ht="12.75" spans="1:3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ht="12.75" spans="1:3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ht="12.75" spans="1:3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ht="12.75" spans="1:3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ht="12.75" spans="1:3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ht="12.75" spans="1:3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ht="12.75" spans="1:3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ht="12.75" spans="1:3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ht="12.75" spans="1:3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ht="12.75" spans="1:3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ht="12.75" spans="1: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ht="12.75" spans="1:3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ht="12.75" spans="1:3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ht="12.75" spans="1:3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ht="12.75" spans="1:3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ht="12.75" spans="1:3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ht="12.75" spans="1:3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ht="12.75" spans="1:3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ht="12.75" spans="1:3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ht="12.75" spans="1:3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ht="12.75" spans="1:3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ht="12.75" spans="1:3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ht="12.75" spans="1:3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ht="12.75" spans="1:3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ht="12.75" spans="1:3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ht="12.75" spans="1:3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ht="12.75" spans="1:3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ht="12.75" spans="1:3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ht="12.75" spans="1:3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ht="12.75" spans="1:3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ht="12.75" spans="1:3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ht="12.75" spans="1:3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ht="12.75" spans="1:3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ht="12.75" spans="1:3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ht="12.75" spans="1:3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ht="12.75" spans="1:3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ht="12.75" spans="1:3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ht="12.75" spans="1:3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ht="12.75" spans="1:3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ht="12.75" spans="1:3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ht="12.75" spans="1:3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ht="12.75" spans="1:3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ht="12.75" spans="1:3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ht="12.75" spans="1:3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ht="12.75" spans="1:3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ht="12.75" spans="1:3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ht="12.75" spans="1:3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ht="12.75" spans="1:3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ht="12.75" spans="1:3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ht="12.75" spans="1:3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ht="12.75" spans="1:3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ht="12.75" spans="1:3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ht="12.75" spans="1:3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ht="12.75" spans="1:3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ht="12.75" spans="1:3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ht="12.75" spans="1:3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ht="12.75" spans="1:3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ht="12.75" spans="1:3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ht="12.75" spans="1:3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ht="12.75" spans="1:3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ht="12.75" spans="1:3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ht="12.75" spans="1:3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ht="12.75" spans="1:3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ht="12.75" spans="1:3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ht="12.75" spans="1:3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ht="12.75" spans="1:3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ht="12.75" spans="1:3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ht="12.75" spans="1:3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ht="12.75" spans="1:3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ht="12.75" spans="1:3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ht="12.75" spans="1:3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ht="12.75" spans="1:3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ht="12.75" spans="1:3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ht="12.75" spans="1:3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ht="12.75" spans="1:3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ht="12.75" spans="1:3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ht="12.75" spans="1:3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ht="12.75" spans="1:3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ht="12.75" spans="1:3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ht="12.75" spans="1:3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ht="12.75" spans="1:3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ht="12.75" spans="1:3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ht="12.75" spans="1:3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ht="12.75" spans="1:3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ht="12.75" spans="1:3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ht="12.75" spans="1:3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ht="12.75" spans="1:3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ht="12.75" spans="1:3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ht="12.75" spans="1:3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ht="12.75" spans="1:3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ht="12.75" spans="1:3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ht="12.75" spans="1:3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ht="12.75" spans="1:3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ht="12.75" spans="1:3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ht="12.75" spans="1:3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ht="12.75" spans="1:3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ht="12.75" spans="1:3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ht="12.75" spans="1:3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ht="12.75" spans="1:3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ht="12.75" spans="1:3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ht="12.75" spans="1:3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ht="12.75" spans="1:3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ht="12.75" spans="1:3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ht="12.75" spans="1:3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ht="12.75" spans="1:3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ht="12.75" spans="1:3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ht="12.75" spans="1:3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ht="12.75" spans="1:3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ht="12.75" spans="1:3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ht="12.75" spans="1:3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ht="12.75" spans="1: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ht="12.75" spans="1:3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ht="12.75" spans="1:3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ht="12.75" spans="1:3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ht="12.75" spans="1:3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ht="12.75" spans="1:3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ht="12.75" spans="1:3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ht="12.75" spans="1:3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ht="12.75" spans="1:3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ht="12.75" spans="1:3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ht="12.75" spans="1:3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ht="12.75" spans="1:3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ht="12.75" spans="1:3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ht="12.75" spans="1:3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ht="12.75" spans="1:3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ht="12.75" spans="1:3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ht="12.75" spans="1:3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ht="12.75" spans="1:3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ht="12.75" spans="1:3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ht="12.75" spans="1:3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ht="12.75" spans="1:3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ht="12.75" spans="1:3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ht="12.75" spans="1:3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ht="12.75" spans="1:3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ht="12.75" spans="1:3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ht="12.75" spans="1:3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ht="12.75" spans="1:3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ht="12.75" spans="1:3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ht="12.75" spans="1:3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ht="12.75" spans="1:3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ht="12.75" spans="1:3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ht="12.75" spans="1:3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ht="12.75" spans="1:3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ht="12.75" spans="1:3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ht="12.75" spans="1:3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ht="12.75" spans="1:3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ht="12.75" spans="1:3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ht="12.75" spans="1:3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ht="12.75" spans="1:3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ht="12.75" spans="1:3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ht="12.75" spans="1:3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ht="12.75" spans="1:3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ht="12.75" spans="1:3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ht="12.75" spans="1:3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ht="12.75" spans="1:3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ht="12.75" spans="1:3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ht="12.75" spans="1:3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ht="12.75" spans="1:3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ht="12.75" spans="1:3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ht="12.75" spans="1:3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ht="12.75" spans="1:3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ht="12.75" spans="1:3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ht="12.75" spans="1:3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ht="12.75" spans="1:3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ht="12.75" spans="1:3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ht="12.75" spans="1:3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ht="12.75" spans="1:3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ht="12.75" spans="1:3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ht="12.75" spans="1:3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ht="12.75" spans="1:3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ht="12.75" spans="1:3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ht="12.75" spans="1:3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ht="12.75" spans="1:3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ht="12.75" spans="1:3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ht="12.75" spans="1:3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ht="12.75" spans="1:3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ht="12.75" spans="1:3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ht="12.75" spans="1:3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 ht="12.75" spans="1:3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  <row r="1002" ht="12.75" spans="1:3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</row>
    <row r="1003" ht="12.75" spans="1:3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</row>
    <row r="1004" ht="12.75" spans="1:3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</row>
    <row r="1005" ht="12.75" spans="1:3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</row>
    <row r="1006" ht="12.75" spans="1:3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</row>
    <row r="1007" ht="12.75" spans="1:33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</row>
    <row r="1008" ht="12.75" spans="1:33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</row>
    <row r="1009" ht="12.75" spans="1:3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</row>
    <row r="1010" ht="12.75" spans="1:3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</row>
    <row r="1011" ht="12.75" spans="1:3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</row>
    <row r="1012" ht="12.75" spans="1:3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</row>
    <row r="1013" ht="12.75" spans="1:3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</row>
    <row r="1014" ht="12.75" spans="1:33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</row>
    <row r="1015" ht="12.75" spans="1:33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</row>
    <row r="1016" ht="12.75" spans="1:33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</row>
    <row r="1017" ht="12.75" spans="1:33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</row>
    <row r="1018" ht="12.75" spans="1:3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</row>
    <row r="1019" ht="12.75" spans="1:33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</row>
    <row r="1020" ht="12.75" spans="1:33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</row>
    <row r="1021" ht="12.75" spans="1:3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</row>
    <row r="1022" ht="12.75" spans="1:33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</row>
  </sheetData>
  <mergeCells count="21">
    <mergeCell ref="B1:J1"/>
    <mergeCell ref="B2:J2"/>
    <mergeCell ref="B3:J3"/>
    <mergeCell ref="B4:J4"/>
    <mergeCell ref="B5:J5"/>
    <mergeCell ref="B6:J6"/>
    <mergeCell ref="B7:J7"/>
    <mergeCell ref="J9:K9"/>
    <mergeCell ref="O11:Q11"/>
    <mergeCell ref="M21:O21"/>
    <mergeCell ref="P21:R21"/>
    <mergeCell ref="D22:F22"/>
    <mergeCell ref="E24:G24"/>
    <mergeCell ref="F27:G27"/>
    <mergeCell ref="N27:O27"/>
    <mergeCell ref="C37:D37"/>
    <mergeCell ref="C39:D39"/>
    <mergeCell ref="C41:D41"/>
    <mergeCell ref="C43:D43"/>
    <mergeCell ref="M12:M15"/>
    <mergeCell ref="M16:M19"/>
  </mergeCells>
  <conditionalFormatting sqref="G9">
    <cfRule type="containsText" dxfId="0" priority="1" operator="between" text="Error">
      <formula>NOT(ISERROR(SEARCH("Error",G9)))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シート1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混沌</cp:lastModifiedBy>
  <dcterms:created xsi:type="dcterms:W3CDTF">2021-09-30T02:01:21Z</dcterms:created>
  <dcterms:modified xsi:type="dcterms:W3CDTF">2021-09-30T10:33:18Z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