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chrishun\Box Sync\000 Projects IndEcol\90088200 EVD4EUR\X00 EurEVFootprints\Submission files\code\data\"/>
    </mc:Choice>
  </mc:AlternateContent>
  <xr:revisionPtr revIDLastSave="0" documentId="13_ncr:1_{EE54148B-19AA-4537-9605-6B6B363FB271}" xr6:coauthVersionLast="46" xr6:coauthVersionMax="46" xr10:uidLastSave="{00000000-0000-0000-0000-000000000000}"/>
  <bookViews>
    <workbookView xWindow="10905" yWindow="-13950" windowWidth="18210" windowHeight="11970" activeTab="4" xr2:uid="{E91F4969-7BF6-4B90-98CA-1B1FDF050292}"/>
    <workbookView minimized="1" xWindow="11250" yWindow="-13605" windowWidth="18210" windowHeight="11970" xr2:uid="{276711D5-20C6-4063-8F78-B8437FC815F0}"/>
  </bookViews>
  <sheets>
    <sheet name="Sheet1" sheetId="1" r:id="rId1"/>
    <sheet name="allocation factors" sheetId="8" r:id="rId2"/>
    <sheet name="old values" sheetId="7" r:id="rId3"/>
    <sheet name="alt_energy" sheetId="2" r:id="rId4"/>
    <sheet name="car specs" sheetId="4" r:id="rId5"/>
    <sheet name="Sheet3" sheetId="3" r:id="rId6"/>
    <sheet name="Sheet1 (2)" sheetId="5" r:id="rId7"/>
    <sheet name="2020 models" sheetId="6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C9" i="8"/>
  <c r="D9" i="8"/>
  <c r="E9" i="8"/>
  <c r="B9" i="8"/>
  <c r="C7" i="8"/>
  <c r="D7" i="8"/>
  <c r="E7" i="8"/>
  <c r="B7" i="8"/>
  <c r="B6" i="8"/>
  <c r="C6" i="8"/>
  <c r="D6" i="8"/>
  <c r="E6" i="8"/>
  <c r="C5" i="8"/>
  <c r="D5" i="8"/>
  <c r="E5" i="8"/>
  <c r="B5" i="8"/>
  <c r="B2" i="8"/>
  <c r="C2" i="8"/>
  <c r="D2" i="8"/>
  <c r="E2" i="8"/>
  <c r="E12" i="1"/>
  <c r="F12" i="1"/>
  <c r="G12" i="1"/>
  <c r="D12" i="1"/>
  <c r="F1" i="2"/>
  <c r="G1" i="2"/>
  <c r="H1" i="2"/>
  <c r="E1" i="2"/>
  <c r="F3" i="2"/>
  <c r="G3" i="2"/>
  <c r="H3" i="2"/>
  <c r="E3" i="2"/>
  <c r="F2" i="2"/>
  <c r="G2" i="2"/>
  <c r="H2" i="2"/>
  <c r="E2" i="2"/>
  <c r="D19" i="4"/>
  <c r="I6" i="4"/>
  <c r="D8" i="4"/>
  <c r="O26" i="4"/>
  <c r="N26" i="4"/>
  <c r="E6" i="4"/>
  <c r="F6" i="4"/>
  <c r="G6" i="4"/>
  <c r="H6" i="4"/>
  <c r="J6" i="4"/>
  <c r="D6" i="4"/>
  <c r="D3" i="7" s="1"/>
  <c r="O13" i="4"/>
  <c r="O14" i="4"/>
  <c r="O15" i="4"/>
  <c r="O12" i="4"/>
  <c r="P4" i="4"/>
  <c r="P5" i="4"/>
  <c r="P6" i="4"/>
  <c r="P3" i="4"/>
  <c r="Q3" i="4" s="1"/>
  <c r="S3" i="4"/>
  <c r="U5" i="4"/>
  <c r="E30" i="6"/>
  <c r="E29" i="6"/>
  <c r="F31" i="6"/>
  <c r="G31" i="6" s="1"/>
  <c r="C31" i="6"/>
  <c r="E31" i="6"/>
  <c r="J4" i="4"/>
  <c r="F2" i="1"/>
  <c r="G2" i="1"/>
  <c r="E2" i="1"/>
  <c r="F3" i="4"/>
  <c r="E7" i="1"/>
  <c r="E32" i="6"/>
  <c r="C32" i="6"/>
  <c r="C36" i="6"/>
  <c r="C37" i="6"/>
  <c r="C38" i="6"/>
  <c r="E38" i="6"/>
  <c r="G38" i="6" s="1"/>
  <c r="E37" i="6"/>
  <c r="G37" i="6" s="1"/>
  <c r="E40" i="6"/>
  <c r="C40" i="6"/>
  <c r="C41" i="6"/>
  <c r="E41" i="6"/>
  <c r="E34" i="6"/>
  <c r="E33" i="6"/>
  <c r="E36" i="6"/>
  <c r="G36" i="6" s="1"/>
  <c r="E35" i="6"/>
  <c r="G13" i="4"/>
  <c r="G12" i="4"/>
  <c r="G11" i="4"/>
  <c r="F13" i="4"/>
  <c r="F12" i="4"/>
  <c r="F11" i="4"/>
  <c r="E33" i="4"/>
  <c r="E28" i="4"/>
  <c r="E27" i="4"/>
  <c r="E11" i="4"/>
  <c r="E12" i="4"/>
  <c r="E13" i="4"/>
  <c r="E14" i="4" s="1"/>
  <c r="E18" i="4" s="1"/>
  <c r="E26" i="4"/>
  <c r="E26" i="6"/>
  <c r="E4" i="4" s="1"/>
  <c r="C50" i="6"/>
  <c r="C49" i="6"/>
  <c r="C48" i="6"/>
  <c r="C46" i="6"/>
  <c r="E50" i="6"/>
  <c r="E49" i="6"/>
  <c r="E48" i="6"/>
  <c r="G48" i="6" s="1"/>
  <c r="E47" i="6"/>
  <c r="G47" i="6" s="1"/>
  <c r="E46" i="6"/>
  <c r="G46" i="6" s="1"/>
  <c r="I5" i="4" s="1"/>
  <c r="F3" i="1" s="1"/>
  <c r="E6" i="6"/>
  <c r="E7" i="6"/>
  <c r="F4" i="4" s="1"/>
  <c r="K27" i="6"/>
  <c r="K38" i="6"/>
  <c r="K37" i="6"/>
  <c r="D22" i="4"/>
  <c r="D14" i="4"/>
  <c r="D15" i="4"/>
  <c r="D23" i="4"/>
  <c r="E20" i="4"/>
  <c r="E21" i="4"/>
  <c r="E22" i="4"/>
  <c r="I22" i="4"/>
  <c r="J22" i="4"/>
  <c r="I23" i="4"/>
  <c r="J23" i="4"/>
  <c r="I21" i="4"/>
  <c r="J21" i="4"/>
  <c r="H21" i="4"/>
  <c r="I20" i="4"/>
  <c r="J20" i="4"/>
  <c r="H20" i="4"/>
  <c r="I14" i="4"/>
  <c r="J14" i="4"/>
  <c r="I15" i="4"/>
  <c r="J15" i="4"/>
  <c r="I16" i="4"/>
  <c r="J16" i="4"/>
  <c r="I17" i="4"/>
  <c r="J17" i="4"/>
  <c r="I18" i="4"/>
  <c r="J18" i="4"/>
  <c r="I19" i="4"/>
  <c r="J19" i="4"/>
  <c r="J27" i="4"/>
  <c r="J28" i="4"/>
  <c r="I27" i="4"/>
  <c r="I28" i="4"/>
  <c r="I49" i="4"/>
  <c r="I48" i="4"/>
  <c r="I44" i="4"/>
  <c r="I43" i="4"/>
  <c r="I39" i="4"/>
  <c r="I38" i="4"/>
  <c r="I33" i="4"/>
  <c r="I32" i="4"/>
  <c r="J13" i="4"/>
  <c r="J12" i="4"/>
  <c r="D7" i="4"/>
  <c r="G4" i="1"/>
  <c r="G5" i="7"/>
  <c r="F5" i="7"/>
  <c r="E5" i="7"/>
  <c r="D5" i="7"/>
  <c r="G4" i="7"/>
  <c r="F4" i="7"/>
  <c r="E4" i="7"/>
  <c r="D4" i="7"/>
  <c r="D16" i="5"/>
  <c r="G35" i="6"/>
  <c r="G39" i="6"/>
  <c r="G42" i="6"/>
  <c r="G44" i="6"/>
  <c r="G49" i="6"/>
  <c r="G50" i="6"/>
  <c r="G52" i="6"/>
  <c r="G53" i="6"/>
  <c r="G54" i="6"/>
  <c r="F30" i="6"/>
  <c r="G30" i="6" s="1"/>
  <c r="F33" i="6"/>
  <c r="F34" i="6"/>
  <c r="F29" i="6"/>
  <c r="F13" i="6"/>
  <c r="G8" i="4"/>
  <c r="X18" i="4"/>
  <c r="X19" i="4"/>
  <c r="X20" i="4"/>
  <c r="X17" i="4"/>
  <c r="U18" i="4"/>
  <c r="U19" i="4"/>
  <c r="U20" i="4"/>
  <c r="U17" i="4"/>
  <c r="S20" i="4"/>
  <c r="S19" i="4"/>
  <c r="S18" i="4"/>
  <c r="S17" i="4"/>
  <c r="G7" i="4"/>
  <c r="X13" i="4"/>
  <c r="X14" i="4"/>
  <c r="X15" i="4"/>
  <c r="X12" i="4"/>
  <c r="U13" i="4"/>
  <c r="U14" i="4"/>
  <c r="U15" i="4"/>
  <c r="U12" i="4"/>
  <c r="S15" i="4"/>
  <c r="S14" i="4"/>
  <c r="S13" i="4"/>
  <c r="S12" i="4"/>
  <c r="F22" i="4"/>
  <c r="G22" i="4"/>
  <c r="H22" i="4"/>
  <c r="X4" i="4"/>
  <c r="X5" i="4"/>
  <c r="X6" i="4"/>
  <c r="X7" i="4"/>
  <c r="X3" i="4"/>
  <c r="U4" i="4"/>
  <c r="U6" i="4"/>
  <c r="U3" i="4"/>
  <c r="S5" i="4"/>
  <c r="S4" i="4"/>
  <c r="S6" i="4"/>
  <c r="G29" i="6" l="1"/>
  <c r="J5" i="4" s="1"/>
  <c r="J7" i="4" s="1"/>
  <c r="G34" i="6"/>
  <c r="I4" i="4"/>
  <c r="G33" i="6"/>
  <c r="E16" i="4"/>
  <c r="E17" i="4" s="1"/>
  <c r="E15" i="4"/>
  <c r="E19" i="4" s="1"/>
  <c r="E23" i="4"/>
  <c r="I8" i="4"/>
  <c r="K5" i="4"/>
  <c r="I7" i="4"/>
  <c r="G9" i="4"/>
  <c r="D9" i="4"/>
  <c r="U21" i="4"/>
  <c r="U16" i="4"/>
  <c r="U7" i="4"/>
  <c r="G3" i="1" l="1"/>
  <c r="J8" i="4"/>
  <c r="J9" i="4" s="1"/>
  <c r="G8" i="1" s="1"/>
  <c r="I9" i="4"/>
  <c r="F8" i="1" s="1"/>
  <c r="D3" i="1"/>
  <c r="E4" i="1"/>
  <c r="G26" i="6"/>
  <c r="E5" i="4" s="1"/>
  <c r="E23" i="6"/>
  <c r="G23" i="6" s="1"/>
  <c r="D23" i="6"/>
  <c r="C23" i="6"/>
  <c r="B23" i="6"/>
  <c r="G22" i="6"/>
  <c r="G21" i="6"/>
  <c r="X20" i="6"/>
  <c r="G20" i="6"/>
  <c r="G19" i="6"/>
  <c r="L16" i="6"/>
  <c r="K16" i="6"/>
  <c r="E14" i="6"/>
  <c r="D14" i="6"/>
  <c r="C14" i="6"/>
  <c r="B14" i="6"/>
  <c r="G13" i="6"/>
  <c r="G12" i="6"/>
  <c r="G11" i="6"/>
  <c r="E8" i="6"/>
  <c r="D8" i="6"/>
  <c r="C8" i="6"/>
  <c r="B8" i="6"/>
  <c r="G7" i="6"/>
  <c r="F5" i="4" s="1"/>
  <c r="G6" i="6"/>
  <c r="G8" i="6" s="1"/>
  <c r="E4" i="6"/>
  <c r="C4" i="6"/>
  <c r="B4" i="6"/>
  <c r="G3" i="6"/>
  <c r="G2" i="6"/>
  <c r="P51" i="4"/>
  <c r="P53" i="4" s="1"/>
  <c r="Q51" i="4"/>
  <c r="Q52" i="4" s="1"/>
  <c r="O51" i="4"/>
  <c r="O53" i="4" s="1"/>
  <c r="D20" i="4"/>
  <c r="P45" i="4"/>
  <c r="D16" i="4" s="1"/>
  <c r="D17" i="4" s="1"/>
  <c r="F7" i="4" l="1"/>
  <c r="F8" i="4"/>
  <c r="E3" i="1"/>
  <c r="E7" i="4"/>
  <c r="E8" i="4"/>
  <c r="F3" i="7"/>
  <c r="G14" i="6"/>
  <c r="G16" i="4"/>
  <c r="G17" i="4" s="1"/>
  <c r="F16" i="4"/>
  <c r="F17" i="4" s="1"/>
  <c r="Q53" i="4"/>
  <c r="P52" i="4"/>
  <c r="O52" i="4"/>
  <c r="G15" i="4"/>
  <c r="G19" i="4" s="1"/>
  <c r="F15" i="4"/>
  <c r="F19" i="4" s="1"/>
  <c r="F9" i="4" l="1"/>
  <c r="E8" i="1" s="1"/>
  <c r="E3" i="7"/>
  <c r="E9" i="4"/>
  <c r="D8" i="1" s="1"/>
  <c r="D10" i="1"/>
  <c r="D10" i="7"/>
  <c r="D12" i="7" s="1"/>
  <c r="F10" i="1"/>
  <c r="F10" i="7"/>
  <c r="F12" i="7" s="1"/>
  <c r="E10" i="1"/>
  <c r="E10" i="7"/>
  <c r="E12" i="7" s="1"/>
  <c r="G21" i="4" l="1"/>
  <c r="F21" i="4"/>
  <c r="D21" i="4"/>
  <c r="D33" i="3"/>
  <c r="D24" i="3"/>
  <c r="D25" i="3"/>
  <c r="D26" i="3"/>
  <c r="D27" i="3"/>
  <c r="D28" i="3"/>
  <c r="D29" i="3"/>
  <c r="D30" i="3"/>
  <c r="D31" i="3"/>
  <c r="D32" i="3"/>
  <c r="D23" i="3"/>
  <c r="D9" i="1" l="1"/>
  <c r="D9" i="7"/>
  <c r="E9" i="1"/>
  <c r="E9" i="7"/>
  <c r="F9" i="1"/>
  <c r="F9" i="7"/>
  <c r="G9" i="1"/>
  <c r="G9" i="7"/>
  <c r="F20" i="4"/>
  <c r="G20" i="4"/>
  <c r="F14" i="4"/>
  <c r="F18" i="4" s="1"/>
  <c r="G14" i="4"/>
  <c r="G18" i="4" s="1"/>
  <c r="D18" i="4"/>
  <c r="H13" i="4"/>
  <c r="H16" i="4" s="1"/>
  <c r="H17" i="4" s="1"/>
  <c r="F23" i="4"/>
  <c r="G23" i="4"/>
  <c r="P38" i="4"/>
  <c r="P39" i="4" s="1"/>
  <c r="O38" i="4"/>
  <c r="O39" i="4" s="1"/>
  <c r="O41" i="4" s="1"/>
  <c r="H12" i="4"/>
  <c r="R51" i="4" s="1"/>
  <c r="R52" i="4" s="1"/>
  <c r="H5" i="4"/>
  <c r="H8" i="4" s="1"/>
  <c r="E5" i="1"/>
  <c r="F5" i="1"/>
  <c r="G5" i="1"/>
  <c r="F4" i="1"/>
  <c r="D4" i="1"/>
  <c r="H7" i="4" l="1"/>
  <c r="H9" i="4" s="1"/>
  <c r="R53" i="4"/>
  <c r="H14" i="4"/>
  <c r="H18" i="4" s="1"/>
  <c r="H15" i="4"/>
  <c r="H19" i="4" s="1"/>
  <c r="H23" i="4"/>
  <c r="P41" i="4"/>
  <c r="Q39" i="4"/>
  <c r="G10" i="1" l="1"/>
  <c r="G10" i="7"/>
  <c r="G12" i="7" s="1"/>
  <c r="G3" i="7"/>
  <c r="B3" i="3" l="1"/>
  <c r="C3" i="3"/>
  <c r="D3" i="3"/>
  <c r="E3" i="3"/>
  <c r="B2" i="3"/>
  <c r="B5" i="3" s="1"/>
  <c r="C2" i="3"/>
  <c r="C5" i="3" s="1"/>
  <c r="D2" i="3"/>
  <c r="E2" i="3"/>
  <c r="E8" i="3" l="1"/>
  <c r="D5" i="3"/>
  <c r="C8" i="3"/>
  <c r="D8" i="3"/>
  <c r="B8" i="3"/>
  <c r="E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Christine Hung</author>
    <author>tc={370C8732-DD78-4A51-B3E6-1F9095CD3A3A}</author>
    <author>tc={E0AD2F64-4BA6-4F62-9D6F-E3898603BC8D}</author>
    <author>tc={50411104-D421-4864-9159-C45E7C9EB28C}</author>
    <author>tc={D370F0DA-A655-4F66-A07E-5BBDDB7AEE4B}</author>
  </authors>
  <commentList>
    <comment ref="D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Christine Hung:</t>
        </r>
        <r>
          <rPr>
            <sz val="9"/>
            <color indexed="81"/>
            <rFont val="Tahoma"/>
            <family val="2"/>
          </rPr>
          <t xml:space="preserve">
253 kg battery pack, 0.60152 kg batt cell/kg battery pack
20 kWh el/kg batt cell</t>
        </r>
      </text>
    </comment>
    <comment ref="E4" authorId="1" shapeId="0" xr:uid="{370C8732-DD78-4A51-B3E6-1F9095CD3A3A}">
      <text>
        <t>[Threaded comment]
Your version of Excel allows you to read this threaded comment; however, any edits to it will get removed if the file is opened in a newer version of Excel. Learn more: https://go.microsoft.com/fwlink/?linkid=870924
Comment:
    new: 43.2 kWh/kWh</t>
      </text>
    </comment>
    <comment ref="E5" authorId="2" shapeId="0" xr:uid="{E0AD2F64-4BA6-4F62-9D6F-E3898603BC8D}">
      <text>
        <t>[Threaded comment]
Your version of Excel allows you to read this threaded comment; however, any edits to it will get removed if the file is opened in a newer version of Excel. Learn more: https://go.microsoft.com/fwlink/?linkid=870924
Comment:
    75.1 kg CO2/kWh (assumes 1.143 kg CO2e/kWh CN electricity)</t>
      </text>
    </comment>
    <comment ref="G7" authorId="3" shapeId="0" xr:uid="{50411104-D421-4864-9159-C45E7C9EB28C}">
      <text>
        <t>[Threaded comment]
Your version of Excel allows you to read this threaded comment; however, any edits to it will get removed if the file is opened in a newer version of Excel. Learn more: https://go.microsoft.com/fwlink/?linkid=870924
Comment:
    WLTP values, average per segment, from EV database</t>
      </text>
    </comment>
    <comment ref="B10" authorId="4" shapeId="0" xr:uid="{D370F0DA-A655-4F66-A07E-5BBDDB7AEE4B}">
      <text>
        <t>[Threaded comment]
Your version of Excel allows you to read this threaded comment; however, any edits to it will get removed if the file is opened in a newer version of Excel. Learn more: https://go.microsoft.com/fwlink/?linkid=870924
Comment:
    fuel chain??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Christine Hung</author>
    <author>tc={6E570519-6742-4466-824C-04AA1849F33E}</author>
    <author>tc={170BD9F7-37B2-46D1-B374-FD9DC219E662}</author>
    <author>tc={94C86D95-1C8F-4517-8E3C-FB87EF5248B5}</author>
    <author>tc={431FC743-C593-4511-928D-47A4B9E6A5A8}</author>
  </authors>
  <commentList>
    <comment ref="D4" authorId="0" shapeId="0" xr:uid="{4BCB24EC-0E19-498D-B21F-FFCB52D08864}">
      <text>
        <r>
          <rPr>
            <b/>
            <sz val="9"/>
            <color indexed="81"/>
            <rFont val="Tahoma"/>
            <family val="2"/>
          </rPr>
          <t>Christine Hung:</t>
        </r>
        <r>
          <rPr>
            <sz val="9"/>
            <color indexed="81"/>
            <rFont val="Tahoma"/>
            <family val="2"/>
          </rPr>
          <t xml:space="preserve">
253 kg battery pack, 0.60152 kg batt cell/kg battery pack
20 kWh el/kg batt cell</t>
        </r>
      </text>
    </comment>
    <comment ref="E4" authorId="1" shapeId="0" xr:uid="{6E570519-6742-4466-824C-04AA1849F33E}">
      <text>
        <t>[Threaded comment]
Your version of Excel allows you to read this threaded comment; however, any edits to it will get removed if the file is opened in a newer version of Excel. Learn more: https://go.microsoft.com/fwlink/?linkid=870924
Comment:
    new: 43.2 kWh/kWh</t>
      </text>
    </comment>
    <comment ref="E5" authorId="2" shapeId="0" xr:uid="{170BD9F7-37B2-46D1-B374-FD9DC219E662}">
      <text>
        <t>[Threaded comment]
Your version of Excel allows you to read this threaded comment; however, any edits to it will get removed if the file is opened in a newer version of Excel. Learn more: https://go.microsoft.com/fwlink/?linkid=870924
Comment:
    75.1 kg CO2/kWh (assumes 1.143 kg CO2e/kWh CN electricity)</t>
      </text>
    </comment>
    <comment ref="G7" authorId="3" shapeId="0" xr:uid="{94C86D95-1C8F-4517-8E3C-FB87EF5248B5}">
      <text>
        <t>[Threaded comment]
Your version of Excel allows you to read this threaded comment; however, any edits to it will get removed if the file is opened in a newer version of Excel. Learn more: https://go.microsoft.com/fwlink/?linkid=870924
Comment:
    WLTP values, average per segment, from EV database</t>
      </text>
    </comment>
    <comment ref="B10" authorId="4" shapeId="0" xr:uid="{431FC743-C593-4511-928D-47A4B9E6A5A8}">
      <text>
        <t>[Threaded comment]
Your version of Excel allows you to read this threaded comment; however, any edits to it will get removed if the file is opened in a newer version of Excel. Learn more: https://go.microsoft.com/fwlink/?linkid=870924
Comment:
    fuel chain??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tc={7D31461C-9010-4911-9A56-73609FB9C97F}</author>
  </authors>
  <commentList>
    <comment ref="E2" authorId="0" shapeId="0" xr:uid="{7D31461C-9010-4911-9A56-73609FB9C97F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Corresponds to 65 kWhe/kWhc, from Tesla Gigafactory 1 (battery cell production + battery modules and assembly), as per Kurland 2019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tc={A98EC61A-5B57-40CD-905C-B51B9B3850EA}</author>
    <author>tc={C0463318-9224-4E13-9792-4366996E1820}</author>
    <author>tc={7E43DC4A-406E-4876-A394-5D10084095E0}</author>
    <author>tc={3D065991-2610-41EA-A813-B5E2A7A35021}</author>
    <author>tc={ED40FC14-F3DB-43CF-92A3-EF6B8F945822}</author>
    <author>tc={4F2364AB-41A7-4EEF-BADD-8E111A3024B3}</author>
    <author>tc={7D39DD9E-651D-4CFC-9F4D-E7164E54DB0A}</author>
    <author>tc={921150A6-AC1A-46F1-A0CE-7CD27C6353D5}</author>
    <author>tc={AD9F71F3-376D-49EA-BF84-3D45F895698F}</author>
    <author>tc={4482EE0F-1FDB-4DFE-9558-D9103293A569}</author>
    <author>tc={A1B7A311-FF18-4063-886F-CABAB052E0F5}</author>
    <author>tc={EF4ECE9C-F96D-4E0D-887D-48F26005519C}</author>
    <author>tc={1EC22A7B-4CB4-49CB-922E-C597AD5C5975}</author>
    <author>tc={B68079B6-4BB5-4C00-B692-85ECCF6CBA55}</author>
    <author>tc={21550BF1-63B8-4FE1-AE0E-EE8F6D470D35}</author>
    <author>tc={7404251B-0062-4FB6-B569-B0A52215FCBC}</author>
    <author>tc={7BE05329-FFC3-4639-8046-7499D83DF06F}</author>
  </authors>
  <commentList>
    <comment ref="I4" authorId="0" shapeId="0" xr:uid="{A98EC61A-5B57-40CD-905C-B51B9B3850EA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75 kg driver</t>
      </text>
    </comment>
    <comment ref="G10" authorId="1" shapeId="0" xr:uid="{C0463318-9224-4E13-9792-4366996E182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https://www.volkswagen.fr/idhub/content/dam/onehub_pkw/importers/fr/pdf/tarifs/passat.pdf</t>
      </text>
    </comment>
    <comment ref="I10" authorId="2" shapeId="0" xr:uid="{7E43DC4A-406E-4876-A394-5D10084095E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https://www.skoda-auto.no/_doc/e47148c2-45a4-426a-8d8b-7ed6b5d440aa</t>
      </text>
    </comment>
    <comment ref="J10" authorId="3" shapeId="0" xr:uid="{3D065991-2610-41EA-A813-B5E2A7A3502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https://www.porsche.com/international/models/cayenne/cayenne-models/cayenne/</t>
      </text>
    </comment>
    <comment ref="D11" authorId="4" shapeId="0" xr:uid="{ED40FC14-F3DB-43CF-92A3-EF6B8F94582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https://motoreu.com/smart-fortwo-coupe-1.0-mpg-fuel-consumption-technical-specifications-10677</t>
      </text>
    </comment>
    <comment ref="E11" authorId="5" shapeId="0" xr:uid="{4F2364AB-41A7-4EEF-BADD-8E111A3024B3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driver</t>
      </text>
    </comment>
    <comment ref="F11" authorId="6" shapeId="0" xr:uid="{7D39DD9E-651D-4CFC-9F4D-E7164E54DB0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https://www.volkswagen.fr/idhub/content/dam/onehub_pkw/importers/fr/pdf/tarifs/golf_8.pdf</t>
      </text>
    </comment>
    <comment ref="G11" authorId="7" shapeId="0" xr:uid="{921150A6-AC1A-46F1-A0CE-7CD27C6353D5}">
      <text>
        <t>[Threaded comment]
Your version of Excel allows you to read this threaded comment; however, any edits to it will get removed if the file is opened in a newer version of Excel. Learn more: https://go.microsoft.com/fwlink/?linkid=870924
Comment:
    Volkswagen Passat B8 2.0 TSI BMT 220HP DSG6 Sport
Reply:
    https://www.ultimatespecs.com/car-specs/Volkswagen/72020/Volkswagen-Passat-B8-20-TSI-BMT-220HP-DSG6-Sport.html</t>
      </text>
    </comment>
    <comment ref="H11" authorId="8" shapeId="0" xr:uid="{AD9F71F3-376D-49EA-BF84-3D45F895698F}">
      <text>
        <t>[Threaded comment]
Your version of Excel allows you to read this threaded comment; however, any edits to it will get removed if the file is opened in a newer version of Excel. Learn more: https://go.microsoft.com/fwlink/?linkid=870924
Comment:
    Mercedes E200 saloon</t>
      </text>
    </comment>
    <comment ref="E25" authorId="9" shapeId="0" xr:uid="{4482EE0F-1FDB-4DFE-9558-D9103293A56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https://www.volkswagen.fr/idhub/content/dam/onehub_pkw/importers/fr/pdf/tarifs/up.pdf</t>
      </text>
    </comment>
    <comment ref="F26" authorId="10" shapeId="0" xr:uid="{A1B7A311-FF18-4063-886F-CABAB052E0F5}">
      <text>
        <t>[Threaded comment]
Your version of Excel allows you to read this threaded comment; however, any edits to it will get removed if the file is opened in a newer version of Excel. Learn more: https://go.microsoft.com/fwlink/?linkid=870924
Comment:
    VW Golf 2,0 245 hp TSI, DSG
Reply:
    file:///C:/Users/chrishun/Box%20Sync/000%20Projects%20IndEcol/90088200%20EVD4EUR/X00%20EurEVFootprints/Data/Tekniske_data_Golf.pdf</t>
      </text>
    </comment>
    <comment ref="G26" authorId="11" shapeId="0" xr:uid="{EF4ECE9C-F96D-4E0D-887D-48F26005519C}">
      <text>
        <t>[Threaded comment]
Your version of Excel allows you to read this threaded comment; however, any edits to it will get removed if the file is opened in a newer version of Excel. Learn more: https://go.microsoft.com/fwlink/?linkid=870924
Comment:
    Volkswagen Passat B8 2.0 TSI BMT 220HP DSG6 Sport
Reply:
    https://www.ultimatespecs.com/car-specs/Volkswagen/72020/Volkswagen-Passat-B8-20-TSI-BMT-220HP-DSG6-Sport.html</t>
      </text>
    </comment>
    <comment ref="I26" authorId="12" shapeId="0" xr:uid="{1EC22A7B-4CB4-49CB-922E-C597AD5C5975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driver</t>
      </text>
    </comment>
    <comment ref="E30" authorId="13" shapeId="0" xr:uid="{B68079B6-4BB5-4C00-B692-85ECCF6CBA5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https://www.volkswagen.fr/idhub/content/dam/onehub_pkw/importers/fr/pdf/tarifs/up.pdf</t>
      </text>
    </comment>
    <comment ref="I30" authorId="14" shapeId="0" xr:uid="{21550BF1-63B8-4FE1-AE0E-EE8F6D470D35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 driver + fuel</t>
      </text>
    </comment>
    <comment ref="E31" authorId="15" shapeId="0" xr:uid="{7404251B-0062-4FB6-B569-B0A52215FCBC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driver</t>
      </text>
    </comment>
    <comment ref="I37" authorId="16" shapeId="0" xr:uid="{7BE05329-FFC3-4639-8046-7499D83DF06F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 driver + fuel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tc={AB74101D-B363-46B9-8858-A72F2339873E}</author>
    <author>tc={6E46CDAF-6EAD-4572-86A0-96873FD381DC}</author>
    <author>tc={72C656EC-BA09-44B2-AC34-F7F0A6A1AB08}</author>
    <author>tc={3833910D-3CCA-4741-9F18-725F290A95A3}</author>
    <author>tc={B670FABB-6D2F-445B-9645-07028535F654}</author>
    <author>tc={E52585BD-A3CA-4A62-B871-3C473B36ECAB}</author>
    <author>tc={9C2490B2-8A83-4E08-B135-A7E20BB7B2A4}</author>
    <author>tc={BC5508AF-5159-4913-9193-3CDE4A8107F7}</author>
    <author>tc={FD6D3322-78D7-41A7-A449-791D10C5FD88}</author>
    <author>tc={56777946-8B40-4A71-ACEF-6797D88CD835}</author>
  </authors>
  <commentList>
    <comment ref="A6" authorId="0" shapeId="0" xr:uid="{AB74101D-B363-46B9-8858-A72F2339873E}">
      <text>
        <t>[Threaded comment]
Your version of Excel allows you to read this threaded comment; however, any edits to it will get removed if the file is opened in a newer version of Excel. Learn more: https://go.microsoft.com/fwlink/?linkid=870924
Comment:
    Volkswagen Golf 
kerb weight 1,255–1,465 kg</t>
      </text>
    </comment>
    <comment ref="B6" authorId="1" shapeId="0" xr:uid="{6E46CDAF-6EAD-4572-86A0-96873FD381DC}">
      <text>
        <t>[Threaded comment]
Your version of Excel allows you to read this threaded comment; however, any edits to it will get removed if the file is opened in a newer version of Excel. Learn more: https://go.microsoft.com/fwlink/?linkid=870924
Comment:
    39.5</t>
      </text>
    </comment>
    <comment ref="C6" authorId="2" shapeId="0" xr:uid="{72C656EC-BA09-44B2-AC34-F7F0A6A1AB0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Nissan's website; https://www.nissan.no/biler/nye-biler/leaf/priser-spesifikasjoner.html#grade-LEAFZE1A-0|specs
EV database: 206</t>
      </text>
    </comment>
    <comment ref="E7" authorId="3" shapeId="0" xr:uid="{3833910D-3CCA-4741-9F18-725F290A95A3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driver</t>
      </text>
    </comment>
    <comment ref="A10" authorId="4" shapeId="0" xr:uid="{B670FABB-6D2F-445B-9645-07028535F654}">
      <text>
        <t>[Threaded comment]
Your version of Excel allows you to read this threaded comment; however, any edits to it will get removed if the file is opened in a newer version of Excel. Learn more: https://go.microsoft.com/fwlink/?linkid=870924
Comment:
    VW Passat?
1,367–1,721 kg (3,014–3,794 lb) (saloon)
1,394–1,735 kg (3,073–3,825 lb) (estate)
Reply:
    Passat B6 2.0 TDI  kerb weight 
1454 kg OR 3206 lbs
Reply:
    2019 Passat 1.5 TSI 1425 kg kerb weight</t>
      </text>
    </comment>
    <comment ref="A18" authorId="5" shapeId="0" xr:uid="{E52585BD-A3CA-4A62-B871-3C473B36ECAB}">
      <text>
        <t>[Threaded comment]
Your version of Excel allows you to read this threaded comment; however, any edits to it will get removed if the file is opened in a newer version of Excel. Learn more: https://go.microsoft.com/fwlink/?linkid=870924
Comment:
    Mercedes E-class 1,605–2,048 kg (3,538–4,515 lb) (2017: Sedan SWB)
1,770–1,800 kg (3,900–3,970 lb)
Reply:
    Audi A6 Avant 1685 kg</t>
      </text>
    </comment>
    <comment ref="E26" authorId="6" shapeId="0" xr:uid="{9C2490B2-8A83-4E08-B135-A7E20BB7B2A4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driver</t>
      </text>
    </comment>
    <comment ref="E35" authorId="7" shapeId="0" xr:uid="{BC5508AF-5159-4913-9193-3CDE4A8107F7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driver</t>
      </text>
    </comment>
    <comment ref="E46" authorId="8" shapeId="0" xr:uid="{FD6D3322-78D7-41A7-A449-791D10C5FD88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driver</t>
      </text>
    </comment>
    <comment ref="F46" authorId="9" shapeId="0" xr:uid="{56777946-8B40-4A71-ACEF-6797D88CD83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https://www.evspecifications.com/en/model/2b8eff
Reply:
    NB: NCM 712
Reply:
    https://www.volkswagen.fr/idhub/content/dam/onehub_pkw/importers/fr/pdf/tarifs/id_4.pdf</t>
      </text>
    </comment>
  </commentList>
</comments>
</file>

<file path=xl/sharedStrings.xml><?xml version="1.0" encoding="utf-8"?>
<sst xmlns="http://schemas.openxmlformats.org/spreadsheetml/2006/main" count="373" uniqueCount="230">
  <si>
    <t>A</t>
  </si>
  <si>
    <t>C</t>
  </si>
  <si>
    <t>D</t>
  </si>
  <si>
    <t>F</t>
  </si>
  <si>
    <t>BEV</t>
  </si>
  <si>
    <t>Batt size</t>
  </si>
  <si>
    <t>Use phase</t>
  </si>
  <si>
    <t>EOL</t>
  </si>
  <si>
    <t>ICEV</t>
  </si>
  <si>
    <t>t CO2</t>
  </si>
  <si>
    <t>kWh</t>
  </si>
  <si>
    <t>Wh/km</t>
  </si>
  <si>
    <t>Production, ROV</t>
  </si>
  <si>
    <t>Production el, battery</t>
  </si>
  <si>
    <t>Production, RObattery</t>
  </si>
  <si>
    <t>Production</t>
  </si>
  <si>
    <t>g CO2/km</t>
  </si>
  <si>
    <t>cycles</t>
  </si>
  <si>
    <t>km/battery lifetime</t>
  </si>
  <si>
    <t>Max EFC</t>
  </si>
  <si>
    <t>Curb weight</t>
  </si>
  <si>
    <t>Curb weight, without battery</t>
  </si>
  <si>
    <t>Battery capacity</t>
  </si>
  <si>
    <t>Skoda Octavia 2.0 TSI/240 hp</t>
  </si>
  <si>
    <t>Skoda Octavio 1.5 TSI mHEV, 150 hp</t>
  </si>
  <si>
    <t>https://www.skoda-auto.no/_doc/927c5e58-744a-4290-bfa3-7efbb0d70717</t>
  </si>
  <si>
    <t>https://www.volkswagen.co.uk/assets/common/pdf/brochures/golf-gti-vii-brochure.pdf</t>
  </si>
  <si>
    <t>VW Golf GTI 2.0 L TSI 220 PS</t>
  </si>
  <si>
    <t>148/145</t>
  </si>
  <si>
    <t>Diesel</t>
  </si>
  <si>
    <t>Petrol</t>
  </si>
  <si>
    <t>Source</t>
  </si>
  <si>
    <t>corresponding fuel eff</t>
  </si>
  <si>
    <t>l/100 km</t>
  </si>
  <si>
    <t>https://www.wltpfacts.eu/link-between-co2-emissions-fuel-consumption/</t>
  </si>
  <si>
    <t>energy content</t>
  </si>
  <si>
    <t>MJ/l</t>
  </si>
  <si>
    <t>JRC: 35.9/32.2</t>
  </si>
  <si>
    <t>MJ/100 km</t>
  </si>
  <si>
    <t>Tailpipe emissions</t>
  </si>
  <si>
    <t>g CO2/MJ</t>
  </si>
  <si>
    <t>Upstream</t>
  </si>
  <si>
    <t>JRC, WTT Appendix 2</t>
  </si>
  <si>
    <t>Total fuel cycle emissions</t>
  </si>
  <si>
    <t>Emissions (WLTP)</t>
  </si>
  <si>
    <t>Fuel efficiency</t>
  </si>
  <si>
    <t>L/100 km</t>
  </si>
  <si>
    <t>g/km</t>
  </si>
  <si>
    <t>Lifecycle use phase intensity</t>
  </si>
  <si>
    <t>Production emissions (S&amp;R)</t>
  </si>
  <si>
    <t>EU petrol</t>
  </si>
  <si>
    <t>WTW v5</t>
  </si>
  <si>
    <t>WTW v4</t>
  </si>
  <si>
    <t>Use phase intensity</t>
  </si>
  <si>
    <t>MJ/km</t>
  </si>
  <si>
    <t>From EAFO</t>
  </si>
  <si>
    <t xml:space="preserve">car </t>
  </si>
  <si>
    <t>Total number of AF cars</t>
  </si>
  <si>
    <t>Segment</t>
  </si>
  <si>
    <t>Capacity (kWh)</t>
  </si>
  <si>
    <t>WLTP rated consumption, including charging losses (Wh/km)</t>
  </si>
  <si>
    <t>Efficiency (Wh/km)</t>
  </si>
  <si>
    <t>Renault Zoe</t>
  </si>
  <si>
    <t>B</t>
  </si>
  <si>
    <t>52/52/41</t>
  </si>
  <si>
    <t>165/168/161</t>
  </si>
  <si>
    <t>Nissan Leaf</t>
  </si>
  <si>
    <t>40/62</t>
  </si>
  <si>
    <t>206/180</t>
  </si>
  <si>
    <t>164/172</t>
  </si>
  <si>
    <t>180-206</t>
  </si>
  <si>
    <t xml:space="preserve">Tesla Model 3  </t>
  </si>
  <si>
    <t>82/53/82/75/55</t>
  </si>
  <si>
    <t>147/140/165/148/142</t>
  </si>
  <si>
    <t>154/150/147/162/155</t>
  </si>
  <si>
    <t xml:space="preserve">Volkswagen e-Golf  </t>
  </si>
  <si>
    <t xml:space="preserve">BMW i3  </t>
  </si>
  <si>
    <t>37.9/37.9</t>
  </si>
  <si>
    <t>161/165</t>
  </si>
  <si>
    <t xml:space="preserve">Tesla Model S </t>
  </si>
  <si>
    <t>190/193</t>
  </si>
  <si>
    <t>168/162</t>
  </si>
  <si>
    <t xml:space="preserve">Hyundai Kona BEV  </t>
  </si>
  <si>
    <t>64/39.2/64/39.2</t>
  </si>
  <si>
    <t>162/157/162/157</t>
  </si>
  <si>
    <t xml:space="preserve">Volkswagen ID.3 EV  </t>
  </si>
  <si>
    <t>58/77/58</t>
  </si>
  <si>
    <t>166/171/166</t>
  </si>
  <si>
    <t xml:space="preserve">Smart Fortwo EV  </t>
  </si>
  <si>
    <t>167/176</t>
  </si>
  <si>
    <t xml:space="preserve">Audi e-Tron </t>
  </si>
  <si>
    <t>E</t>
  </si>
  <si>
    <t>86.5/86.5/86.5/86.5/86.5/64.7/64.7/86.5</t>
  </si>
  <si>
    <t>231/237/258/270/237/219/231/231</t>
  </si>
  <si>
    <t xml:space="preserve">Other </t>
  </si>
  <si>
    <t>Battery size</t>
  </si>
  <si>
    <t>WLTP rated consumption</t>
  </si>
  <si>
    <t>Battery weight</t>
  </si>
  <si>
    <t>Curb weight - battery</t>
  </si>
  <si>
    <t>GVWR</t>
  </si>
  <si>
    <t>Smart fortwo coupe</t>
  </si>
  <si>
    <t>Smart fortwo cabrio</t>
  </si>
  <si>
    <t>Nissan Leaf e+</t>
  </si>
  <si>
    <t>2021 models</t>
  </si>
  <si>
    <t>Long range performance (Feb 2019 - Oct 2020)</t>
  </si>
  <si>
    <t>Long range dual motor</t>
  </si>
  <si>
    <t>Long range dual motor (Feb 2019 - Oct 2020)</t>
  </si>
  <si>
    <t>standard range plus</t>
  </si>
  <si>
    <t>Standard range plus (Feb 2019 - Oct 2020)</t>
  </si>
  <si>
    <t>performance</t>
  </si>
  <si>
    <t>long range dual motor</t>
  </si>
  <si>
    <t>Standard range plus LFP</t>
  </si>
  <si>
    <t>Tesla model S</t>
  </si>
  <si>
    <t>Vehicle consumption rating</t>
  </si>
  <si>
    <t>Performance  (Nov 2020 - Mar 2021)</t>
  </si>
  <si>
    <t>Performance</t>
  </si>
  <si>
    <t>Long range Plus (Nov 2020 - Mar 2021)</t>
  </si>
  <si>
    <t>Long range</t>
  </si>
  <si>
    <t>Alternative A:</t>
  </si>
  <si>
    <t>up</t>
  </si>
  <si>
    <t>e-up</t>
  </si>
  <si>
    <t>Gigafactory</t>
  </si>
  <si>
    <t>Ellingsen 2016</t>
  </si>
  <si>
    <t>Energy use, use phase</t>
  </si>
  <si>
    <t>From size and range</t>
  </si>
  <si>
    <t>weight</t>
  </si>
  <si>
    <t>production intensity</t>
  </si>
  <si>
    <t>Total production emissions</t>
  </si>
  <si>
    <t>Total EOL emissions</t>
  </si>
  <si>
    <t>Check</t>
  </si>
  <si>
    <t>EOL, RoV</t>
  </si>
  <si>
    <t>EOL, batt</t>
  </si>
  <si>
    <t>EOL, total</t>
  </si>
  <si>
    <t>Audi e-tron S 55 sportback quattro</t>
  </si>
  <si>
    <t>Audi e-tron 55 quattro</t>
  </si>
  <si>
    <t>Audi e-tron 50 quattro</t>
  </si>
  <si>
    <t>Audi e-tron Sportback 50 quattro</t>
  </si>
  <si>
    <t>Audi Q4 e-tron 50 quattro</t>
  </si>
  <si>
    <t>Audi Q4 e-tron 45 quattro</t>
  </si>
  <si>
    <t>Audi Q4 e-tron 35 quattro</t>
  </si>
  <si>
    <t>Audi e-tron Sportback 40 quattro</t>
  </si>
  <si>
    <t>VW ID.4 GTX</t>
  </si>
  <si>
    <t>VW ID.4 1st</t>
  </si>
  <si>
    <t>VW 1D.4 Pro Performance</t>
  </si>
  <si>
    <t>VW 1D.4 Pure Performance</t>
  </si>
  <si>
    <t xml:space="preserve">VW 1D.4 Pure </t>
  </si>
  <si>
    <t>SUVs</t>
  </si>
  <si>
    <t>Tesla Model X Long Range (2019)</t>
  </si>
  <si>
    <t>Tesla Model X Performance (2020)</t>
  </si>
  <si>
    <t>Tesla Model X Long Range (2020)</t>
  </si>
  <si>
    <t>Mercedes EQC 400 4MATIC</t>
  </si>
  <si>
    <t>Polestar 2</t>
  </si>
  <si>
    <t>Audi e-tron GT RS</t>
  </si>
  <si>
    <t>F segment</t>
  </si>
  <si>
    <t>Porsche Taycan</t>
  </si>
  <si>
    <t>Audi e-tron GT</t>
  </si>
  <si>
    <t>Tesla model 3 (NB: NCA)</t>
  </si>
  <si>
    <t>Jaguar I-PACE</t>
  </si>
  <si>
    <t>Kia e-Niro</t>
  </si>
  <si>
    <t>Kia e-Soul</t>
  </si>
  <si>
    <t>Hyundai IONIQ</t>
  </si>
  <si>
    <t>Hyundai Kona Electric</t>
  </si>
  <si>
    <t>Opel Ampera-e</t>
  </si>
  <si>
    <t>Peugeot e-208</t>
  </si>
  <si>
    <t>BMW i3</t>
  </si>
  <si>
    <t>Renault Twingo ZE</t>
  </si>
  <si>
    <t>Renault ZOE ZE 40</t>
  </si>
  <si>
    <t>Renault ZOE ZE 50</t>
  </si>
  <si>
    <t>VW e-Golf</t>
  </si>
  <si>
    <t>Smart Fortwo</t>
  </si>
  <si>
    <t>VW e-up!</t>
  </si>
  <si>
    <t>Tesla Model 3</t>
  </si>
  <si>
    <t>Tesla Model S</t>
  </si>
  <si>
    <t>Other segments</t>
  </si>
  <si>
    <t>SUV</t>
  </si>
  <si>
    <t>VW ID.3 Pro S</t>
  </si>
  <si>
    <t>leaf</t>
  </si>
  <si>
    <t>?</t>
  </si>
  <si>
    <t>audi e-tron</t>
  </si>
  <si>
    <t>Zoe</t>
  </si>
  <si>
    <t>VW ID.4</t>
  </si>
  <si>
    <t>Audi e-tron S 55 quattro</t>
  </si>
  <si>
    <t>VW Golf</t>
  </si>
  <si>
    <t>Volkswagen Passat</t>
  </si>
  <si>
    <t>Mercedes E200 saloon</t>
  </si>
  <si>
    <t>JC</t>
  </si>
  <si>
    <t>JE</t>
  </si>
  <si>
    <t>Skoda Kodiaq 2.0 TSI/190 hp</t>
  </si>
  <si>
    <t>Audi Q3</t>
  </si>
  <si>
    <t>Audi Q3 sportback RS</t>
  </si>
  <si>
    <t>BMW X2 M35i</t>
  </si>
  <si>
    <t>BMW X1 (diesel)</t>
  </si>
  <si>
    <t>VW Tiguan 2.0 320 hp TSI DSG 4MOTION</t>
  </si>
  <si>
    <t>BMW X4 M40i</t>
  </si>
  <si>
    <t>VW up! GTI 1.o TSI 115 hp</t>
  </si>
  <si>
    <t>up!  1.0 L S/S</t>
  </si>
  <si>
    <t>Production emissions, ROV</t>
  </si>
  <si>
    <t>Alternative models</t>
  </si>
  <si>
    <t>Combustion emissions intensity</t>
  </si>
  <si>
    <t>Upstream emissions, use phase (WTW v4)</t>
  </si>
  <si>
    <t>https://www.nissan.fr/content/dam/Nissan/fr/brochures/Brochures-vehicules/eBrochure-LEAF2019.pdf</t>
  </si>
  <si>
    <t>https://www.volkswagen.fr/idhub/content/dam/onehub_pkw/importers/fr/pdf/tarifs/id_4.pdf</t>
  </si>
  <si>
    <t>https://www.volkswagen.fr/idhub/content/dam/onehub_pkw/importers/fr/pdf/tarifs/e_up.pdf</t>
  </si>
  <si>
    <t>Curb weight (without driver)</t>
  </si>
  <si>
    <t>average(126,130.4)</t>
  </si>
  <si>
    <t>VW up! 1.0 65 hp</t>
  </si>
  <si>
    <t>VW Golf 1.5 TSI OPF 130 hp</t>
  </si>
  <si>
    <t>Volkswagen Passat 2.0 TSI OPF 190 hp</t>
  </si>
  <si>
    <t>Porsche Cayenne 250 kW/340 hp</t>
  </si>
  <si>
    <t>Audi Q4 e-tron 35</t>
  </si>
  <si>
    <t>https://www.audi.no/dam/nemo/no/pricelists/Prisliste-Audi-Q4-e-tron.pdf</t>
  </si>
  <si>
    <t>https://www.audi-mediacenter.com/en/audi-e-tron-75</t>
  </si>
  <si>
    <t>https://www.audi-mediacenter.com/en/audi-q4-e-tron-13911</t>
  </si>
  <si>
    <t>https://www.audi-mediacenter.com/en/audi-e-tron-sportback-12270</t>
  </si>
  <si>
    <t>Audi e-tron 55 sportback quattro</t>
  </si>
  <si>
    <t>Audi Q4 e-tron 40</t>
  </si>
  <si>
    <t>Audi e-tron S line 55 quattro</t>
  </si>
  <si>
    <t>EOL intensity (t CO2e/t car)</t>
  </si>
  <si>
    <t>Vehicle</t>
  </si>
  <si>
    <t>Battery</t>
  </si>
  <si>
    <t>From Ricardo</t>
  </si>
  <si>
    <t>BEV production</t>
  </si>
  <si>
    <t>Total producticon emissions</t>
  </si>
  <si>
    <t>ROV</t>
  </si>
  <si>
    <t>EFC</t>
  </si>
  <si>
    <t>avg lifetime</t>
  </si>
  <si>
    <t>Lifetime energy use (kWh)</t>
  </si>
  <si>
    <t>Energy use (Wh/km)</t>
  </si>
  <si>
    <t>Lifetime, km</t>
  </si>
  <si>
    <t>Vehicle 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</si>
</sst>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76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7" fillId="5" borderId="1" applyNumberFormat="0" applyAlignment="0" applyProtection="0"/>
    <xf numFmtId="0" fontId="9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164" fontId="0" fillId="0" borderId="0" xfId="0" applyNumberFormat="1"/>
    <xf numFmtId="1" fontId="0" fillId="0" borderId="0" xfId="0" applyNumberFormat="1"/>
    <xf numFmtId="0" fontId="9" fillId="0" borderId="0" xfId="7"/>
    <xf numFmtId="0" fontId="0" fillId="6" borderId="0" xfId="0" applyFill="1"/>
    <xf numFmtId="0" fontId="10" fillId="6" borderId="0" xfId="0" applyFont="1" applyFill="1"/>
    <xf numFmtId="1" fontId="0" fillId="0" borderId="0" xfId="0" applyNumberFormat="1" applyAlignment="1">
      <alignment horizontal="right"/>
    </xf>
    <xf numFmtId="2" fontId="0" fillId="0" borderId="0" xfId="0" applyNumberFormat="1"/>
    <xf numFmtId="0" fontId="11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0" fillId="7" borderId="0" xfId="0" applyFill="1"/>
    <xf numFmtId="0" fontId="7" fillId="5" borderId="1" xfId="6"/>
    <xf numFmtId="0" fontId="4" fillId="2" borderId="0" xfId="3"/>
    <xf numFmtId="0" fontId="0" fillId="8" borderId="0" xfId="0" applyFill="1"/>
    <xf numFmtId="0" fontId="12" fillId="0" borderId="0" xfId="0" applyFont="1"/>
    <xf numFmtId="0" fontId="11" fillId="6" borderId="0" xfId="0" applyFont="1" applyFill="1"/>
    <xf numFmtId="2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164" fontId="11" fillId="0" borderId="0" xfId="0" applyNumberFormat="1" applyFont="1"/>
    <xf numFmtId="164" fontId="11" fillId="6" borderId="0" xfId="0" applyNumberFormat="1" applyFont="1" applyFill="1"/>
    <xf numFmtId="0" fontId="12" fillId="2" borderId="0" xfId="3" applyFont="1"/>
    <xf numFmtId="0" fontId="0" fillId="0" borderId="0" xfId="0" applyFill="1" applyAlignment="1">
      <alignment wrapText="1"/>
    </xf>
    <xf numFmtId="2" fontId="0" fillId="0" borderId="0" xfId="0" applyNumberFormat="1" applyFill="1"/>
    <xf numFmtId="164" fontId="11" fillId="0" borderId="0" xfId="0" applyNumberFormat="1" applyFont="1" applyFill="1"/>
    <xf numFmtId="164" fontId="0" fillId="0" borderId="0" xfId="0" applyNumberFormat="1" applyFill="1"/>
    <xf numFmtId="0" fontId="11" fillId="0" borderId="0" xfId="0" applyFont="1" applyFill="1"/>
    <xf numFmtId="0" fontId="5" fillId="3" borderId="0" xfId="4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6" fillId="4" borderId="1" xfId="5" applyBorder="1"/>
    <xf numFmtId="0" fontId="0" fillId="0" borderId="0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1" applyNumberFormat="1" applyFont="1"/>
    <xf numFmtId="9" fontId="0" fillId="0" borderId="0" xfId="2" applyFont="1"/>
  </cellXfs>
  <cellStyles count="8">
    <cellStyle name="Bad" xfId="3" builtinId="27"/>
    <cellStyle name="Calculation" xfId="6" builtinId="22"/>
    <cellStyle name="Comma" xfId="1" builtinId="3"/>
    <cellStyle name="Hyperlink" xfId="7" builtinId="8"/>
    <cellStyle name="Input" xfId="5" builtinId="20"/>
    <cellStyle name="Neutral" xfId="4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716972878390201"/>
                  <c:y val="2.89574219889180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'car specs'!$N$12:$N$15</c:f>
              <c:numCache>
                <c:formatCode>General</c:formatCode>
                <c:ptCount val="4"/>
                <c:pt idx="0">
                  <c:v>923</c:v>
                </c:pt>
                <c:pt idx="1">
                  <c:v>1247</c:v>
                </c:pt>
                <c:pt idx="2">
                  <c:v>1407</c:v>
                </c:pt>
                <c:pt idx="3">
                  <c:v>1547</c:v>
                </c:pt>
              </c:numCache>
            </c:numRef>
          </c:xVal>
          <c:yVal>
            <c:numRef>
              <c:f>'car specs'!$P$12:$P$15</c:f>
              <c:numCache>
                <c:formatCode>General</c:formatCode>
                <c:ptCount val="4"/>
                <c:pt idx="0">
                  <c:v>4.8</c:v>
                </c:pt>
                <c:pt idx="1">
                  <c:v>6.5</c:v>
                </c:pt>
                <c:pt idx="2">
                  <c:v>7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A-4591-A9D2-41AEA8C87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719904"/>
        <c:axId val="1758729888"/>
      </c:scatterChart>
      <c:valAx>
        <c:axId val="17587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29888"/>
        <c:crosses val="autoZero"/>
        <c:crossBetween val="midCat"/>
      </c:valAx>
      <c:valAx>
        <c:axId val="17587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1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27405949256343E-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Sheet3!$B$23:$B$35</c:f>
              <c:numCache>
                <c:formatCode>General</c:formatCode>
                <c:ptCount val="13"/>
                <c:pt idx="0">
                  <c:v>929</c:v>
                </c:pt>
                <c:pt idx="1">
                  <c:v>940</c:v>
                </c:pt>
                <c:pt idx="2">
                  <c:v>1205</c:v>
                </c:pt>
                <c:pt idx="3">
                  <c:v>1240</c:v>
                </c:pt>
                <c:pt idx="4">
                  <c:v>1295</c:v>
                </c:pt>
                <c:pt idx="5">
                  <c:v>1295</c:v>
                </c:pt>
                <c:pt idx="6">
                  <c:v>1405</c:v>
                </c:pt>
                <c:pt idx="7">
                  <c:v>1473</c:v>
                </c:pt>
                <c:pt idx="8">
                  <c:v>1572</c:v>
                </c:pt>
                <c:pt idx="9">
                  <c:v>1660</c:v>
                </c:pt>
                <c:pt idx="10">
                  <c:v>1920</c:v>
                </c:pt>
                <c:pt idx="11">
                  <c:v>1880</c:v>
                </c:pt>
                <c:pt idx="12">
                  <c:v>1755</c:v>
                </c:pt>
              </c:numCache>
            </c:numRef>
          </c:xVal>
          <c:yVal>
            <c:numRef>
              <c:f>Sheet3!$C$23:$C$35</c:f>
              <c:numCache>
                <c:formatCode>General</c:formatCode>
                <c:ptCount val="13"/>
                <c:pt idx="0">
                  <c:v>3.5</c:v>
                </c:pt>
                <c:pt idx="1">
                  <c:v>3.8</c:v>
                </c:pt>
                <c:pt idx="2">
                  <c:v>5.0999999999999996</c:v>
                </c:pt>
                <c:pt idx="3">
                  <c:v>5.4</c:v>
                </c:pt>
                <c:pt idx="4">
                  <c:v>6.1</c:v>
                </c:pt>
                <c:pt idx="5">
                  <c:v>5</c:v>
                </c:pt>
                <c:pt idx="6">
                  <c:v>8.6999999999999993</c:v>
                </c:pt>
                <c:pt idx="7">
                  <c:v>7</c:v>
                </c:pt>
                <c:pt idx="8">
                  <c:v>7.4</c:v>
                </c:pt>
                <c:pt idx="9">
                  <c:v>10.8</c:v>
                </c:pt>
                <c:pt idx="1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2-47FC-A5DB-3348FFB967A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29527559055118"/>
                  <c:y val="-7.72386264216972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Sheet3!$B$23:$B$35</c:f>
              <c:numCache>
                <c:formatCode>General</c:formatCode>
                <c:ptCount val="13"/>
                <c:pt idx="0">
                  <c:v>929</c:v>
                </c:pt>
                <c:pt idx="1">
                  <c:v>940</c:v>
                </c:pt>
                <c:pt idx="2">
                  <c:v>1205</c:v>
                </c:pt>
                <c:pt idx="3">
                  <c:v>1240</c:v>
                </c:pt>
                <c:pt idx="4">
                  <c:v>1295</c:v>
                </c:pt>
                <c:pt idx="5">
                  <c:v>1295</c:v>
                </c:pt>
                <c:pt idx="6">
                  <c:v>1405</c:v>
                </c:pt>
                <c:pt idx="7">
                  <c:v>1473</c:v>
                </c:pt>
                <c:pt idx="8">
                  <c:v>1572</c:v>
                </c:pt>
                <c:pt idx="9">
                  <c:v>1660</c:v>
                </c:pt>
                <c:pt idx="10">
                  <c:v>1920</c:v>
                </c:pt>
                <c:pt idx="11">
                  <c:v>1880</c:v>
                </c:pt>
                <c:pt idx="12">
                  <c:v>1755</c:v>
                </c:pt>
              </c:numCache>
            </c:numRef>
          </c:xVal>
          <c:yVal>
            <c:numRef>
              <c:f>Sheet3!$D$23:$D$35</c:f>
              <c:numCache>
                <c:formatCode>0.0</c:formatCode>
                <c:ptCount val="13"/>
                <c:pt idx="0">
                  <c:v>3.7674919268030136</c:v>
                </c:pt>
                <c:pt idx="1">
                  <c:v>4.042553191489362</c:v>
                </c:pt>
                <c:pt idx="2">
                  <c:v>4.2323651452282149</c:v>
                </c:pt>
                <c:pt idx="3">
                  <c:v>4.3548387096774199</c:v>
                </c:pt>
                <c:pt idx="4">
                  <c:v>4.7104247104247108</c:v>
                </c:pt>
                <c:pt idx="5">
                  <c:v>3.8610038610038613</c:v>
                </c:pt>
                <c:pt idx="6">
                  <c:v>6.1921708185053372</c:v>
                </c:pt>
                <c:pt idx="7">
                  <c:v>4.7522063815342834</c:v>
                </c:pt>
                <c:pt idx="8">
                  <c:v>4.7073791348600507</c:v>
                </c:pt>
                <c:pt idx="9">
                  <c:v>6.5060240963855431</c:v>
                </c:pt>
                <c:pt idx="10">
                  <c:v>5.729166666666667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2-47FC-A5DB-3348FFB96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88576"/>
        <c:axId val="1695786496"/>
      </c:scatterChart>
      <c:valAx>
        <c:axId val="16957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86496"/>
        <c:crosses val="autoZero"/>
        <c:crossBetween val="midCat"/>
      </c:valAx>
      <c:valAx>
        <c:axId val="16957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8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WLTP rated consumption vs batt cap</a:t>
            </a:r>
          </a:p>
        </c:rich>
      </c:tx>
      <c:layout>
        <c:manualLayout>
          <c:xMode val="edge"/>
          <c:yMode val="edge"/>
          <c:x val="0.2992370020049358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2579830249058E-2"/>
          <c:y val="0.16708333333333336"/>
          <c:w val="0.8709072104472370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 models'!$C$1</c:f>
              <c:strCache>
                <c:ptCount val="1"/>
                <c:pt idx="0">
                  <c:v>WLTP rated 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4D0-4236-B7BB-CDE77A1C431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4D0-4236-B7BB-CDE77A1C4310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4">
                    <a:lumMod val="75000"/>
                  </a:schemeClr>
                </a:solidFill>
                <a:ln w="95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4D0-4236-B7BB-CDE77A1C4310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4D0-4236-B7BB-CDE77A1C4310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4D0-4236-B7BB-CDE77A1C4310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4D0-4236-B7BB-CDE77A1C4310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4D0-4236-B7BB-CDE77A1C4310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5476815398075E-3"/>
                  <c:y val="-0.116949183435403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'2020 models'!$B$2:$B$23</c:f>
              <c:numCache>
                <c:formatCode>General</c:formatCode>
                <c:ptCount val="22"/>
                <c:pt idx="0">
                  <c:v>17.600000000000001</c:v>
                </c:pt>
                <c:pt idx="1">
                  <c:v>17.600000000000001</c:v>
                </c:pt>
                <c:pt idx="2">
                  <c:v>17.600000000000001</c:v>
                </c:pt>
                <c:pt idx="4">
                  <c:v>40</c:v>
                </c:pt>
                <c:pt idx="5">
                  <c:v>62</c:v>
                </c:pt>
                <c:pt idx="6" formatCode="0.0">
                  <c:v>51</c:v>
                </c:pt>
                <c:pt idx="9">
                  <c:v>79</c:v>
                </c:pt>
                <c:pt idx="10">
                  <c:v>79</c:v>
                </c:pt>
                <c:pt idx="11">
                  <c:v>51</c:v>
                </c:pt>
                <c:pt idx="12">
                  <c:v>69.666666666666671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</c:numCache>
            </c:numRef>
          </c:xVal>
          <c:yVal>
            <c:numRef>
              <c:f>'2020 models'!$C$2:$C$23</c:f>
              <c:numCache>
                <c:formatCode>General</c:formatCode>
                <c:ptCount val="22"/>
                <c:pt idx="0">
                  <c:v>161</c:v>
                </c:pt>
                <c:pt idx="1">
                  <c:v>165</c:v>
                </c:pt>
                <c:pt idx="2">
                  <c:v>163</c:v>
                </c:pt>
                <c:pt idx="4">
                  <c:v>171</c:v>
                </c:pt>
                <c:pt idx="5">
                  <c:v>180</c:v>
                </c:pt>
                <c:pt idx="6">
                  <c:v>175.5</c:v>
                </c:pt>
                <c:pt idx="9">
                  <c:v>166</c:v>
                </c:pt>
                <c:pt idx="10">
                  <c:v>160</c:v>
                </c:pt>
                <c:pt idx="11">
                  <c:v>149</c:v>
                </c:pt>
                <c:pt idx="12">
                  <c:v>158.33333333333334</c:v>
                </c:pt>
                <c:pt idx="18">
                  <c:v>193</c:v>
                </c:pt>
                <c:pt idx="20">
                  <c:v>190</c:v>
                </c:pt>
                <c:pt idx="21">
                  <c:v>191.5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D0-4236-B7BB-CDE77A1C4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271424"/>
        <c:axId val="1827279328"/>
      </c:scatterChart>
      <c:valAx>
        <c:axId val="182727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79328"/>
        <c:crosses val="autoZero"/>
        <c:crossBetween val="midCat"/>
      </c:valAx>
      <c:valAx>
        <c:axId val="18272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7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Battery cap vs curb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'2020 models'!$B$2:$B$23</c:f>
              <c:numCache>
                <c:formatCode>General</c:formatCode>
                <c:ptCount val="22"/>
                <c:pt idx="0">
                  <c:v>17.600000000000001</c:v>
                </c:pt>
                <c:pt idx="1">
                  <c:v>17.600000000000001</c:v>
                </c:pt>
                <c:pt idx="2">
                  <c:v>17.600000000000001</c:v>
                </c:pt>
                <c:pt idx="4">
                  <c:v>40</c:v>
                </c:pt>
                <c:pt idx="5">
                  <c:v>62</c:v>
                </c:pt>
                <c:pt idx="6" formatCode="0.0">
                  <c:v>51</c:v>
                </c:pt>
                <c:pt idx="9">
                  <c:v>79</c:v>
                </c:pt>
                <c:pt idx="10">
                  <c:v>79</c:v>
                </c:pt>
                <c:pt idx="11">
                  <c:v>51</c:v>
                </c:pt>
                <c:pt idx="12">
                  <c:v>69.666666666666671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</c:numCache>
            </c:numRef>
          </c:xVal>
          <c:yVal>
            <c:numRef>
              <c:f>'2020 models'!$E$2:$E$23</c:f>
              <c:numCache>
                <c:formatCode>General</c:formatCode>
                <c:ptCount val="22"/>
                <c:pt idx="0">
                  <c:v>1095</c:v>
                </c:pt>
                <c:pt idx="1">
                  <c:v>1125</c:v>
                </c:pt>
                <c:pt idx="2">
                  <c:v>1110</c:v>
                </c:pt>
                <c:pt idx="4">
                  <c:v>1535</c:v>
                </c:pt>
                <c:pt idx="5">
                  <c:v>1686</c:v>
                </c:pt>
                <c:pt idx="6">
                  <c:v>1610.5</c:v>
                </c:pt>
                <c:pt idx="9">
                  <c:v>1931</c:v>
                </c:pt>
                <c:pt idx="10">
                  <c:v>1931</c:v>
                </c:pt>
                <c:pt idx="11">
                  <c:v>1684</c:v>
                </c:pt>
                <c:pt idx="12">
                  <c:v>1848.6666666666667</c:v>
                </c:pt>
                <c:pt idx="17">
                  <c:v>2316</c:v>
                </c:pt>
                <c:pt idx="18">
                  <c:v>2316</c:v>
                </c:pt>
                <c:pt idx="19">
                  <c:v>2290</c:v>
                </c:pt>
                <c:pt idx="20">
                  <c:v>2290</c:v>
                </c:pt>
                <c:pt idx="21">
                  <c:v>2298.6666666666665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B-4A0A-B302-297861DB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71408"/>
        <c:axId val="1729273072"/>
      </c:scatterChart>
      <c:valAx>
        <c:axId val="172927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73072"/>
        <c:crosses val="autoZero"/>
        <c:crossBetween val="midCat"/>
      </c:valAx>
      <c:valAx>
        <c:axId val="17292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7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models'!$C$2:$C$23</c:f>
              <c:numCache>
                <c:formatCode>General</c:formatCode>
                <c:ptCount val="22"/>
                <c:pt idx="0">
                  <c:v>161</c:v>
                </c:pt>
                <c:pt idx="1">
                  <c:v>165</c:v>
                </c:pt>
                <c:pt idx="2">
                  <c:v>163</c:v>
                </c:pt>
                <c:pt idx="4">
                  <c:v>171</c:v>
                </c:pt>
                <c:pt idx="5">
                  <c:v>180</c:v>
                </c:pt>
                <c:pt idx="6">
                  <c:v>175.5</c:v>
                </c:pt>
                <c:pt idx="9">
                  <c:v>166</c:v>
                </c:pt>
                <c:pt idx="10">
                  <c:v>160</c:v>
                </c:pt>
                <c:pt idx="11">
                  <c:v>149</c:v>
                </c:pt>
                <c:pt idx="12">
                  <c:v>158.33333333333334</c:v>
                </c:pt>
                <c:pt idx="18">
                  <c:v>193</c:v>
                </c:pt>
                <c:pt idx="20">
                  <c:v>190</c:v>
                </c:pt>
                <c:pt idx="21">
                  <c:v>191.5</c:v>
                </c:pt>
              </c:numCache>
            </c:numRef>
          </c:xVal>
          <c:yVal>
            <c:numRef>
              <c:f>'2020 models'!$E$2:$E$23</c:f>
              <c:numCache>
                <c:formatCode>General</c:formatCode>
                <c:ptCount val="22"/>
                <c:pt idx="0">
                  <c:v>1095</c:v>
                </c:pt>
                <c:pt idx="1">
                  <c:v>1125</c:v>
                </c:pt>
                <c:pt idx="2">
                  <c:v>1110</c:v>
                </c:pt>
                <c:pt idx="4">
                  <c:v>1535</c:v>
                </c:pt>
                <c:pt idx="5">
                  <c:v>1686</c:v>
                </c:pt>
                <c:pt idx="6">
                  <c:v>1610.5</c:v>
                </c:pt>
                <c:pt idx="9">
                  <c:v>1931</c:v>
                </c:pt>
                <c:pt idx="10">
                  <c:v>1931</c:v>
                </c:pt>
                <c:pt idx="11">
                  <c:v>1684</c:v>
                </c:pt>
                <c:pt idx="12">
                  <c:v>1848.6666666666667</c:v>
                </c:pt>
                <c:pt idx="17">
                  <c:v>2316</c:v>
                </c:pt>
                <c:pt idx="18">
                  <c:v>2316</c:v>
                </c:pt>
                <c:pt idx="19">
                  <c:v>2290</c:v>
                </c:pt>
                <c:pt idx="20">
                  <c:v>2290</c:v>
                </c:pt>
                <c:pt idx="21">
                  <c:v>2298.6666666666665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7-4B9E-9D3D-6678DBFF2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19648"/>
        <c:axId val="289520896"/>
      </c:scatterChart>
      <c:valAx>
        <c:axId val="28951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20896"/>
        <c:crosses val="autoZero"/>
        <c:crossBetween val="midCat"/>
      </c:valAx>
      <c:valAx>
        <c:axId val="2895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1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WLTP rated consumption vs curb weight</a:t>
            </a:r>
          </a:p>
        </c:rich>
      </c:tx>
      <c:layout>
        <c:manualLayout>
          <c:xMode val="edge"/>
          <c:yMode val="edge"/>
          <c:x val="0.2992370020049358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2579830249058E-2"/>
          <c:y val="0.16708333333333336"/>
          <c:w val="0.8709072104472370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 models'!$E$1</c:f>
              <c:strCache>
                <c:ptCount val="1"/>
                <c:pt idx="0">
                  <c:v>Curb 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DFE-4F8A-BA12-FDDDEE26B1C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DFE-4F8A-BA12-FDDDEE26B1C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4">
                    <a:lumMod val="75000"/>
                  </a:schemeClr>
                </a:solidFill>
                <a:ln w="95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DFE-4F8A-BA12-FDDDEE26B1CA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DFE-4F8A-BA12-FDDDEE26B1CA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DFE-4F8A-BA12-FDDDEE26B1CA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DFE-4F8A-BA12-FDDDEE26B1CA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DFE-4F8A-BA12-FDDDEE26B1CA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5476815398075E-3"/>
                  <c:y val="-0.116949183435403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'2020 models'!$E$2:$E$26</c:f>
              <c:numCache>
                <c:formatCode>General</c:formatCode>
                <c:ptCount val="25"/>
                <c:pt idx="0">
                  <c:v>1095</c:v>
                </c:pt>
                <c:pt idx="1">
                  <c:v>1125</c:v>
                </c:pt>
                <c:pt idx="2">
                  <c:v>1110</c:v>
                </c:pt>
                <c:pt idx="4">
                  <c:v>1535</c:v>
                </c:pt>
                <c:pt idx="5">
                  <c:v>1686</c:v>
                </c:pt>
                <c:pt idx="6">
                  <c:v>1610.5</c:v>
                </c:pt>
                <c:pt idx="9">
                  <c:v>1931</c:v>
                </c:pt>
                <c:pt idx="10">
                  <c:v>1931</c:v>
                </c:pt>
                <c:pt idx="11">
                  <c:v>1684</c:v>
                </c:pt>
                <c:pt idx="12">
                  <c:v>1848.6666666666667</c:v>
                </c:pt>
                <c:pt idx="17">
                  <c:v>2316</c:v>
                </c:pt>
                <c:pt idx="18">
                  <c:v>2316</c:v>
                </c:pt>
                <c:pt idx="19">
                  <c:v>2290</c:v>
                </c:pt>
                <c:pt idx="20">
                  <c:v>2290</c:v>
                </c:pt>
                <c:pt idx="21">
                  <c:v>2298.6666666666665</c:v>
                </c:pt>
                <c:pt idx="24">
                  <c:v>1160</c:v>
                </c:pt>
              </c:numCache>
            </c:numRef>
          </c:xVal>
          <c:yVal>
            <c:numRef>
              <c:f>'2020 models'!$C$2:$C$26</c:f>
              <c:numCache>
                <c:formatCode>General</c:formatCode>
                <c:ptCount val="25"/>
                <c:pt idx="0">
                  <c:v>161</c:v>
                </c:pt>
                <c:pt idx="1">
                  <c:v>165</c:v>
                </c:pt>
                <c:pt idx="2">
                  <c:v>163</c:v>
                </c:pt>
                <c:pt idx="4">
                  <c:v>171</c:v>
                </c:pt>
                <c:pt idx="5">
                  <c:v>180</c:v>
                </c:pt>
                <c:pt idx="6">
                  <c:v>175.5</c:v>
                </c:pt>
                <c:pt idx="9">
                  <c:v>166</c:v>
                </c:pt>
                <c:pt idx="10">
                  <c:v>160</c:v>
                </c:pt>
                <c:pt idx="11">
                  <c:v>149</c:v>
                </c:pt>
                <c:pt idx="12">
                  <c:v>158.33333333333334</c:v>
                </c:pt>
                <c:pt idx="18">
                  <c:v>193</c:v>
                </c:pt>
                <c:pt idx="20">
                  <c:v>190</c:v>
                </c:pt>
                <c:pt idx="21">
                  <c:v>191.5</c:v>
                </c:pt>
                <c:pt idx="24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FE-4F8A-BA12-FDDDEE26B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271424"/>
        <c:axId val="1827279328"/>
      </c:scatterChart>
      <c:valAx>
        <c:axId val="182727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79328"/>
        <c:crosses val="autoZero"/>
        <c:crossBetween val="midCat"/>
      </c:valAx>
      <c:valAx>
        <c:axId val="18272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7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WLTP rated consumption vs curb weight</a:t>
            </a:r>
          </a:p>
        </c:rich>
      </c:tx>
      <c:layout>
        <c:manualLayout>
          <c:xMode val="edge"/>
          <c:yMode val="edge"/>
          <c:x val="0.22973863703930211"/>
          <c:y val="5.8551112483488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2579830249058E-2"/>
          <c:y val="0.16708333333333336"/>
          <c:w val="0.8709072104472370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 models'!$E$1</c:f>
              <c:strCache>
                <c:ptCount val="1"/>
                <c:pt idx="0">
                  <c:v>Curb 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A17-40C4-B2E2-B62E0770924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A17-40C4-B2E2-B62E07709240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4">
                    <a:lumMod val="75000"/>
                  </a:schemeClr>
                </a:solidFill>
                <a:ln w="95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A17-40C4-B2E2-B62E07709240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A17-40C4-B2E2-B62E07709240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A17-40C4-B2E2-B62E07709240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A17-40C4-B2E2-B62E07709240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A17-40C4-B2E2-B62E07709240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EA17-40C4-B2E2-B62E07709240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EA17-40C4-B2E2-B62E07709240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EA17-40C4-B2E2-B62E07709240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EA17-40C4-B2E2-B62E07709240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EA17-40C4-B2E2-B62E07709240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A17-40C4-B2E2-B62E07709240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35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EA17-40C4-B2E2-B62E07709240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4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A17-40C4-B2E2-B62E07709240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44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EA17-40C4-B2E2-B62E07709240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EA17-40C4-B2E2-B62E07709240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EA17-40C4-B2E2-B62E07709240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EA17-40C4-B2E2-B62E07709240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A17-40C4-B2E2-B62E07709240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A17-40C4-B2E2-B62E07709240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55"/>
            <c:marker>
              <c:symbol val="circle"/>
              <c:size val="5"/>
              <c:spPr>
                <a:solidFill>
                  <a:schemeClr val="bg2">
                    <a:lumMod val="25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5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5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58"/>
            <c:marker>
              <c:symbol val="circle"/>
              <c:size val="5"/>
              <c:spPr>
                <a:solidFill>
                  <a:schemeClr val="tx1">
                    <a:lumMod val="95000"/>
                    <a:lumOff val="5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025300621842932"/>
                  <c:y val="-0.13437199435037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'2020 models'!$E$2:$E$61</c:f>
              <c:numCache>
                <c:formatCode>General</c:formatCode>
                <c:ptCount val="60"/>
                <c:pt idx="0">
                  <c:v>1095</c:v>
                </c:pt>
                <c:pt idx="1">
                  <c:v>1125</c:v>
                </c:pt>
                <c:pt idx="2">
                  <c:v>1110</c:v>
                </c:pt>
                <c:pt idx="4">
                  <c:v>1535</c:v>
                </c:pt>
                <c:pt idx="5">
                  <c:v>1686</c:v>
                </c:pt>
                <c:pt idx="6">
                  <c:v>1610.5</c:v>
                </c:pt>
                <c:pt idx="9">
                  <c:v>1931</c:v>
                </c:pt>
                <c:pt idx="10">
                  <c:v>1931</c:v>
                </c:pt>
                <c:pt idx="11">
                  <c:v>1684</c:v>
                </c:pt>
                <c:pt idx="12">
                  <c:v>1848.6666666666667</c:v>
                </c:pt>
                <c:pt idx="17">
                  <c:v>2316</c:v>
                </c:pt>
                <c:pt idx="18">
                  <c:v>2316</c:v>
                </c:pt>
                <c:pt idx="19">
                  <c:v>2290</c:v>
                </c:pt>
                <c:pt idx="20">
                  <c:v>2290</c:v>
                </c:pt>
                <c:pt idx="21">
                  <c:v>2298.6666666666665</c:v>
                </c:pt>
                <c:pt idx="24">
                  <c:v>1160</c:v>
                </c:pt>
                <c:pt idx="27">
                  <c:v>2620</c:v>
                </c:pt>
                <c:pt idx="28">
                  <c:v>2620</c:v>
                </c:pt>
                <c:pt idx="29">
                  <c:v>2490</c:v>
                </c:pt>
                <c:pt idx="30">
                  <c:v>2520</c:v>
                </c:pt>
                <c:pt idx="31">
                  <c:v>2520</c:v>
                </c:pt>
                <c:pt idx="32">
                  <c:v>2520</c:v>
                </c:pt>
                <c:pt idx="33">
                  <c:v>2370</c:v>
                </c:pt>
                <c:pt idx="34">
                  <c:v>2370</c:v>
                </c:pt>
                <c:pt idx="35">
                  <c:v>2135</c:v>
                </c:pt>
                <c:pt idx="36">
                  <c:v>2135</c:v>
                </c:pt>
                <c:pt idx="37">
                  <c:v>1695</c:v>
                </c:pt>
                <c:pt idx="38">
                  <c:v>2050</c:v>
                </c:pt>
                <c:pt idx="39">
                  <c:v>1890</c:v>
                </c:pt>
                <c:pt idx="40">
                  <c:v>2120</c:v>
                </c:pt>
                <c:pt idx="42">
                  <c:v>2208</c:v>
                </c:pt>
                <c:pt idx="44">
                  <c:v>2149</c:v>
                </c:pt>
                <c:pt idx="45">
                  <c:v>2049</c:v>
                </c:pt>
                <c:pt idx="46">
                  <c:v>2049</c:v>
                </c:pt>
                <c:pt idx="47">
                  <c:v>1891</c:v>
                </c:pt>
                <c:pt idx="48">
                  <c:v>1891</c:v>
                </c:pt>
                <c:pt idx="50">
                  <c:v>2533</c:v>
                </c:pt>
                <c:pt idx="51">
                  <c:v>2572</c:v>
                </c:pt>
                <c:pt idx="52">
                  <c:v>2533</c:v>
                </c:pt>
                <c:pt idx="55">
                  <c:v>2495</c:v>
                </c:pt>
                <c:pt idx="56">
                  <c:v>2198</c:v>
                </c:pt>
                <c:pt idx="57">
                  <c:v>2420</c:v>
                </c:pt>
                <c:pt idx="58">
                  <c:v>2350</c:v>
                </c:pt>
                <c:pt idx="59">
                  <c:v>2125</c:v>
                </c:pt>
              </c:numCache>
            </c:numRef>
          </c:xVal>
          <c:yVal>
            <c:numRef>
              <c:f>'2020 models'!$C$2:$C$61</c:f>
              <c:numCache>
                <c:formatCode>General</c:formatCode>
                <c:ptCount val="60"/>
                <c:pt idx="0">
                  <c:v>161</c:v>
                </c:pt>
                <c:pt idx="1">
                  <c:v>165</c:v>
                </c:pt>
                <c:pt idx="2">
                  <c:v>163</c:v>
                </c:pt>
                <c:pt idx="4">
                  <c:v>171</c:v>
                </c:pt>
                <c:pt idx="5">
                  <c:v>180</c:v>
                </c:pt>
                <c:pt idx="6">
                  <c:v>175.5</c:v>
                </c:pt>
                <c:pt idx="9">
                  <c:v>166</c:v>
                </c:pt>
                <c:pt idx="10">
                  <c:v>160</c:v>
                </c:pt>
                <c:pt idx="11">
                  <c:v>149</c:v>
                </c:pt>
                <c:pt idx="12">
                  <c:v>158.33333333333334</c:v>
                </c:pt>
                <c:pt idx="18">
                  <c:v>193</c:v>
                </c:pt>
                <c:pt idx="20">
                  <c:v>190</c:v>
                </c:pt>
                <c:pt idx="21">
                  <c:v>191.5</c:v>
                </c:pt>
                <c:pt idx="24">
                  <c:v>145</c:v>
                </c:pt>
                <c:pt idx="27">
                  <c:v>261</c:v>
                </c:pt>
                <c:pt idx="28">
                  <c:v>256</c:v>
                </c:pt>
                <c:pt idx="29">
                  <c:v>248.5</c:v>
                </c:pt>
                <c:pt idx="30">
                  <c:v>237</c:v>
                </c:pt>
                <c:pt idx="31">
                  <c:v>222</c:v>
                </c:pt>
                <c:pt idx="32">
                  <c:v>224</c:v>
                </c:pt>
                <c:pt idx="33">
                  <c:v>217</c:v>
                </c:pt>
                <c:pt idx="34">
                  <c:v>233.5</c:v>
                </c:pt>
                <c:pt idx="35">
                  <c:v>189.5</c:v>
                </c:pt>
                <c:pt idx="36">
                  <c:v>196</c:v>
                </c:pt>
                <c:pt idx="37">
                  <c:v>170</c:v>
                </c:pt>
                <c:pt idx="38">
                  <c:v>18.649999999999999</c:v>
                </c:pt>
                <c:pt idx="39">
                  <c:v>18.05</c:v>
                </c:pt>
                <c:pt idx="40">
                  <c:v>168</c:v>
                </c:pt>
                <c:pt idx="42">
                  <c:v>220</c:v>
                </c:pt>
                <c:pt idx="44">
                  <c:v>184</c:v>
                </c:pt>
                <c:pt idx="45">
                  <c:v>180</c:v>
                </c:pt>
                <c:pt idx="46">
                  <c:v>178.5</c:v>
                </c:pt>
                <c:pt idx="47">
                  <c:v>174</c:v>
                </c:pt>
                <c:pt idx="48">
                  <c:v>174</c:v>
                </c:pt>
                <c:pt idx="50">
                  <c:v>226</c:v>
                </c:pt>
                <c:pt idx="51">
                  <c:v>236</c:v>
                </c:pt>
                <c:pt idx="52">
                  <c:v>226</c:v>
                </c:pt>
                <c:pt idx="55">
                  <c:v>223</c:v>
                </c:pt>
                <c:pt idx="56">
                  <c:v>192</c:v>
                </c:pt>
                <c:pt idx="57">
                  <c:v>206</c:v>
                </c:pt>
                <c:pt idx="58">
                  <c:v>199</c:v>
                </c:pt>
                <c:pt idx="59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17-40C4-B2E2-B62E07709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271424"/>
        <c:axId val="1827279328"/>
      </c:scatterChart>
      <c:valAx>
        <c:axId val="1827271424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79328"/>
        <c:crosses val="autoZero"/>
        <c:crossBetween val="midCat"/>
      </c:valAx>
      <c:valAx>
        <c:axId val="182727932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7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 cap vs Battery weight</a:t>
            </a:r>
          </a:p>
        </c:rich>
      </c:tx>
      <c:layout>
        <c:manualLayout>
          <c:xMode val="edge"/>
          <c:yMode val="edge"/>
          <c:x val="0.2992370020049358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2579830249058E-2"/>
          <c:y val="0.16708333333333336"/>
          <c:w val="0.8709072104472370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 models'!$C$1</c:f>
              <c:strCache>
                <c:ptCount val="1"/>
                <c:pt idx="0">
                  <c:v>WLTP rated consumption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942668405475714"/>
                  <c:y val="-2.81944444444444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'2020 models'!$B$2:$B$75</c:f>
              <c:numCache>
                <c:formatCode>General</c:formatCode>
                <c:ptCount val="74"/>
                <c:pt idx="0">
                  <c:v>17.600000000000001</c:v>
                </c:pt>
                <c:pt idx="1">
                  <c:v>17.600000000000001</c:v>
                </c:pt>
                <c:pt idx="2">
                  <c:v>17.600000000000001</c:v>
                </c:pt>
                <c:pt idx="4">
                  <c:v>40</c:v>
                </c:pt>
                <c:pt idx="5">
                  <c:v>62</c:v>
                </c:pt>
                <c:pt idx="6" formatCode="0.0">
                  <c:v>51</c:v>
                </c:pt>
                <c:pt idx="9">
                  <c:v>79</c:v>
                </c:pt>
                <c:pt idx="10">
                  <c:v>79</c:v>
                </c:pt>
                <c:pt idx="11">
                  <c:v>51</c:v>
                </c:pt>
                <c:pt idx="12">
                  <c:v>69.666666666666671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4">
                  <c:v>36.799999999999997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71</c:v>
                </c:pt>
                <c:pt idx="34">
                  <c:v>71.2</c:v>
                </c:pt>
                <c:pt idx="35">
                  <c:v>82</c:v>
                </c:pt>
                <c:pt idx="36">
                  <c:v>82</c:v>
                </c:pt>
                <c:pt idx="37">
                  <c:v>55</c:v>
                </c:pt>
                <c:pt idx="38">
                  <c:v>82</c:v>
                </c:pt>
                <c:pt idx="39">
                  <c:v>55</c:v>
                </c:pt>
                <c:pt idx="40">
                  <c:v>82</c:v>
                </c:pt>
                <c:pt idx="42">
                  <c:v>90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55</c:v>
                </c:pt>
                <c:pt idx="48">
                  <c:v>55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5">
                  <c:v>85</c:v>
                </c:pt>
                <c:pt idx="56">
                  <c:v>78</c:v>
                </c:pt>
                <c:pt idx="57">
                  <c:v>93.4</c:v>
                </c:pt>
                <c:pt idx="58">
                  <c:v>93.4</c:v>
                </c:pt>
                <c:pt idx="59">
                  <c:v>79.2</c:v>
                </c:pt>
                <c:pt idx="61">
                  <c:v>67.5</c:v>
                </c:pt>
                <c:pt idx="62">
                  <c:v>67.5</c:v>
                </c:pt>
                <c:pt idx="63">
                  <c:v>40.4</c:v>
                </c:pt>
                <c:pt idx="64">
                  <c:v>67.5</c:v>
                </c:pt>
                <c:pt idx="65">
                  <c:v>68</c:v>
                </c:pt>
                <c:pt idx="66">
                  <c:v>62.2</c:v>
                </c:pt>
                <c:pt idx="67">
                  <c:v>50</c:v>
                </c:pt>
                <c:pt idx="68">
                  <c:v>42.2</c:v>
                </c:pt>
                <c:pt idx="69">
                  <c:v>54.66</c:v>
                </c:pt>
                <c:pt idx="70">
                  <c:v>22</c:v>
                </c:pt>
                <c:pt idx="71">
                  <c:v>44.1</c:v>
                </c:pt>
                <c:pt idx="72">
                  <c:v>35.799999999999997</c:v>
                </c:pt>
                <c:pt idx="73">
                  <c:v>82</c:v>
                </c:pt>
              </c:numCache>
            </c:numRef>
          </c:xVal>
          <c:yVal>
            <c:numRef>
              <c:f>'2020 models'!$F$2:$F$75</c:f>
              <c:numCache>
                <c:formatCode>General</c:formatCode>
                <c:ptCount val="74"/>
                <c:pt idx="0">
                  <c:v>175</c:v>
                </c:pt>
                <c:pt idx="1">
                  <c:v>175</c:v>
                </c:pt>
                <c:pt idx="4">
                  <c:v>303</c:v>
                </c:pt>
                <c:pt idx="5">
                  <c:v>440</c:v>
                </c:pt>
                <c:pt idx="9">
                  <c:v>478</c:v>
                </c:pt>
                <c:pt idx="10">
                  <c:v>478</c:v>
                </c:pt>
                <c:pt idx="11">
                  <c:v>337.69569999999999</c:v>
                </c:pt>
                <c:pt idx="17">
                  <c:v>630</c:v>
                </c:pt>
                <c:pt idx="18">
                  <c:v>630</c:v>
                </c:pt>
                <c:pt idx="19">
                  <c:v>630</c:v>
                </c:pt>
                <c:pt idx="20">
                  <c:v>630</c:v>
                </c:pt>
                <c:pt idx="21">
                  <c:v>630</c:v>
                </c:pt>
                <c:pt idx="24">
                  <c:v>248</c:v>
                </c:pt>
                <c:pt idx="27">
                  <c:v>700.52200000000005</c:v>
                </c:pt>
                <c:pt idx="28">
                  <c:v>700.52200000000005</c:v>
                </c:pt>
                <c:pt idx="29">
                  <c:v>700.52200000000005</c:v>
                </c:pt>
                <c:pt idx="31">
                  <c:v>700.52200000000005</c:v>
                </c:pt>
                <c:pt idx="32">
                  <c:v>700.52200000000005</c:v>
                </c:pt>
                <c:pt idx="42">
                  <c:v>603</c:v>
                </c:pt>
                <c:pt idx="44">
                  <c:v>493</c:v>
                </c:pt>
                <c:pt idx="45">
                  <c:v>493</c:v>
                </c:pt>
                <c:pt idx="46">
                  <c:v>493</c:v>
                </c:pt>
                <c:pt idx="47">
                  <c:v>344</c:v>
                </c:pt>
                <c:pt idx="48">
                  <c:v>344</c:v>
                </c:pt>
                <c:pt idx="50">
                  <c:v>630</c:v>
                </c:pt>
                <c:pt idx="51">
                  <c:v>630</c:v>
                </c:pt>
                <c:pt idx="52">
                  <c:v>630</c:v>
                </c:pt>
                <c:pt idx="55">
                  <c:v>652</c:v>
                </c:pt>
                <c:pt idx="61">
                  <c:v>457</c:v>
                </c:pt>
                <c:pt idx="62">
                  <c:v>457</c:v>
                </c:pt>
                <c:pt idx="63">
                  <c:v>359</c:v>
                </c:pt>
                <c:pt idx="64">
                  <c:v>452</c:v>
                </c:pt>
                <c:pt idx="65">
                  <c:v>430</c:v>
                </c:pt>
                <c:pt idx="66">
                  <c:v>435</c:v>
                </c:pt>
                <c:pt idx="67">
                  <c:v>356</c:v>
                </c:pt>
                <c:pt idx="68">
                  <c:v>278</c:v>
                </c:pt>
                <c:pt idx="69">
                  <c:v>326</c:v>
                </c:pt>
                <c:pt idx="70">
                  <c:v>165</c:v>
                </c:pt>
                <c:pt idx="71">
                  <c:v>305</c:v>
                </c:pt>
                <c:pt idx="72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9F-4C84-9135-07D949CF8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271424"/>
        <c:axId val="1827279328"/>
      </c:scatterChart>
      <c:valAx>
        <c:axId val="182727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79328"/>
        <c:crosses val="autoZero"/>
        <c:crossBetween val="midCat"/>
      </c:valAx>
      <c:valAx>
        <c:axId val="18272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7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WLTP rated consumption vs curb weight</a:t>
            </a:r>
          </a:p>
        </c:rich>
      </c:tx>
      <c:layout>
        <c:manualLayout>
          <c:xMode val="edge"/>
          <c:yMode val="edge"/>
          <c:x val="0.22973863703930211"/>
          <c:y val="5.8551112483488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2579830249058E-2"/>
          <c:y val="0.16708333333333336"/>
          <c:w val="0.8709072104472370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 models'!$E$1</c:f>
              <c:strCache>
                <c:ptCount val="1"/>
                <c:pt idx="0">
                  <c:v>Curb 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D41-4C01-AA3B-EF257FD386B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D41-4C01-AA3B-EF257FD386B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4">
                    <a:lumMod val="75000"/>
                  </a:schemeClr>
                </a:solidFill>
                <a:ln w="95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D41-4C01-AA3B-EF257FD386B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D41-4C01-AA3B-EF257FD386B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D41-4C01-AA3B-EF257FD386B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D41-4C01-AA3B-EF257FD386B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D41-4C01-AA3B-EF257FD386B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D41-4C01-AA3B-EF257FD386B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D41-4C01-AA3B-EF257FD386B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D41-4C01-AA3B-EF257FD386B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D41-4C01-AA3B-EF257FD386B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D41-4C01-AA3B-EF257FD386B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D41-4C01-AA3B-EF257FD386B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35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D41-4C01-AA3B-EF257FD386B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4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D41-4C01-AA3B-EF257FD386B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44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4D41-4C01-AA3B-EF257FD386B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4D41-4C01-AA3B-EF257FD386B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D41-4C01-AA3B-EF257FD386B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4D41-4C01-AA3B-EF257FD386B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4D41-4C01-AA3B-EF257FD386B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4D41-4C01-AA3B-EF257FD386B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55"/>
            <c:marker>
              <c:symbol val="circle"/>
              <c:size val="5"/>
              <c:spPr>
                <a:solidFill>
                  <a:schemeClr val="bg2">
                    <a:lumMod val="25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5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4D41-4C01-AA3B-EF257FD386B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4D41-4C01-AA3B-EF257FD386B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tx1">
                    <a:lumMod val="95000"/>
                    <a:lumOff val="5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4D41-4C01-AA3B-EF257FD386B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4D41-4C01-AA3B-EF257FD386B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4D41-4C01-AA3B-EF257FD386B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4D41-4C01-AA3B-EF257FD386B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66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4D41-4C01-AA3B-EF257FD386B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4D41-4C01-AA3B-EF257FD386B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72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025300621842932"/>
                  <c:y val="-0.13437199435037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'2020 models'!$E$2:$E$75</c:f>
              <c:numCache>
                <c:formatCode>General</c:formatCode>
                <c:ptCount val="74"/>
                <c:pt idx="0">
                  <c:v>1095</c:v>
                </c:pt>
                <c:pt idx="1">
                  <c:v>1125</c:v>
                </c:pt>
                <c:pt idx="2">
                  <c:v>1110</c:v>
                </c:pt>
                <c:pt idx="4">
                  <c:v>1535</c:v>
                </c:pt>
                <c:pt idx="5">
                  <c:v>1686</c:v>
                </c:pt>
                <c:pt idx="6">
                  <c:v>1610.5</c:v>
                </c:pt>
                <c:pt idx="9">
                  <c:v>1931</c:v>
                </c:pt>
                <c:pt idx="10">
                  <c:v>1931</c:v>
                </c:pt>
                <c:pt idx="11">
                  <c:v>1684</c:v>
                </c:pt>
                <c:pt idx="12">
                  <c:v>1848.6666666666667</c:v>
                </c:pt>
                <c:pt idx="17">
                  <c:v>2316</c:v>
                </c:pt>
                <c:pt idx="18">
                  <c:v>2316</c:v>
                </c:pt>
                <c:pt idx="19">
                  <c:v>2290</c:v>
                </c:pt>
                <c:pt idx="20">
                  <c:v>2290</c:v>
                </c:pt>
                <c:pt idx="21">
                  <c:v>2298.6666666666665</c:v>
                </c:pt>
                <c:pt idx="24">
                  <c:v>1160</c:v>
                </c:pt>
                <c:pt idx="27">
                  <c:v>2620</c:v>
                </c:pt>
                <c:pt idx="28">
                  <c:v>2620</c:v>
                </c:pt>
                <c:pt idx="29">
                  <c:v>2490</c:v>
                </c:pt>
                <c:pt idx="30">
                  <c:v>2520</c:v>
                </c:pt>
                <c:pt idx="31">
                  <c:v>2520</c:v>
                </c:pt>
                <c:pt idx="32">
                  <c:v>2520</c:v>
                </c:pt>
                <c:pt idx="33">
                  <c:v>2370</c:v>
                </c:pt>
                <c:pt idx="34">
                  <c:v>2370</c:v>
                </c:pt>
                <c:pt idx="35">
                  <c:v>2135</c:v>
                </c:pt>
                <c:pt idx="36">
                  <c:v>2135</c:v>
                </c:pt>
                <c:pt idx="37">
                  <c:v>1695</c:v>
                </c:pt>
                <c:pt idx="38">
                  <c:v>2050</c:v>
                </c:pt>
                <c:pt idx="39">
                  <c:v>1890</c:v>
                </c:pt>
                <c:pt idx="40">
                  <c:v>2120</c:v>
                </c:pt>
                <c:pt idx="42">
                  <c:v>2208</c:v>
                </c:pt>
                <c:pt idx="44">
                  <c:v>2149</c:v>
                </c:pt>
                <c:pt idx="45">
                  <c:v>2049</c:v>
                </c:pt>
                <c:pt idx="46">
                  <c:v>2049</c:v>
                </c:pt>
                <c:pt idx="47">
                  <c:v>1891</c:v>
                </c:pt>
                <c:pt idx="48">
                  <c:v>1891</c:v>
                </c:pt>
                <c:pt idx="50">
                  <c:v>2533</c:v>
                </c:pt>
                <c:pt idx="51">
                  <c:v>2572</c:v>
                </c:pt>
                <c:pt idx="52">
                  <c:v>2533</c:v>
                </c:pt>
                <c:pt idx="55">
                  <c:v>2495</c:v>
                </c:pt>
                <c:pt idx="56">
                  <c:v>2198</c:v>
                </c:pt>
                <c:pt idx="57">
                  <c:v>2420</c:v>
                </c:pt>
                <c:pt idx="58">
                  <c:v>2350</c:v>
                </c:pt>
                <c:pt idx="59">
                  <c:v>2125</c:v>
                </c:pt>
                <c:pt idx="61">
                  <c:v>1812</c:v>
                </c:pt>
                <c:pt idx="62">
                  <c:v>1757</c:v>
                </c:pt>
                <c:pt idx="63">
                  <c:v>1602</c:v>
                </c:pt>
                <c:pt idx="64">
                  <c:v>1760</c:v>
                </c:pt>
                <c:pt idx="66">
                  <c:v>1691</c:v>
                </c:pt>
                <c:pt idx="67">
                  <c:v>1530</c:v>
                </c:pt>
                <c:pt idx="68">
                  <c:v>1345</c:v>
                </c:pt>
                <c:pt idx="69">
                  <c:v>1577</c:v>
                </c:pt>
                <c:pt idx="70">
                  <c:v>1208</c:v>
                </c:pt>
                <c:pt idx="71">
                  <c:v>1575</c:v>
                </c:pt>
                <c:pt idx="72">
                  <c:v>1615</c:v>
                </c:pt>
                <c:pt idx="73">
                  <c:v>1934</c:v>
                </c:pt>
              </c:numCache>
            </c:numRef>
          </c:xVal>
          <c:yVal>
            <c:numRef>
              <c:f>'2020 models'!$C$2:$C$75</c:f>
              <c:numCache>
                <c:formatCode>General</c:formatCode>
                <c:ptCount val="74"/>
                <c:pt idx="0">
                  <c:v>161</c:v>
                </c:pt>
                <c:pt idx="1">
                  <c:v>165</c:v>
                </c:pt>
                <c:pt idx="2">
                  <c:v>163</c:v>
                </c:pt>
                <c:pt idx="4">
                  <c:v>171</c:v>
                </c:pt>
                <c:pt idx="5">
                  <c:v>180</c:v>
                </c:pt>
                <c:pt idx="6">
                  <c:v>175.5</c:v>
                </c:pt>
                <c:pt idx="9">
                  <c:v>166</c:v>
                </c:pt>
                <c:pt idx="10">
                  <c:v>160</c:v>
                </c:pt>
                <c:pt idx="11">
                  <c:v>149</c:v>
                </c:pt>
                <c:pt idx="12">
                  <c:v>158.33333333333334</c:v>
                </c:pt>
                <c:pt idx="18">
                  <c:v>193</c:v>
                </c:pt>
                <c:pt idx="20">
                  <c:v>190</c:v>
                </c:pt>
                <c:pt idx="21">
                  <c:v>191.5</c:v>
                </c:pt>
                <c:pt idx="24">
                  <c:v>145</c:v>
                </c:pt>
                <c:pt idx="27">
                  <c:v>261</c:v>
                </c:pt>
                <c:pt idx="28">
                  <c:v>256</c:v>
                </c:pt>
                <c:pt idx="29">
                  <c:v>248.5</c:v>
                </c:pt>
                <c:pt idx="30">
                  <c:v>237</c:v>
                </c:pt>
                <c:pt idx="31">
                  <c:v>222</c:v>
                </c:pt>
                <c:pt idx="32">
                  <c:v>224</c:v>
                </c:pt>
                <c:pt idx="33">
                  <c:v>217</c:v>
                </c:pt>
                <c:pt idx="34">
                  <c:v>233.5</c:v>
                </c:pt>
                <c:pt idx="35">
                  <c:v>189.5</c:v>
                </c:pt>
                <c:pt idx="36">
                  <c:v>196</c:v>
                </c:pt>
                <c:pt idx="37">
                  <c:v>170</c:v>
                </c:pt>
                <c:pt idx="38">
                  <c:v>18.649999999999999</c:v>
                </c:pt>
                <c:pt idx="39">
                  <c:v>18.05</c:v>
                </c:pt>
                <c:pt idx="40">
                  <c:v>168</c:v>
                </c:pt>
                <c:pt idx="42">
                  <c:v>220</c:v>
                </c:pt>
                <c:pt idx="44">
                  <c:v>184</c:v>
                </c:pt>
                <c:pt idx="45">
                  <c:v>180</c:v>
                </c:pt>
                <c:pt idx="46">
                  <c:v>178.5</c:v>
                </c:pt>
                <c:pt idx="47">
                  <c:v>174</c:v>
                </c:pt>
                <c:pt idx="48">
                  <c:v>174</c:v>
                </c:pt>
                <c:pt idx="50">
                  <c:v>226</c:v>
                </c:pt>
                <c:pt idx="51">
                  <c:v>236</c:v>
                </c:pt>
                <c:pt idx="52">
                  <c:v>226</c:v>
                </c:pt>
                <c:pt idx="55">
                  <c:v>223</c:v>
                </c:pt>
                <c:pt idx="56">
                  <c:v>192</c:v>
                </c:pt>
                <c:pt idx="57">
                  <c:v>206</c:v>
                </c:pt>
                <c:pt idx="58">
                  <c:v>199</c:v>
                </c:pt>
                <c:pt idx="59">
                  <c:v>204</c:v>
                </c:pt>
                <c:pt idx="61">
                  <c:v>159</c:v>
                </c:pt>
                <c:pt idx="62">
                  <c:v>157</c:v>
                </c:pt>
                <c:pt idx="63">
                  <c:v>138</c:v>
                </c:pt>
                <c:pt idx="64">
                  <c:v>147</c:v>
                </c:pt>
                <c:pt idx="66">
                  <c:v>158</c:v>
                </c:pt>
                <c:pt idx="67">
                  <c:v>164</c:v>
                </c:pt>
                <c:pt idx="68">
                  <c:v>153</c:v>
                </c:pt>
                <c:pt idx="69">
                  <c:v>174</c:v>
                </c:pt>
                <c:pt idx="70">
                  <c:v>163</c:v>
                </c:pt>
                <c:pt idx="71">
                  <c:v>178</c:v>
                </c:pt>
                <c:pt idx="72">
                  <c:v>153</c:v>
                </c:pt>
                <c:pt idx="73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4D41-4C01-AA3B-EF257FD38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271424"/>
        <c:axId val="1827279328"/>
      </c:scatterChart>
      <c:valAx>
        <c:axId val="1827271424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79328"/>
        <c:crosses val="autoZero"/>
        <c:crossBetween val="midCat"/>
      </c:valAx>
      <c:valAx>
        <c:axId val="182727932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7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23</xdr:row>
      <xdr:rowOff>28575</xdr:rowOff>
    </xdr:from>
    <xdr:to>
      <xdr:col>20</xdr:col>
      <xdr:colOff>400050</xdr:colOff>
      <xdr:row>29</xdr:row>
      <xdr:rowOff>309562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310961-39F1-4D6A-A4D2-6A309485F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261937</xdr:colOff>
      <xdr:row>37</xdr:row>
      <xdr:rowOff>71437</xdr:rowOff>
    </xdr:from>
    <xdr:to>
      <xdr:col>8</xdr:col>
      <xdr:colOff>376237</xdr:colOff>
      <xdr:row>51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0B0479-385C-4252-9FD3-DDA66E1A5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2</xdr:row>
      <xdr:rowOff>185737</xdr:rowOff>
    </xdr:from>
    <xdr:to>
      <xdr:col>21</xdr:col>
      <xdr:colOff>514350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4B387-D408-4EBF-9DE2-5DC59E1A4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15019</xdr:colOff>
      <xdr:row>34</xdr:row>
      <xdr:rowOff>187203</xdr:rowOff>
    </xdr:from>
    <xdr:to>
      <xdr:col>21</xdr:col>
      <xdr:colOff>319819</xdr:colOff>
      <xdr:row>53</xdr:row>
      <xdr:rowOff>72903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E61988-18F8-406A-A2C6-064EA298F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291245</xdr:colOff>
      <xdr:row>56</xdr:row>
      <xdr:rowOff>115398</xdr:rowOff>
    </xdr:from>
    <xdr:to>
      <xdr:col>17</xdr:col>
      <xdr:colOff>596045</xdr:colOff>
      <xdr:row>72</xdr:row>
      <xdr:rowOff>1098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A36F4E-676B-44EF-B5DA-49FEB0CB7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159727</xdr:colOff>
      <xdr:row>3</xdr:row>
      <xdr:rowOff>57883</xdr:rowOff>
    </xdr:from>
    <xdr:to>
      <xdr:col>29</xdr:col>
      <xdr:colOff>464527</xdr:colOff>
      <xdr:row>17</xdr:row>
      <xdr:rowOff>134083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06C40E-DC52-45A1-8060-23612EF87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180975</xdr:colOff>
      <xdr:row>21</xdr:row>
      <xdr:rowOff>133349</xdr:rowOff>
    </xdr:from>
    <xdr:to>
      <xdr:col>31</xdr:col>
      <xdr:colOff>581025</xdr:colOff>
      <xdr:row>50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E63C92-D11C-45D9-BA96-1F60EA9B3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263769</xdr:colOff>
      <xdr:row>18</xdr:row>
      <xdr:rowOff>29308</xdr:rowOff>
    </xdr:from>
    <xdr:to>
      <xdr:col>21</xdr:col>
      <xdr:colOff>568569</xdr:colOff>
      <xdr:row>34</xdr:row>
      <xdr:rowOff>105508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9898FDA8-C679-43FF-95AB-6EACE53A9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140805</xdr:colOff>
      <xdr:row>51</xdr:row>
      <xdr:rowOff>66260</xdr:rowOff>
    </xdr:from>
    <xdr:to>
      <xdr:col>31</xdr:col>
      <xdr:colOff>540855</xdr:colOff>
      <xdr:row>75</xdr:row>
      <xdr:rowOff>56735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7652886E-D277-4212-9478-1741DC03F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571500</xdr:colOff>
      <xdr:row>28</xdr:row>
      <xdr:rowOff>157370</xdr:rowOff>
    </xdr:from>
    <xdr:to>
      <xdr:col>28</xdr:col>
      <xdr:colOff>123406</xdr:colOff>
      <xdr:row>51</xdr:row>
      <xdr:rowOff>80632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C2F6D31-28B0-4B0B-B134-BD1E0DB3F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77130" y="6062870"/>
          <a:ext cx="9971428" cy="43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430696</xdr:colOff>
      <xdr:row>54</xdr:row>
      <xdr:rowOff>74544</xdr:rowOff>
    </xdr:from>
    <xdr:to>
      <xdr:col>29</xdr:col>
      <xdr:colOff>112547</xdr:colOff>
      <xdr:row>91</xdr:row>
      <xdr:rowOff>92711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F67975C7-56A3-46EB-A4FB-8973B45A8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036326" y="10742544"/>
          <a:ext cx="10714286" cy="7066667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0.08895</cdr:x>
      <cdr:y>0.50578</cdr:y>
    </cdr:from>
    <cdr:to>
      <cdr:x>0.24239</cdr:x>
      <cdr:y>0.69315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5420AAA-9911-4E86-9DB2-5C1978EADEA5}"/>
            </a:ext>
          </a:extLst>
        </cdr:cNvPr>
        <cdr:cNvSpPr txBox="1"/>
      </cdr:nvSpPr>
      <cdr:spPr>
        <a:xfrm xmlns:a="http://schemas.openxmlformats.org/drawingml/2006/main">
          <a:off x="522410" y="2211266"/>
          <a:ext cx="901212" cy="819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050">
              <a:solidFill>
                <a:schemeClr val="accent1"/>
              </a:solidFill>
            </a:rPr>
            <a:t>Smart</a:t>
          </a:r>
          <a:r>
            <a:rPr lang="en-CA" sz="1050" baseline="0">
              <a:solidFill>
                <a:schemeClr val="accent1"/>
              </a:solidFill>
            </a:rPr>
            <a:t> fortwo</a:t>
          </a:r>
          <a:endParaRPr lang="en-CA" sz="105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0.13839</cdr:x>
      <cdr:y>0.75906</cdr:y>
    </cdr:from>
    <cdr:to>
      <cdr:x>0.29183</cdr:x>
      <cdr:y>0.94643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EB0D952-AFBA-431E-9974-073F2F72E301}"/>
            </a:ext>
          </a:extLst>
        </cdr:cNvPr>
        <cdr:cNvSpPr txBox="1"/>
      </cdr:nvSpPr>
      <cdr:spPr>
        <a:xfrm xmlns:a="http://schemas.openxmlformats.org/drawingml/2006/main">
          <a:off x="812800" y="3318608"/>
          <a:ext cx="901212" cy="819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050">
              <a:solidFill>
                <a:schemeClr val="bg1">
                  <a:lumMod val="50000"/>
                </a:schemeClr>
              </a:solidFill>
            </a:rPr>
            <a:t>VW e-up!</a:t>
          </a:r>
        </a:p>
      </cdr:txBody>
    </cdr:sp>
  </cdr:relSizeAnchor>
  <cdr:relSizeAnchor xmlns:cdr="http://schemas.openxmlformats.org/drawingml/2006/chartDrawing">
    <cdr:from>
      <cdr:x>0.71973</cdr:x>
      <cdr:y>0.54958</cdr:y>
    </cdr:from>
    <cdr:to>
      <cdr:x>0.87317</cdr:x>
      <cdr:y>0.73694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DB57A99-14A6-4D05-A11C-9DA9BF55E187}"/>
            </a:ext>
          </a:extLst>
        </cdr:cNvPr>
        <cdr:cNvSpPr txBox="1"/>
      </cdr:nvSpPr>
      <cdr:spPr>
        <a:xfrm xmlns:a="http://schemas.openxmlformats.org/drawingml/2006/main">
          <a:off x="4227145" y="2402742"/>
          <a:ext cx="901212" cy="819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050">
              <a:solidFill>
                <a:schemeClr val="accent1"/>
              </a:solidFill>
            </a:rPr>
            <a:t>Tesla Model S</a:t>
          </a:r>
        </a:p>
      </cdr:txBody>
    </cdr:sp>
  </cdr:relSizeAnchor>
  <cdr:relSizeAnchor xmlns:cdr="http://schemas.openxmlformats.org/drawingml/2006/chartDrawing">
    <cdr:from>
      <cdr:x>0.6324</cdr:x>
      <cdr:y>0.65013</cdr:y>
    </cdr:from>
    <cdr:to>
      <cdr:x>0.78585</cdr:x>
      <cdr:y>0.8375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DB57A99-14A6-4D05-A11C-9DA9BF55E187}"/>
            </a:ext>
          </a:extLst>
        </cdr:cNvPr>
        <cdr:cNvSpPr txBox="1"/>
      </cdr:nvSpPr>
      <cdr:spPr>
        <a:xfrm xmlns:a="http://schemas.openxmlformats.org/drawingml/2006/main">
          <a:off x="3714261" y="2842358"/>
          <a:ext cx="901212" cy="819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050">
              <a:solidFill>
                <a:srgbClr val="C00000"/>
              </a:solidFill>
            </a:rPr>
            <a:t>VW ID.4</a:t>
          </a:r>
        </a:p>
      </cdr:txBody>
    </cdr:sp>
  </cdr:relSizeAnchor>
  <cdr:relSizeAnchor xmlns:cdr="http://schemas.openxmlformats.org/drawingml/2006/chartDrawing">
    <cdr:from>
      <cdr:x>0.39787</cdr:x>
      <cdr:y>0.7289</cdr:y>
    </cdr:from>
    <cdr:to>
      <cdr:x>0.55131</cdr:x>
      <cdr:y>0.91626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EDB57A99-14A6-4D05-A11C-9DA9BF55E187}"/>
            </a:ext>
          </a:extLst>
        </cdr:cNvPr>
        <cdr:cNvSpPr txBox="1"/>
      </cdr:nvSpPr>
      <cdr:spPr>
        <a:xfrm xmlns:a="http://schemas.openxmlformats.org/drawingml/2006/main">
          <a:off x="2336800" y="3186723"/>
          <a:ext cx="901212" cy="819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050">
              <a:solidFill>
                <a:schemeClr val="accent6">
                  <a:lumMod val="75000"/>
                </a:schemeClr>
              </a:solidFill>
            </a:rPr>
            <a:t>Tesla Model 3</a:t>
          </a:r>
        </a:p>
      </cdr:txBody>
    </cdr:sp>
  </cdr:relSizeAnchor>
  <cdr:relSizeAnchor xmlns:cdr="http://schemas.openxmlformats.org/drawingml/2006/chartDrawing">
    <cdr:from>
      <cdr:x>0.36419</cdr:x>
      <cdr:y>0.39205</cdr:y>
    </cdr:from>
    <cdr:to>
      <cdr:x>0.51763</cdr:x>
      <cdr:y>0.57941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DB57A99-14A6-4D05-A11C-9DA9BF55E187}"/>
            </a:ext>
          </a:extLst>
        </cdr:cNvPr>
        <cdr:cNvSpPr txBox="1"/>
      </cdr:nvSpPr>
      <cdr:spPr>
        <a:xfrm xmlns:a="http://schemas.openxmlformats.org/drawingml/2006/main">
          <a:off x="2138973" y="1714012"/>
          <a:ext cx="901212" cy="819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050">
              <a:solidFill>
                <a:schemeClr val="accent4">
                  <a:lumMod val="75000"/>
                </a:schemeClr>
              </a:solidFill>
            </a:rPr>
            <a:t>Nissan Leaf</a:t>
          </a:r>
        </a:p>
      </cdr:txBody>
    </cdr:sp>
  </cdr:relSizeAnchor>
  <cdr:relSizeAnchor xmlns:cdr="http://schemas.openxmlformats.org/drawingml/2006/chartDrawing">
    <cdr:from>
      <cdr:x>0.60745</cdr:x>
      <cdr:y>0.24792</cdr:y>
    </cdr:from>
    <cdr:to>
      <cdr:x>0.7609</cdr:x>
      <cdr:y>0.43528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EB36C6F-B1D6-4DAA-9261-77631DFFF872}"/>
            </a:ext>
          </a:extLst>
        </cdr:cNvPr>
        <cdr:cNvSpPr txBox="1"/>
      </cdr:nvSpPr>
      <cdr:spPr>
        <a:xfrm xmlns:a="http://schemas.openxmlformats.org/drawingml/2006/main">
          <a:off x="3567723" y="1083895"/>
          <a:ext cx="901212" cy="819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050">
              <a:solidFill>
                <a:schemeClr val="accent4">
                  <a:lumMod val="50000"/>
                </a:schemeClr>
              </a:solidFill>
            </a:rPr>
            <a:t>Tesla Model X</a:t>
          </a:r>
        </a:p>
      </cdr:txBody>
    </cdr:sp>
  </cdr:relSizeAnchor>
  <cdr:relSizeAnchor xmlns:cdr="http://schemas.openxmlformats.org/drawingml/2006/chartDrawing">
    <cdr:from>
      <cdr:x>0.75591</cdr:x>
      <cdr:y>0.16413</cdr:y>
    </cdr:from>
    <cdr:to>
      <cdr:x>0.90935</cdr:x>
      <cdr:y>0.26931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ECD9EC54-4946-4156-BFBC-2FE1F9A866F9}"/>
            </a:ext>
          </a:extLst>
        </cdr:cNvPr>
        <cdr:cNvSpPr txBox="1"/>
      </cdr:nvSpPr>
      <cdr:spPr>
        <a:xfrm xmlns:a="http://schemas.openxmlformats.org/drawingml/2006/main">
          <a:off x="4449597" y="748817"/>
          <a:ext cx="903235" cy="479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050">
              <a:solidFill>
                <a:srgbClr val="00B0F0"/>
              </a:solidFill>
            </a:rPr>
            <a:t>Audi etron quattro</a:t>
          </a:r>
        </a:p>
      </cdr:txBody>
    </cdr:sp>
  </cdr:relSizeAnchor>
  <cdr:relSizeAnchor xmlns:cdr="http://schemas.openxmlformats.org/drawingml/2006/chartDrawing">
    <cdr:from>
      <cdr:x>0.43528</cdr:x>
      <cdr:y>0.43841</cdr:y>
    </cdr:from>
    <cdr:to>
      <cdr:x>0.44175</cdr:x>
      <cdr:y>0.53653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38E86836-569C-41F7-BABC-DF7B2A70B65A}"/>
            </a:ext>
          </a:extLst>
        </cdr:cNvPr>
        <cdr:cNvCxnSpPr/>
      </cdr:nvCxnSpPr>
      <cdr:spPr>
        <a:xfrm xmlns:a="http://schemas.openxmlformats.org/drawingml/2006/main">
          <a:off x="2562225" y="2000251"/>
          <a:ext cx="38100" cy="4476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0.35966</cdr:x>
      <cdr:y>0.44259</cdr:y>
    </cdr:from>
    <cdr:to>
      <cdr:x>0.43528</cdr:x>
      <cdr:y>0.59226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6619FA39-C306-4944-99E9-60551F842FBA}"/>
            </a:ext>
          </a:extLst>
        </cdr:cNvPr>
        <cdr:cNvCxnSpPr/>
      </cdr:nvCxnSpPr>
      <cdr:spPr>
        <a:xfrm xmlns:a="http://schemas.openxmlformats.org/drawingml/2006/main" flipH="1">
          <a:off x="2112352" y="2019301"/>
          <a:ext cx="444134" cy="68286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0.41802</cdr:x>
      <cdr:y>0.69659</cdr:y>
    </cdr:from>
    <cdr:to>
      <cdr:x>0.46926</cdr:x>
      <cdr:y>0.73695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00B8B62E-35B3-4682-A346-C950445EF42D}"/>
            </a:ext>
          </a:extLst>
        </cdr:cNvPr>
        <cdr:cNvCxnSpPr/>
      </cdr:nvCxnSpPr>
      <cdr:spPr>
        <a:xfrm xmlns:a="http://schemas.openxmlformats.org/drawingml/2006/main" flipH="1" flipV="1">
          <a:off x="2460625" y="3178174"/>
          <a:ext cx="301625" cy="18415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6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0.46764</cdr:x>
      <cdr:y>0.65971</cdr:y>
    </cdr:from>
    <cdr:to>
      <cdr:x>0.51133</cdr:x>
      <cdr:y>0.73695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0145AAE5-219E-4060-9F6A-BDDCD967FF3A}"/>
            </a:ext>
          </a:extLst>
        </cdr:cNvPr>
        <cdr:cNvCxnSpPr/>
      </cdr:nvCxnSpPr>
      <cdr:spPr>
        <a:xfrm xmlns:a="http://schemas.openxmlformats.org/drawingml/2006/main" flipV="1">
          <a:off x="2752725" y="3009901"/>
          <a:ext cx="257175" cy="3524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6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0.67314</cdr:x>
      <cdr:y>0.58455</cdr:y>
    </cdr:from>
    <cdr:to>
      <cdr:x>0.67476</cdr:x>
      <cdr:y>0.65762</cdr:y>
    </cdr:to>
    <cdr:cxnSp macro="">
      <cdr:nvCxnSpPr>
        <cdr:cNvPr id="22" name="Straight Arrow Connector 21">
          <a:extLst xmlns:a="http://schemas.openxmlformats.org/drawingml/2006/main">
            <a:ext uri="{FF2B5EF4-FFF2-40B4-BE49-F238E27FC236}">
              <a16:creationId xmlns:a16="http://schemas.microsoft.com/office/drawing/2014/main" id="{0B0A1408-55BA-44D8-9B78-61908126EA2B}"/>
            </a:ext>
          </a:extLst>
        </cdr:cNvPr>
        <cdr:cNvCxnSpPr/>
      </cdr:nvCxnSpPr>
      <cdr:spPr>
        <a:xfrm xmlns:a="http://schemas.openxmlformats.org/drawingml/2006/main" flipV="1">
          <a:off x="3962400" y="2667001"/>
          <a:ext cx="9525" cy="3333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0.63916</cdr:x>
      <cdr:y>0.61378</cdr:y>
    </cdr:from>
    <cdr:to>
      <cdr:x>0.67368</cdr:x>
      <cdr:y>0.65832</cdr:y>
    </cdr:to>
    <cdr:cxnSp macro="">
      <cdr:nvCxnSpPr>
        <cdr:cNvPr id="23" name="Straight Arrow Connector 22">
          <a:extLst xmlns:a="http://schemas.openxmlformats.org/drawingml/2006/main">
            <a:ext uri="{FF2B5EF4-FFF2-40B4-BE49-F238E27FC236}">
              <a16:creationId xmlns:a16="http://schemas.microsoft.com/office/drawing/2014/main" id="{3108FCDF-F0AD-47CD-8925-41414EA609E1}"/>
            </a:ext>
          </a:extLst>
        </cdr:cNvPr>
        <cdr:cNvCxnSpPr/>
      </cdr:nvCxnSpPr>
      <cdr:spPr>
        <a:xfrm xmlns:a="http://schemas.openxmlformats.org/drawingml/2006/main" flipH="1" flipV="1">
          <a:off x="3762375" y="2800351"/>
          <a:ext cx="203200" cy="2032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0.72168</cdr:x>
      <cdr:y>0.52192</cdr:y>
    </cdr:from>
    <cdr:to>
      <cdr:x>0.77077</cdr:x>
      <cdr:y>0.56437</cdr:y>
    </cdr:to>
    <cdr:cxnSp macro="">
      <cdr:nvCxnSpPr>
        <cdr:cNvPr id="27" name="Straight Arrow Connector 26">
          <a:extLst xmlns:a="http://schemas.openxmlformats.org/drawingml/2006/main">
            <a:ext uri="{FF2B5EF4-FFF2-40B4-BE49-F238E27FC236}">
              <a16:creationId xmlns:a16="http://schemas.microsoft.com/office/drawing/2014/main" id="{08AA3D5C-F43F-44F8-8248-FA9538630460}"/>
            </a:ext>
          </a:extLst>
        </cdr:cNvPr>
        <cdr:cNvCxnSpPr/>
      </cdr:nvCxnSpPr>
      <cdr:spPr>
        <a:xfrm xmlns:a="http://schemas.openxmlformats.org/drawingml/2006/main" flipH="1" flipV="1">
          <a:off x="4248150" y="2381251"/>
          <a:ext cx="288925" cy="1936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0.78641</cdr:x>
      <cdr:y>0.22547</cdr:y>
    </cdr:from>
    <cdr:to>
      <cdr:x>0.87864</cdr:x>
      <cdr:y>0.40501</cdr:y>
    </cdr:to>
    <cdr:cxnSp macro="">
      <cdr:nvCxnSpPr>
        <cdr:cNvPr id="29" name="Straight Arrow Connector 28">
          <a:extLst xmlns:a="http://schemas.openxmlformats.org/drawingml/2006/main">
            <a:ext uri="{FF2B5EF4-FFF2-40B4-BE49-F238E27FC236}">
              <a16:creationId xmlns:a16="http://schemas.microsoft.com/office/drawing/2014/main" id="{841D2CB0-124D-4E2F-B34A-94A09DD8EEE7}"/>
            </a:ext>
          </a:extLst>
        </cdr:cNvPr>
        <cdr:cNvCxnSpPr/>
      </cdr:nvCxnSpPr>
      <cdr:spPr>
        <a:xfrm xmlns:a="http://schemas.openxmlformats.org/drawingml/2006/main" flipH="1">
          <a:off x="4629150" y="1028701"/>
          <a:ext cx="542925" cy="8191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F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0.85167</cdr:x>
      <cdr:y>0.22965</cdr:y>
    </cdr:from>
    <cdr:to>
      <cdr:x>0.87702</cdr:x>
      <cdr:y>0.37439</cdr:y>
    </cdr:to>
    <cdr:cxnSp macro="">
      <cdr:nvCxnSpPr>
        <cdr:cNvPr id="32" name="Straight Arrow Connector 31">
          <a:extLst xmlns:a="http://schemas.openxmlformats.org/drawingml/2006/main">
            <a:ext uri="{FF2B5EF4-FFF2-40B4-BE49-F238E27FC236}">
              <a16:creationId xmlns:a16="http://schemas.microsoft.com/office/drawing/2014/main" id="{67B9B99E-625E-439B-91CA-C67DEE50548E}"/>
            </a:ext>
          </a:extLst>
        </cdr:cNvPr>
        <cdr:cNvCxnSpPr/>
      </cdr:nvCxnSpPr>
      <cdr:spPr>
        <a:xfrm xmlns:a="http://schemas.openxmlformats.org/drawingml/2006/main" flipH="1">
          <a:off x="5013326" y="1047751"/>
          <a:ext cx="149224" cy="66039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F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0.71724</cdr:x>
      <cdr:y>0.29484</cdr:y>
    </cdr:from>
    <cdr:to>
      <cdr:x>0.8099</cdr:x>
      <cdr:y>0.37732</cdr:y>
    </cdr:to>
    <cdr:cxnSp macro="">
      <cdr:nvCxnSpPr>
        <cdr:cNvPr id="34" name="Straight Arrow Connector 33">
          <a:extLst xmlns:a="http://schemas.openxmlformats.org/drawingml/2006/main">
            <a:ext uri="{FF2B5EF4-FFF2-40B4-BE49-F238E27FC236}">
              <a16:creationId xmlns:a16="http://schemas.microsoft.com/office/drawing/2014/main" id="{825FF5B8-0D70-48CC-B531-C1605AE79C6F}"/>
            </a:ext>
          </a:extLst>
        </cdr:cNvPr>
        <cdr:cNvCxnSpPr/>
      </cdr:nvCxnSpPr>
      <cdr:spPr>
        <a:xfrm xmlns:a="http://schemas.openxmlformats.org/drawingml/2006/main">
          <a:off x="4234933" y="1345198"/>
          <a:ext cx="547119" cy="37632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4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0.71905</cdr:x>
      <cdr:y>0.29491</cdr:y>
    </cdr:from>
    <cdr:to>
      <cdr:x>0.82974</cdr:x>
      <cdr:y>0.34084</cdr:y>
    </cdr:to>
    <cdr:cxnSp macro="">
      <cdr:nvCxnSpPr>
        <cdr:cNvPr id="36" name="Straight Arrow Connector 35">
          <a:extLst xmlns:a="http://schemas.openxmlformats.org/drawingml/2006/main">
            <a:ext uri="{FF2B5EF4-FFF2-40B4-BE49-F238E27FC236}">
              <a16:creationId xmlns:a16="http://schemas.microsoft.com/office/drawing/2014/main" id="{7FA8164E-4E26-470A-A3CD-84E4DBB64718}"/>
            </a:ext>
          </a:extLst>
        </cdr:cNvPr>
        <cdr:cNvCxnSpPr/>
      </cdr:nvCxnSpPr>
      <cdr:spPr>
        <a:xfrm xmlns:a="http://schemas.openxmlformats.org/drawingml/2006/main">
          <a:off x="4245644" y="1345533"/>
          <a:ext cx="653564" cy="20954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4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0.19341</cdr:x>
      <cdr:y>0.71871</cdr:y>
    </cdr:from>
    <cdr:to>
      <cdr:x>0.19761</cdr:x>
      <cdr:y>0.76409</cdr:y>
    </cdr:to>
    <cdr:cxnSp macro="">
      <cdr:nvCxnSpPr>
        <cdr:cNvPr id="39" name="Straight Arrow Connector 38">
          <a:extLst xmlns:a="http://schemas.openxmlformats.org/drawingml/2006/main">
            <a:ext uri="{FF2B5EF4-FFF2-40B4-BE49-F238E27FC236}">
              <a16:creationId xmlns:a16="http://schemas.microsoft.com/office/drawing/2014/main" id="{A48EC592-D566-4ADE-B1C7-F5D1323F6FBC}"/>
            </a:ext>
          </a:extLst>
        </cdr:cNvPr>
        <cdr:cNvCxnSpPr/>
      </cdr:nvCxnSpPr>
      <cdr:spPr>
        <a:xfrm xmlns:a="http://schemas.openxmlformats.org/drawingml/2006/main" flipH="1" flipV="1">
          <a:off x="1144242" y="3279086"/>
          <a:ext cx="24848" cy="20706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0.15141</cdr:x>
      <cdr:y>0.55895</cdr:y>
    </cdr:from>
    <cdr:to>
      <cdr:x>0.18921</cdr:x>
      <cdr:y>0.6116</cdr:y>
    </cdr:to>
    <cdr:cxnSp macro="">
      <cdr:nvCxnSpPr>
        <cdr:cNvPr id="40" name="Straight Arrow Connector 39">
          <a:extLst xmlns:a="http://schemas.openxmlformats.org/drawingml/2006/main">
            <a:ext uri="{FF2B5EF4-FFF2-40B4-BE49-F238E27FC236}">
              <a16:creationId xmlns:a16="http://schemas.microsoft.com/office/drawing/2014/main" id="{2D41D309-25E0-4CA0-903D-C2FC974CD996}"/>
            </a:ext>
          </a:extLst>
        </cdr:cNvPr>
        <cdr:cNvCxnSpPr/>
      </cdr:nvCxnSpPr>
      <cdr:spPr>
        <a:xfrm xmlns:a="http://schemas.openxmlformats.org/drawingml/2006/main" flipH="1">
          <a:off x="895764" y="2550216"/>
          <a:ext cx="223631" cy="24019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0.08895</cdr:x>
      <cdr:y>0.50578</cdr:y>
    </cdr:from>
    <cdr:to>
      <cdr:x>0.24239</cdr:x>
      <cdr:y>0.69315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5420AAA-9911-4E86-9DB2-5C1978EADEA5}"/>
            </a:ext>
          </a:extLst>
        </cdr:cNvPr>
        <cdr:cNvSpPr txBox="1"/>
      </cdr:nvSpPr>
      <cdr:spPr>
        <a:xfrm xmlns:a="http://schemas.openxmlformats.org/drawingml/2006/main">
          <a:off x="522410" y="2211266"/>
          <a:ext cx="901212" cy="819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050">
              <a:solidFill>
                <a:schemeClr val="accent1"/>
              </a:solidFill>
            </a:rPr>
            <a:t>Smart</a:t>
          </a:r>
          <a:r>
            <a:rPr lang="en-CA" sz="1050" baseline="0">
              <a:solidFill>
                <a:schemeClr val="accent1"/>
              </a:solidFill>
            </a:rPr>
            <a:t> fortwo</a:t>
          </a:r>
          <a:endParaRPr lang="en-CA" sz="105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0.13839</cdr:x>
      <cdr:y>0.75906</cdr:y>
    </cdr:from>
    <cdr:to>
      <cdr:x>0.29183</cdr:x>
      <cdr:y>0.94643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EB0D952-AFBA-431E-9974-073F2F72E301}"/>
            </a:ext>
          </a:extLst>
        </cdr:cNvPr>
        <cdr:cNvSpPr txBox="1"/>
      </cdr:nvSpPr>
      <cdr:spPr>
        <a:xfrm xmlns:a="http://schemas.openxmlformats.org/drawingml/2006/main">
          <a:off x="812800" y="3318608"/>
          <a:ext cx="901212" cy="819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050">
              <a:solidFill>
                <a:schemeClr val="bg1">
                  <a:lumMod val="50000"/>
                </a:schemeClr>
              </a:solidFill>
            </a:rPr>
            <a:t>VW e-up!</a:t>
          </a:r>
        </a:p>
      </cdr:txBody>
    </cdr:sp>
  </cdr:relSizeAnchor>
  <cdr:relSizeAnchor xmlns:cdr="http://schemas.openxmlformats.org/drawingml/2006/chartDrawing">
    <cdr:from>
      <cdr:x>0.71973</cdr:x>
      <cdr:y>0.54958</cdr:y>
    </cdr:from>
    <cdr:to>
      <cdr:x>0.87317</cdr:x>
      <cdr:y>0.73694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DB57A99-14A6-4D05-A11C-9DA9BF55E187}"/>
            </a:ext>
          </a:extLst>
        </cdr:cNvPr>
        <cdr:cNvSpPr txBox="1"/>
      </cdr:nvSpPr>
      <cdr:spPr>
        <a:xfrm xmlns:a="http://schemas.openxmlformats.org/drawingml/2006/main">
          <a:off x="4227145" y="2402742"/>
          <a:ext cx="901212" cy="819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050">
              <a:solidFill>
                <a:schemeClr val="accent1"/>
              </a:solidFill>
            </a:rPr>
            <a:t>Tesla Model S</a:t>
          </a:r>
        </a:p>
      </cdr:txBody>
    </cdr:sp>
  </cdr:relSizeAnchor>
  <cdr:relSizeAnchor xmlns:cdr="http://schemas.openxmlformats.org/drawingml/2006/chartDrawing">
    <cdr:from>
      <cdr:x>0.6324</cdr:x>
      <cdr:y>0.65013</cdr:y>
    </cdr:from>
    <cdr:to>
      <cdr:x>0.78585</cdr:x>
      <cdr:y>0.8375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DB57A99-14A6-4D05-A11C-9DA9BF55E187}"/>
            </a:ext>
          </a:extLst>
        </cdr:cNvPr>
        <cdr:cNvSpPr txBox="1"/>
      </cdr:nvSpPr>
      <cdr:spPr>
        <a:xfrm xmlns:a="http://schemas.openxmlformats.org/drawingml/2006/main">
          <a:off x="3714261" y="2842358"/>
          <a:ext cx="901212" cy="819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050">
              <a:solidFill>
                <a:srgbClr val="C00000"/>
              </a:solidFill>
            </a:rPr>
            <a:t>VW ID.4</a:t>
          </a:r>
        </a:p>
      </cdr:txBody>
    </cdr:sp>
  </cdr:relSizeAnchor>
  <cdr:relSizeAnchor xmlns:cdr="http://schemas.openxmlformats.org/drawingml/2006/chartDrawing">
    <cdr:from>
      <cdr:x>0.38247</cdr:x>
      <cdr:y>0.77065</cdr:y>
    </cdr:from>
    <cdr:to>
      <cdr:x>0.53591</cdr:x>
      <cdr:y>0.82963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EDB57A99-14A6-4D05-A11C-9DA9BF55E187}"/>
            </a:ext>
          </a:extLst>
        </cdr:cNvPr>
        <cdr:cNvSpPr txBox="1"/>
      </cdr:nvSpPr>
      <cdr:spPr>
        <a:xfrm xmlns:a="http://schemas.openxmlformats.org/drawingml/2006/main">
          <a:off x="2262796" y="3516088"/>
          <a:ext cx="907792" cy="269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050">
              <a:solidFill>
                <a:schemeClr val="accent6">
                  <a:lumMod val="75000"/>
                </a:schemeClr>
              </a:solidFill>
            </a:rPr>
            <a:t>Tesla Model 3</a:t>
          </a:r>
        </a:p>
      </cdr:txBody>
    </cdr:sp>
  </cdr:relSizeAnchor>
  <cdr:relSizeAnchor xmlns:cdr="http://schemas.openxmlformats.org/drawingml/2006/chartDrawing">
    <cdr:from>
      <cdr:x>0.36419</cdr:x>
      <cdr:y>0.39205</cdr:y>
    </cdr:from>
    <cdr:to>
      <cdr:x>0.51763</cdr:x>
      <cdr:y>0.57941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DB57A99-14A6-4D05-A11C-9DA9BF55E187}"/>
            </a:ext>
          </a:extLst>
        </cdr:cNvPr>
        <cdr:cNvSpPr txBox="1"/>
      </cdr:nvSpPr>
      <cdr:spPr>
        <a:xfrm xmlns:a="http://schemas.openxmlformats.org/drawingml/2006/main">
          <a:off x="2138973" y="1714012"/>
          <a:ext cx="901212" cy="819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050">
              <a:solidFill>
                <a:schemeClr val="accent4">
                  <a:lumMod val="75000"/>
                </a:schemeClr>
              </a:solidFill>
            </a:rPr>
            <a:t>Nissan Leaf</a:t>
          </a:r>
        </a:p>
      </cdr:txBody>
    </cdr:sp>
  </cdr:relSizeAnchor>
  <cdr:relSizeAnchor xmlns:cdr="http://schemas.openxmlformats.org/drawingml/2006/chartDrawing">
    <cdr:from>
      <cdr:x>0.60745</cdr:x>
      <cdr:y>0.24792</cdr:y>
    </cdr:from>
    <cdr:to>
      <cdr:x>0.7609</cdr:x>
      <cdr:y>0.43528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EB36C6F-B1D6-4DAA-9261-77631DFFF872}"/>
            </a:ext>
          </a:extLst>
        </cdr:cNvPr>
        <cdr:cNvSpPr txBox="1"/>
      </cdr:nvSpPr>
      <cdr:spPr>
        <a:xfrm xmlns:a="http://schemas.openxmlformats.org/drawingml/2006/main">
          <a:off x="3567723" y="1083895"/>
          <a:ext cx="901212" cy="819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050">
              <a:solidFill>
                <a:schemeClr val="accent4">
                  <a:lumMod val="50000"/>
                </a:schemeClr>
              </a:solidFill>
            </a:rPr>
            <a:t>Tesla Model X</a:t>
          </a:r>
        </a:p>
      </cdr:txBody>
    </cdr:sp>
  </cdr:relSizeAnchor>
  <cdr:relSizeAnchor xmlns:cdr="http://schemas.openxmlformats.org/drawingml/2006/chartDrawing">
    <cdr:from>
      <cdr:x>0.75591</cdr:x>
      <cdr:y>0.16413</cdr:y>
    </cdr:from>
    <cdr:to>
      <cdr:x>0.90935</cdr:x>
      <cdr:y>0.26931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ECD9EC54-4946-4156-BFBC-2FE1F9A866F9}"/>
            </a:ext>
          </a:extLst>
        </cdr:cNvPr>
        <cdr:cNvSpPr txBox="1"/>
      </cdr:nvSpPr>
      <cdr:spPr>
        <a:xfrm xmlns:a="http://schemas.openxmlformats.org/drawingml/2006/main">
          <a:off x="4449597" y="748817"/>
          <a:ext cx="903235" cy="479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050">
              <a:solidFill>
                <a:srgbClr val="00B0F0"/>
              </a:solidFill>
            </a:rPr>
            <a:t>Audi etron quattro</a:t>
          </a:r>
        </a:p>
      </cdr:txBody>
    </cdr:sp>
  </cdr:relSizeAnchor>
  <cdr:relSizeAnchor xmlns:cdr="http://schemas.openxmlformats.org/drawingml/2006/chartDrawing">
    <cdr:from>
      <cdr:x>0.43528</cdr:x>
      <cdr:y>0.43841</cdr:y>
    </cdr:from>
    <cdr:to>
      <cdr:x>0.44175</cdr:x>
      <cdr:y>0.53653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38E86836-569C-41F7-BABC-DF7B2A70B65A}"/>
            </a:ext>
          </a:extLst>
        </cdr:cNvPr>
        <cdr:cNvCxnSpPr/>
      </cdr:nvCxnSpPr>
      <cdr:spPr>
        <a:xfrm xmlns:a="http://schemas.openxmlformats.org/drawingml/2006/main">
          <a:off x="2562225" y="2000251"/>
          <a:ext cx="38100" cy="4476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0.35966</cdr:x>
      <cdr:y>0.44259</cdr:y>
    </cdr:from>
    <cdr:to>
      <cdr:x>0.43528</cdr:x>
      <cdr:y>0.59226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6619FA39-C306-4944-99E9-60551F842FBA}"/>
            </a:ext>
          </a:extLst>
        </cdr:cNvPr>
        <cdr:cNvCxnSpPr/>
      </cdr:nvCxnSpPr>
      <cdr:spPr>
        <a:xfrm xmlns:a="http://schemas.openxmlformats.org/drawingml/2006/main" flipH="1">
          <a:off x="2112352" y="2019301"/>
          <a:ext cx="444134" cy="68286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0.41802</cdr:x>
      <cdr:y>0.69659</cdr:y>
    </cdr:from>
    <cdr:to>
      <cdr:x>0.46339</cdr:x>
      <cdr:y>0.77154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00B8B62E-35B3-4682-A346-C950445EF42D}"/>
            </a:ext>
          </a:extLst>
        </cdr:cNvPr>
        <cdr:cNvCxnSpPr/>
      </cdr:nvCxnSpPr>
      <cdr:spPr>
        <a:xfrm xmlns:a="http://schemas.openxmlformats.org/drawingml/2006/main" flipH="1" flipV="1">
          <a:off x="2473119" y="3178174"/>
          <a:ext cx="268424" cy="34193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6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0.46199</cdr:x>
      <cdr:y>0.65971</cdr:y>
    </cdr:from>
    <cdr:to>
      <cdr:x>0.51133</cdr:x>
      <cdr:y>0.77335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0145AAE5-219E-4060-9F6A-BDDCD967FF3A}"/>
            </a:ext>
          </a:extLst>
        </cdr:cNvPr>
        <cdr:cNvCxnSpPr/>
      </cdr:nvCxnSpPr>
      <cdr:spPr>
        <a:xfrm xmlns:a="http://schemas.openxmlformats.org/drawingml/2006/main" flipV="1">
          <a:off x="2733260" y="3009910"/>
          <a:ext cx="291905" cy="51848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6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0.67314</cdr:x>
      <cdr:y>0.58455</cdr:y>
    </cdr:from>
    <cdr:to>
      <cdr:x>0.67476</cdr:x>
      <cdr:y>0.65762</cdr:y>
    </cdr:to>
    <cdr:cxnSp macro="">
      <cdr:nvCxnSpPr>
        <cdr:cNvPr id="22" name="Straight Arrow Connector 21">
          <a:extLst xmlns:a="http://schemas.openxmlformats.org/drawingml/2006/main">
            <a:ext uri="{FF2B5EF4-FFF2-40B4-BE49-F238E27FC236}">
              <a16:creationId xmlns:a16="http://schemas.microsoft.com/office/drawing/2014/main" id="{0B0A1408-55BA-44D8-9B78-61908126EA2B}"/>
            </a:ext>
          </a:extLst>
        </cdr:cNvPr>
        <cdr:cNvCxnSpPr/>
      </cdr:nvCxnSpPr>
      <cdr:spPr>
        <a:xfrm xmlns:a="http://schemas.openxmlformats.org/drawingml/2006/main" flipV="1">
          <a:off x="3962400" y="2667001"/>
          <a:ext cx="9525" cy="3333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0.63916</cdr:x>
      <cdr:y>0.61378</cdr:y>
    </cdr:from>
    <cdr:to>
      <cdr:x>0.67368</cdr:x>
      <cdr:y>0.65832</cdr:y>
    </cdr:to>
    <cdr:cxnSp macro="">
      <cdr:nvCxnSpPr>
        <cdr:cNvPr id="23" name="Straight Arrow Connector 22">
          <a:extLst xmlns:a="http://schemas.openxmlformats.org/drawingml/2006/main">
            <a:ext uri="{FF2B5EF4-FFF2-40B4-BE49-F238E27FC236}">
              <a16:creationId xmlns:a16="http://schemas.microsoft.com/office/drawing/2014/main" id="{3108FCDF-F0AD-47CD-8925-41414EA609E1}"/>
            </a:ext>
          </a:extLst>
        </cdr:cNvPr>
        <cdr:cNvCxnSpPr/>
      </cdr:nvCxnSpPr>
      <cdr:spPr>
        <a:xfrm xmlns:a="http://schemas.openxmlformats.org/drawingml/2006/main" flipH="1" flipV="1">
          <a:off x="3762375" y="2800351"/>
          <a:ext cx="203200" cy="2032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0.72168</cdr:x>
      <cdr:y>0.52192</cdr:y>
    </cdr:from>
    <cdr:to>
      <cdr:x>0.77077</cdr:x>
      <cdr:y>0.56437</cdr:y>
    </cdr:to>
    <cdr:cxnSp macro="">
      <cdr:nvCxnSpPr>
        <cdr:cNvPr id="27" name="Straight Arrow Connector 26">
          <a:extLst xmlns:a="http://schemas.openxmlformats.org/drawingml/2006/main">
            <a:ext uri="{FF2B5EF4-FFF2-40B4-BE49-F238E27FC236}">
              <a16:creationId xmlns:a16="http://schemas.microsoft.com/office/drawing/2014/main" id="{08AA3D5C-F43F-44F8-8248-FA9538630460}"/>
            </a:ext>
          </a:extLst>
        </cdr:cNvPr>
        <cdr:cNvCxnSpPr/>
      </cdr:nvCxnSpPr>
      <cdr:spPr>
        <a:xfrm xmlns:a="http://schemas.openxmlformats.org/drawingml/2006/main" flipH="1" flipV="1">
          <a:off x="4248150" y="2381251"/>
          <a:ext cx="288925" cy="1936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0.78641</cdr:x>
      <cdr:y>0.22547</cdr:y>
    </cdr:from>
    <cdr:to>
      <cdr:x>0.87864</cdr:x>
      <cdr:y>0.40501</cdr:y>
    </cdr:to>
    <cdr:cxnSp macro="">
      <cdr:nvCxnSpPr>
        <cdr:cNvPr id="29" name="Straight Arrow Connector 28">
          <a:extLst xmlns:a="http://schemas.openxmlformats.org/drawingml/2006/main">
            <a:ext uri="{FF2B5EF4-FFF2-40B4-BE49-F238E27FC236}">
              <a16:creationId xmlns:a16="http://schemas.microsoft.com/office/drawing/2014/main" id="{841D2CB0-124D-4E2F-B34A-94A09DD8EEE7}"/>
            </a:ext>
          </a:extLst>
        </cdr:cNvPr>
        <cdr:cNvCxnSpPr/>
      </cdr:nvCxnSpPr>
      <cdr:spPr>
        <a:xfrm xmlns:a="http://schemas.openxmlformats.org/drawingml/2006/main" flipH="1">
          <a:off x="4629150" y="1028701"/>
          <a:ext cx="542925" cy="8191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F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0.85167</cdr:x>
      <cdr:y>0.22965</cdr:y>
    </cdr:from>
    <cdr:to>
      <cdr:x>0.87702</cdr:x>
      <cdr:y>0.37439</cdr:y>
    </cdr:to>
    <cdr:cxnSp macro="">
      <cdr:nvCxnSpPr>
        <cdr:cNvPr id="32" name="Straight Arrow Connector 31">
          <a:extLst xmlns:a="http://schemas.openxmlformats.org/drawingml/2006/main">
            <a:ext uri="{FF2B5EF4-FFF2-40B4-BE49-F238E27FC236}">
              <a16:creationId xmlns:a16="http://schemas.microsoft.com/office/drawing/2014/main" id="{67B9B99E-625E-439B-91CA-C67DEE50548E}"/>
            </a:ext>
          </a:extLst>
        </cdr:cNvPr>
        <cdr:cNvCxnSpPr/>
      </cdr:nvCxnSpPr>
      <cdr:spPr>
        <a:xfrm xmlns:a="http://schemas.openxmlformats.org/drawingml/2006/main" flipH="1">
          <a:off x="5013326" y="1047751"/>
          <a:ext cx="149224" cy="66039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F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0.71724</cdr:x>
      <cdr:y>0.29484</cdr:y>
    </cdr:from>
    <cdr:to>
      <cdr:x>0.8099</cdr:x>
      <cdr:y>0.37732</cdr:y>
    </cdr:to>
    <cdr:cxnSp macro="">
      <cdr:nvCxnSpPr>
        <cdr:cNvPr id="34" name="Straight Arrow Connector 33">
          <a:extLst xmlns:a="http://schemas.openxmlformats.org/drawingml/2006/main">
            <a:ext uri="{FF2B5EF4-FFF2-40B4-BE49-F238E27FC236}">
              <a16:creationId xmlns:a16="http://schemas.microsoft.com/office/drawing/2014/main" id="{825FF5B8-0D70-48CC-B531-C1605AE79C6F}"/>
            </a:ext>
          </a:extLst>
        </cdr:cNvPr>
        <cdr:cNvCxnSpPr/>
      </cdr:nvCxnSpPr>
      <cdr:spPr>
        <a:xfrm xmlns:a="http://schemas.openxmlformats.org/drawingml/2006/main">
          <a:off x="4234933" y="1345198"/>
          <a:ext cx="547119" cy="37632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4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0.71905</cdr:x>
      <cdr:y>0.29491</cdr:y>
    </cdr:from>
    <cdr:to>
      <cdr:x>0.82974</cdr:x>
      <cdr:y>0.34084</cdr:y>
    </cdr:to>
    <cdr:cxnSp macro="">
      <cdr:nvCxnSpPr>
        <cdr:cNvPr id="36" name="Straight Arrow Connector 35">
          <a:extLst xmlns:a="http://schemas.openxmlformats.org/drawingml/2006/main">
            <a:ext uri="{FF2B5EF4-FFF2-40B4-BE49-F238E27FC236}">
              <a16:creationId xmlns:a16="http://schemas.microsoft.com/office/drawing/2014/main" id="{7FA8164E-4E26-470A-A3CD-84E4DBB64718}"/>
            </a:ext>
          </a:extLst>
        </cdr:cNvPr>
        <cdr:cNvCxnSpPr/>
      </cdr:nvCxnSpPr>
      <cdr:spPr>
        <a:xfrm xmlns:a="http://schemas.openxmlformats.org/drawingml/2006/main">
          <a:off x="4245644" y="1345533"/>
          <a:ext cx="653564" cy="20954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4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0.19341</cdr:x>
      <cdr:y>0.71871</cdr:y>
    </cdr:from>
    <cdr:to>
      <cdr:x>0.19761</cdr:x>
      <cdr:y>0.76409</cdr:y>
    </cdr:to>
    <cdr:cxnSp macro="">
      <cdr:nvCxnSpPr>
        <cdr:cNvPr id="39" name="Straight Arrow Connector 38">
          <a:extLst xmlns:a="http://schemas.openxmlformats.org/drawingml/2006/main">
            <a:ext uri="{FF2B5EF4-FFF2-40B4-BE49-F238E27FC236}">
              <a16:creationId xmlns:a16="http://schemas.microsoft.com/office/drawing/2014/main" id="{A48EC592-D566-4ADE-B1C7-F5D1323F6FBC}"/>
            </a:ext>
          </a:extLst>
        </cdr:cNvPr>
        <cdr:cNvCxnSpPr/>
      </cdr:nvCxnSpPr>
      <cdr:spPr>
        <a:xfrm xmlns:a="http://schemas.openxmlformats.org/drawingml/2006/main" flipH="1" flipV="1">
          <a:off x="1144242" y="3279086"/>
          <a:ext cx="24848" cy="20706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0.15141</cdr:x>
      <cdr:y>0.55895</cdr:y>
    </cdr:from>
    <cdr:to>
      <cdr:x>0.18921</cdr:x>
      <cdr:y>0.6116</cdr:y>
    </cdr:to>
    <cdr:cxnSp macro="">
      <cdr:nvCxnSpPr>
        <cdr:cNvPr id="40" name="Straight Arrow Connector 39">
          <a:extLst xmlns:a="http://schemas.openxmlformats.org/drawingml/2006/main">
            <a:ext uri="{FF2B5EF4-FFF2-40B4-BE49-F238E27FC236}">
              <a16:creationId xmlns:a16="http://schemas.microsoft.com/office/drawing/2014/main" id="{2D41D309-25E0-4CA0-903D-C2FC974CD996}"/>
            </a:ext>
          </a:extLst>
        </cdr:cNvPr>
        <cdr:cNvCxnSpPr/>
      </cdr:nvCxnSpPr>
      <cdr:spPr>
        <a:xfrm xmlns:a="http://schemas.openxmlformats.org/drawingml/2006/main" flipH="1">
          <a:off x="895764" y="2550216"/>
          <a:ext cx="223631" cy="24019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hun/Box%20Sync/000%20Projects%20IndEcol/90088200%20EVD4EUR/X00%20EurEVFootprints/Data/car%20specifications%20-%20revi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020 models"/>
      <sheetName val="car specs"/>
    </sheetNames>
    <sheetDataSet>
      <sheetData sheetId="0" refreshError="1"/>
      <sheetData sheetId="1">
        <row r="1">
          <cell r="C1" t="str">
            <v>WLTP rated consumption</v>
          </cell>
          <cell r="E1" t="str">
            <v>Curb weight</v>
          </cell>
        </row>
        <row r="2">
          <cell r="B2">
            <v>17.600000000000001</v>
          </cell>
          <cell r="C2">
            <v>161</v>
          </cell>
          <cell r="E2">
            <v>1095</v>
          </cell>
        </row>
        <row r="3">
          <cell r="B3">
            <v>17.600000000000001</v>
          </cell>
          <cell r="C3">
            <v>165</v>
          </cell>
          <cell r="E3">
            <v>1125</v>
          </cell>
        </row>
        <row r="4">
          <cell r="B4">
            <v>17.600000000000001</v>
          </cell>
          <cell r="C4">
            <v>163</v>
          </cell>
          <cell r="E4">
            <v>1110</v>
          </cell>
        </row>
        <row r="6">
          <cell r="B6">
            <v>40</v>
          </cell>
          <cell r="C6">
            <v>206</v>
          </cell>
          <cell r="E6">
            <v>1580</v>
          </cell>
        </row>
        <row r="7">
          <cell r="B7">
            <v>62</v>
          </cell>
          <cell r="C7">
            <v>180</v>
          </cell>
          <cell r="E7">
            <v>1756</v>
          </cell>
        </row>
        <row r="8">
          <cell r="B8">
            <v>51</v>
          </cell>
          <cell r="C8">
            <v>193</v>
          </cell>
          <cell r="E8">
            <v>1668</v>
          </cell>
        </row>
        <row r="11">
          <cell r="B11">
            <v>79</v>
          </cell>
          <cell r="C11">
            <v>166</v>
          </cell>
          <cell r="E11">
            <v>1931</v>
          </cell>
        </row>
        <row r="12">
          <cell r="B12">
            <v>79</v>
          </cell>
          <cell r="C12">
            <v>160</v>
          </cell>
          <cell r="E12">
            <v>1931</v>
          </cell>
        </row>
        <row r="13">
          <cell r="B13">
            <v>51</v>
          </cell>
          <cell r="C13">
            <v>149</v>
          </cell>
          <cell r="E13">
            <v>1684</v>
          </cell>
        </row>
        <row r="14">
          <cell r="B14">
            <v>69.666666666666671</v>
          </cell>
          <cell r="C14">
            <v>158.33333333333334</v>
          </cell>
          <cell r="E14">
            <v>1848.6666666666667</v>
          </cell>
        </row>
        <row r="19">
          <cell r="B19">
            <v>100</v>
          </cell>
          <cell r="E19">
            <v>2316</v>
          </cell>
        </row>
        <row r="20">
          <cell r="B20">
            <v>100</v>
          </cell>
          <cell r="C20">
            <v>193</v>
          </cell>
          <cell r="E20">
            <v>2316</v>
          </cell>
        </row>
        <row r="21">
          <cell r="B21">
            <v>100</v>
          </cell>
          <cell r="E21">
            <v>2290</v>
          </cell>
        </row>
        <row r="22">
          <cell r="B22">
            <v>100</v>
          </cell>
          <cell r="C22">
            <v>190</v>
          </cell>
          <cell r="E22">
            <v>2290</v>
          </cell>
        </row>
        <row r="23">
          <cell r="B23">
            <v>100</v>
          </cell>
          <cell r="C23">
            <v>191.5</v>
          </cell>
          <cell r="E23">
            <v>2298.6666666666665</v>
          </cell>
        </row>
        <row r="26">
          <cell r="C26">
            <v>145</v>
          </cell>
          <cell r="E26">
            <v>1235</v>
          </cell>
        </row>
      </sheetData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hristine Hung" id="{FDFBB03C-7A38-4EF3-A5B0-64708E03A64A}" userId="S::chrishun@ntnu.no::a401f737-0463-4231-bcf0-4f88e0baa0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1-07-30T17:28:28.47" personId="{FDFBB03C-7A38-4EF3-A5B0-64708E03A64A}" id="{370C8732-DD78-4A51-B3E6-1F9095CD3A3A}">
    <text>new: 43.2 kWh/kWh</text>
  </threadedComment>
  <threadedComment ref="E5" dT="2021-07-30T17:29:00.04" personId="{FDFBB03C-7A38-4EF3-A5B0-64708E03A64A}" id="{E0AD2F64-4BA6-4F62-9D6F-E3898603BC8D}">
    <text>75.1 kg CO2/kWh (assumes 1.143 kg CO2e/kWh CN electricity)</text>
  </threadedComment>
  <threadedComment ref="G7" dT="2020-02-11T19:31:54.17" personId="{FDFBB03C-7A38-4EF3-A5B0-64708E03A64A}" id="{50411104-D421-4864-9159-C45E7C9EB28C}" done="1">
    <text>WLTP values, average per segment, from EV database</text>
  </threadedComment>
  <threadedComment ref="B10" dT="2021-07-24T15:39:37.64" personId="{FDFBB03C-7A38-4EF3-A5B0-64708E03A64A}" id="{D370F0DA-A655-4F66-A07E-5BBDDB7AEE4B}">
    <text>fuel chain??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1-07-30T17:28:28.47" personId="{FDFBB03C-7A38-4EF3-A5B0-64708E03A64A}" id="{6E570519-6742-4466-824C-04AA1849F33E}">
    <text>new: 43.2 kWh/kWh</text>
  </threadedComment>
  <threadedComment ref="E5" dT="2021-07-30T17:29:00.04" personId="{FDFBB03C-7A38-4EF3-A5B0-64708E03A64A}" id="{170BD9F7-37B2-46D1-B374-FD9DC219E662}">
    <text>75.1 kg CO2/kWh (assumes 1.143 kg CO2e/kWh CN electricity)</text>
  </threadedComment>
  <threadedComment ref="G7" dT="2020-02-11T19:31:54.17" personId="{FDFBB03C-7A38-4EF3-A5B0-64708E03A64A}" id="{94C86D95-1C8F-4517-8E3C-FB87EF5248B5}" done="1">
    <text>WLTP values, average per segment, from EV database</text>
  </threadedComment>
  <threadedComment ref="B10" dT="2021-07-24T15:39:37.64" personId="{FDFBB03C-7A38-4EF3-A5B0-64708E03A64A}" id="{431FC743-C593-4511-928D-47A4B9E6A5A8}">
    <text>fuel chain??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2" dT="2021-03-05T12:19:43.23" personId="{FDFBB03C-7A38-4EF3-A5B0-64708E03A64A}" id="{7D31461C-9010-4911-9A56-73609FB9C97F}">
    <text>Corresponds to 65 kWhe/kWhc, from Tesla Gigafactory 1 (battery cell production + battery modules and assembly), as per Kurland 2019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4" dT="2021-07-31T20:43:07.09" personId="{FDFBB03C-7A38-4EF3-A5B0-64708E03A64A}" id="{A98EC61A-5B57-40CD-905C-B51B9B3850EA}">
    <text>includes 75 kg driver</text>
  </threadedComment>
  <threadedComment ref="G10" dT="2021-08-01T13:54:35.84" personId="{FDFBB03C-7A38-4EF3-A5B0-64708E03A64A}" id="{C0463318-9224-4E13-9792-4366996E1820}">
    <text>https://www.volkswagen.fr/idhub/content/dam/onehub_pkw/importers/fr/pdf/tarifs/passat.pdf</text>
  </threadedComment>
  <threadedComment ref="I10" dT="2021-08-01T13:59:34.16" personId="{FDFBB03C-7A38-4EF3-A5B0-64708E03A64A}" id="{7E43DC4A-406E-4876-A394-5D10084095E0}">
    <text>https://www.skoda-auto.no/_doc/e47148c2-45a4-426a-8d8b-7ed6b5d440aa</text>
  </threadedComment>
  <threadedComment ref="J10" dT="2021-07-31T19:10:35.47" personId="{FDFBB03C-7A38-4EF3-A5B0-64708E03A64A}" id="{3D065991-2610-41EA-A813-B5E2A7A35021}">
    <text>https://www.porsche.com/international/models/cayenne/cayenne-models/cayenne/</text>
  </threadedComment>
  <threadedComment ref="D11" dT="2021-07-24T11:55:05.08" personId="{FDFBB03C-7A38-4EF3-A5B0-64708E03A64A}" id="{ED40FC14-F3DB-43CF-92A3-EF6B8F945822}">
    <text>https://motoreu.com/smart-fortwo-coupe-1.0-mpg-fuel-consumption-technical-specifications-10677</text>
  </threadedComment>
  <threadedComment ref="E11" dT="2021-08-01T13:40:19.17" personId="{FDFBB03C-7A38-4EF3-A5B0-64708E03A64A}" id="{4F2364AB-41A7-4EEF-BADD-8E111A3024B3}">
    <text>without driver</text>
  </threadedComment>
  <threadedComment ref="F11" dT="2021-08-01T13:52:54.23" personId="{FDFBB03C-7A38-4EF3-A5B0-64708E03A64A}" id="{7D39DD9E-651D-4CFC-9F4D-E7164E54DB0A}">
    <text>https://www.volkswagen.fr/idhub/content/dam/onehub_pkw/importers/fr/pdf/tarifs/golf_8.pdf</text>
  </threadedComment>
  <threadedComment ref="G11" dT="2021-07-24T13:57:05.36" personId="{FDFBB03C-7A38-4EF3-A5B0-64708E03A64A}" id="{921150A6-AC1A-46F1-A0CE-7CD27C6353D5}">
    <text>Volkswagen Passat B8 2.0 TSI BMT 220HP DSG6 Sport</text>
  </threadedComment>
  <threadedComment ref="G11" dT="2021-07-24T13:57:10.54" personId="{FDFBB03C-7A38-4EF3-A5B0-64708E03A64A}" id="{4A3C500F-AF98-4973-B3FC-D976DB59B376}" parentId="{921150A6-AC1A-46F1-A0CE-7CD27C6353D5}">
    <text>https://www.ultimatespecs.com/car-specs/Volkswagen/72020/Volkswagen-Passat-B8-20-TSI-BMT-220HP-DSG6-Sport.html</text>
  </threadedComment>
  <threadedComment ref="H11" dT="2021-07-24T13:23:21.76" personId="{FDFBB03C-7A38-4EF3-A5B0-64708E03A64A}" id="{AD9F71F3-376D-49EA-BF84-3D45F895698F}">
    <text>Mercedes E200 saloon</text>
  </threadedComment>
  <threadedComment ref="E25" dT="2021-08-01T13:45:49.34" personId="{FDFBB03C-7A38-4EF3-A5B0-64708E03A64A}" id="{4482EE0F-1FDB-4DFE-9558-D9103293A569}">
    <text>https://www.volkswagen.fr/idhub/content/dam/onehub_pkw/importers/fr/pdf/tarifs/up.pdf</text>
  </threadedComment>
  <threadedComment ref="F26" dT="2021-07-24T13:16:07.19" personId="{FDFBB03C-7A38-4EF3-A5B0-64708E03A64A}" id="{A1B7A311-FF18-4063-886F-CABAB052E0F5}">
    <text>VW Golf 2,0 245 hp TSI, DSG</text>
  </threadedComment>
  <threadedComment ref="F26" dT="2021-07-24T13:16:41.09" personId="{FDFBB03C-7A38-4EF3-A5B0-64708E03A64A}" id="{95D36F95-DD8D-4A58-B7E7-A36B98506254}" parentId="{A1B7A311-FF18-4063-886F-CABAB052E0F5}">
    <text>file:///C:/Users/chrishun/Box%20Sync/000%20Projects%20IndEcol/90088200%20EVD4EUR/X00%20EurEVFootprints/Data/Tekniske_data_Golf.pdf</text>
  </threadedComment>
  <threadedComment ref="G26" dT="2021-07-24T13:57:05.36" personId="{FDFBB03C-7A38-4EF3-A5B0-64708E03A64A}" id="{EF4ECE9C-F96D-4E0D-887D-48F26005519C}">
    <text>Volkswagen Passat B8 2.0 TSI BMT 220HP DSG6 Sport</text>
  </threadedComment>
  <threadedComment ref="G26" dT="2021-07-24T13:57:10.54" personId="{FDFBB03C-7A38-4EF3-A5B0-64708E03A64A}" id="{7970C937-A9F8-4648-BFFA-55015564116F}" parentId="{EF4ECE9C-F96D-4E0D-887D-48F26005519C}">
    <text>https://www.ultimatespecs.com/car-specs/Volkswagen/72020/Volkswagen-Passat-B8-20-TSI-BMT-220HP-DSG6-Sport.html</text>
  </threadedComment>
  <threadedComment ref="I26" dT="2021-07-31T20:40:48.97" personId="{FDFBB03C-7A38-4EF3-A5B0-64708E03A64A}" id="{1EC22A7B-4CB4-49CB-922E-C597AD5C5975}">
    <text>without driver</text>
  </threadedComment>
  <threadedComment ref="E30" dT="2021-08-01T13:45:53.59" personId="{FDFBB03C-7A38-4EF3-A5B0-64708E03A64A}" id="{B68079B6-4BB5-4C00-B692-85ECCF6CBA55}">
    <text>https://www.volkswagen.fr/idhub/content/dam/onehub_pkw/importers/fr/pdf/tarifs/up.pdf</text>
  </threadedComment>
  <threadedComment ref="I30" dT="2021-07-31T20:20:49.63" personId="{FDFBB03C-7A38-4EF3-A5B0-64708E03A64A}" id="{21550BF1-63B8-4FE1-AE0E-EE8F6D470D35}">
    <text>incl driver + fuel</text>
  </threadedComment>
  <threadedComment ref="E31" dT="2021-08-01T13:40:19.17" personId="{FDFBB03C-7A38-4EF3-A5B0-64708E03A64A}" id="{7404251B-0062-4FB6-B569-B0A52215FCBC}">
    <text>without driver</text>
  </threadedComment>
  <threadedComment ref="I37" dT="2021-07-31T20:20:41.91" personId="{FDFBB03C-7A38-4EF3-A5B0-64708E03A64A}" id="{7BE05329-FFC3-4639-8046-7499D83DF06F}">
    <text>incl driver + fuel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6" dT="2021-07-20T20:49:07.08" personId="{FDFBB03C-7A38-4EF3-A5B0-64708E03A64A}" id="{AB74101D-B363-46B9-8858-A72F2339873E}">
    <text>Volkswagen Golf 
kerb weight 1,255–1,465 kg</text>
  </threadedComment>
  <threadedComment ref="B6" dT="2021-07-20T20:43:31.30" personId="{FDFBB03C-7A38-4EF3-A5B0-64708E03A64A}" id="{6E46CDAF-6EAD-4572-86A0-96873FD381DC}">
    <text>39.5</text>
  </threadedComment>
  <threadedComment ref="C6" dT="2021-07-31T10:25:11.86" personId="{FDFBB03C-7A38-4EF3-A5B0-64708E03A64A}" id="{72C656EC-BA09-44B2-AC34-F7F0A6A1AB08}">
    <text>From Nissan's website; https://www.nissan.no/biler/nye-biler/leaf/priser-spesifikasjoner.html#grade-LEAFZE1A-0|specs
EV database: 206</text>
  </threadedComment>
  <threadedComment ref="E7" dT="2021-08-01T13:19:31.72" personId="{FDFBB03C-7A38-4EF3-A5B0-64708E03A64A}" id="{3833910D-3CCA-4741-9F18-725F290A95A3}">
    <text>without driver</text>
  </threadedComment>
  <threadedComment ref="A10" dT="2021-07-20T20:51:43.96" personId="{FDFBB03C-7A38-4EF3-A5B0-64708E03A64A}" id="{B670FABB-6D2F-445B-9645-07028535F654}">
    <text>VW Passat?
1,367–1,721 kg (3,014–3,794 lb) (saloon)
1,394–1,735 kg (3,073–3,825 lb) (estate)</text>
  </threadedComment>
  <threadedComment ref="A10" dT="2021-07-20T20:57:09.78" personId="{FDFBB03C-7A38-4EF3-A5B0-64708E03A64A}" id="{44B4DAF1-9655-48C8-B919-1224CCB5C5F3}" parentId="{B670FABB-6D2F-445B-9645-07028535F654}">
    <text>Passat B6 2.0 TDI  kerb weight 
1454 kg OR 3206 lbs</text>
  </threadedComment>
  <threadedComment ref="A10" dT="2021-07-20T20:58:40.42" personId="{FDFBB03C-7A38-4EF3-A5B0-64708E03A64A}" id="{E80D8B96-42E7-413A-A66D-2FB64DAE4C1F}" parentId="{B670FABB-6D2F-445B-9645-07028535F654}">
    <text>2019 Passat 1.5 TSI 1425 kg kerb weight</text>
  </threadedComment>
  <threadedComment ref="A18" dT="2021-07-20T21:19:42.46" personId="{FDFBB03C-7A38-4EF3-A5B0-64708E03A64A}" id="{E52585BD-A3CA-4A62-B871-3C473B36ECAB}">
    <text>Mercedes E-class 1,605–2,048 kg (3,538–4,515 lb) (2017: Sedan SWB)
1,770–1,800 kg (3,900–3,970 lb)</text>
  </threadedComment>
  <threadedComment ref="A18" dT="2021-07-20T21:19:54.00" personId="{FDFBB03C-7A38-4EF3-A5B0-64708E03A64A}" id="{22CDC6F6-7F5C-4C1F-9D7E-D7225C2E6986}" parentId="{E52585BD-A3CA-4A62-B871-3C473B36ECAB}">
    <text>Audi A6 Avant 1685 kg</text>
  </threadedComment>
  <threadedComment ref="E26" dT="2021-08-01T13:39:10.68" personId="{FDFBB03C-7A38-4EF3-A5B0-64708E03A64A}" id="{9C2490B2-8A83-4E08-B135-A7E20BB7B2A4}">
    <text>without driver</text>
  </threadedComment>
  <threadedComment ref="E35" dT="2021-08-01T14:31:43.19" personId="{FDFBB03C-7A38-4EF3-A5B0-64708E03A64A}" id="{BC5508AF-5159-4913-9193-3CDE4A8107F7}">
    <text>without driver</text>
  </threadedComment>
  <threadedComment ref="E46" dT="2021-08-01T13:34:10.98" personId="{FDFBB03C-7A38-4EF3-A5B0-64708E03A64A}" id="{FD6D3322-78D7-41A7-A449-791D10C5FD88}">
    <text>without driver</text>
  </threadedComment>
  <threadedComment ref="F46" dT="2021-07-31T13:02:45.60" personId="{FDFBB03C-7A38-4EF3-A5B0-64708E03A64A}" id="{56777946-8B40-4A71-ACEF-6797D88CD835}">
    <text>https://www.evspecifications.com/en/model/2b8eff</text>
  </threadedComment>
  <threadedComment ref="F46" dT="2021-07-31T13:03:06.95" personId="{FDFBB03C-7A38-4EF3-A5B0-64708E03A64A}" id="{E03F3A69-D665-445E-9A62-F5C2D51BCAD0}" parentId="{56777946-8B40-4A71-ACEF-6797D88CD835}">
    <text>NB: NCM 712</text>
  </threadedComment>
  <threadedComment ref="F46" dT="2021-07-31T20:44:11.80" personId="{FDFBB03C-7A38-4EF3-A5B0-64708E03A64A}" id="{E1FF2F7C-6718-4FD8-B8CB-07A8A6D585F6}" parentId="{56777946-8B40-4A71-ACEF-6797D88CD835}">
    <text>https://www.volkswagen.fr/idhub/content/dam/onehub_pkw/importers/fr/pdf/tarifs/id_4.pdf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hyperlink" Target="https://www.wltpfacts.eu/link-between-co2-emissions-fuel-consumption/" TargetMode="External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G14"/>
  <sheetViews>
    <sheetView workbookViewId="0">
      <selection activeCell="F45" sqref="F45"/>
    </sheetView>
    <sheetView tabSelected="1" workbookViewId="1">
      <selection activeCell="M34" sqref="M34"/>
    </sheetView>
  </sheetViews>
  <sheetFormatPr defaultRowHeight="15" x14ac:dyDescent="0.25"/>
  <cols>
    <col min="2" max="2" width="16.140625" customWidth="1"/>
    <col min="3" max="3" width="9.5703125" bestFit="1" customWidth="1"/>
    <col min="4" max="7" width="10.42578125" customWidth="1"/>
  </cols>
  <sheetData>
    <row r="1" spans="1:7" x14ac:dyDescent="0.25">
      <c r="D1" t="s">
        <v>0</v>
      </c>
      <c r="E1" t="s">
        <v>1</v>
      </c>
      <c r="F1" t="s">
        <v>185</v>
      </c>
      <c r="G1" t="s">
        <v>186</v>
      </c>
    </row>
    <row r="2" spans="1:7" x14ac:dyDescent="0.25">
      <c r="A2" t="s">
        <v>4</v>
      </c>
      <c r="B2" t="s">
        <v>5</v>
      </c>
      <c r="C2" t="s">
        <v>10</v>
      </c>
      <c r="D2">
        <v>36.799999999999997</v>
      </c>
      <c r="E2">
        <f>'2020 models'!B7</f>
        <v>62</v>
      </c>
      <c r="F2">
        <f>'car specs'!I3</f>
        <v>82</v>
      </c>
      <c r="G2">
        <f>'car specs'!J3</f>
        <v>95</v>
      </c>
    </row>
    <row r="3" spans="1:7" x14ac:dyDescent="0.25">
      <c r="B3" t="s">
        <v>12</v>
      </c>
      <c r="C3" t="s">
        <v>9</v>
      </c>
      <c r="D3">
        <f>'car specs'!D6</f>
        <v>4.8243000000000009</v>
      </c>
      <c r="E3">
        <f>'car specs'!F6</f>
        <v>6.4543000000000008</v>
      </c>
      <c r="F3" s="2">
        <f>'car specs'!I6</f>
        <v>8.5042999999999989</v>
      </c>
      <c r="G3" s="2">
        <f>'car specs'!J6</f>
        <v>9.8216900000000003</v>
      </c>
    </row>
    <row r="4" spans="1:7" x14ac:dyDescent="0.25">
      <c r="B4" t="s">
        <v>13</v>
      </c>
      <c r="C4" t="s">
        <v>10</v>
      </c>
      <c r="D4" s="3">
        <f>SUM(72/3.6, 23)*D2</f>
        <v>1582.3999999999999</v>
      </c>
      <c r="E4" s="3">
        <f>SUM(72/3.6, 23)*E2</f>
        <v>2666</v>
      </c>
      <c r="F4" s="3">
        <f t="shared" ref="E4:G4" si="0">SUM(72/3.6, 23)*F2</f>
        <v>3526</v>
      </c>
      <c r="G4" s="3">
        <f>SUM(72/3.6, 23)*G2</f>
        <v>4085</v>
      </c>
    </row>
    <row r="5" spans="1:7" x14ac:dyDescent="0.25">
      <c r="B5" t="s">
        <v>14</v>
      </c>
      <c r="C5" t="s">
        <v>9</v>
      </c>
      <c r="D5" s="2">
        <f>75.0996*D2/1000</f>
        <v>2.7636652799999997</v>
      </c>
      <c r="E5" s="2">
        <f t="shared" ref="E5:G5" si="1">75.0996*E2/1000</f>
        <v>4.6561751999999998</v>
      </c>
      <c r="F5" s="2">
        <f t="shared" si="1"/>
        <v>6.1581672000000003</v>
      </c>
      <c r="G5" s="2">
        <f t="shared" si="1"/>
        <v>7.1344619999999992</v>
      </c>
    </row>
    <row r="6" spans="1:7" x14ac:dyDescent="0.25">
      <c r="B6" t="s">
        <v>19</v>
      </c>
      <c r="C6" t="s">
        <v>17</v>
      </c>
      <c r="D6" s="2">
        <v>1500</v>
      </c>
      <c r="E6" s="2">
        <v>1500</v>
      </c>
      <c r="F6" s="2">
        <v>1500</v>
      </c>
      <c r="G6" s="2">
        <v>1500</v>
      </c>
    </row>
    <row r="7" spans="1:7" x14ac:dyDescent="0.25">
      <c r="B7" t="s">
        <v>6</v>
      </c>
      <c r="C7" t="s">
        <v>11</v>
      </c>
      <c r="D7" s="1">
        <v>163</v>
      </c>
      <c r="E7" s="1">
        <f>'2020 models'!C7</f>
        <v>180</v>
      </c>
      <c r="F7" s="1">
        <v>158</v>
      </c>
      <c r="G7" s="1">
        <v>192</v>
      </c>
    </row>
    <row r="8" spans="1:7" x14ac:dyDescent="0.25">
      <c r="B8" t="s">
        <v>7</v>
      </c>
      <c r="C8" t="s">
        <v>9</v>
      </c>
      <c r="D8" s="2">
        <f>'car specs'!E9</f>
        <v>0.49948396056859645</v>
      </c>
      <c r="E8" s="2">
        <f>'car specs'!F9</f>
        <v>0.71917333841657127</v>
      </c>
      <c r="F8" s="2">
        <f>'car specs'!I9</f>
        <v>0.92246796879254944</v>
      </c>
      <c r="G8" s="2">
        <f>'car specs'!J9</f>
        <v>1.1161425341076194</v>
      </c>
    </row>
    <row r="9" spans="1:7" x14ac:dyDescent="0.25">
      <c r="A9" t="s">
        <v>8</v>
      </c>
      <c r="B9" t="s">
        <v>15</v>
      </c>
      <c r="C9" t="s">
        <v>9</v>
      </c>
      <c r="D9">
        <f>'car specs'!D21</f>
        <v>3.4710000000000001</v>
      </c>
      <c r="E9">
        <f>'car specs'!F21</f>
        <v>5.3319999999999999</v>
      </c>
      <c r="F9">
        <f>'car specs'!G21</f>
        <v>8.3384</v>
      </c>
      <c r="G9">
        <f>'car specs'!H21</f>
        <v>9.69</v>
      </c>
    </row>
    <row r="10" spans="1:7" x14ac:dyDescent="0.25">
      <c r="B10" t="s">
        <v>6</v>
      </c>
      <c r="C10" t="s">
        <v>16</v>
      </c>
      <c r="D10" s="7">
        <f>'car specs'!D19</f>
        <v>114.9943926</v>
      </c>
      <c r="E10" s="7">
        <f>'car specs'!F19</f>
        <v>167.686916</v>
      </c>
      <c r="F10" s="7">
        <f>'car specs'!G19</f>
        <v>214.68831790000002</v>
      </c>
      <c r="G10" s="7">
        <f>'car specs'!H19</f>
        <v>216.14766370000001</v>
      </c>
    </row>
    <row r="11" spans="1:7" x14ac:dyDescent="0.25">
      <c r="B11" t="s">
        <v>7</v>
      </c>
      <c r="C11" t="s">
        <v>9</v>
      </c>
      <c r="D11">
        <v>0.3</v>
      </c>
      <c r="E11">
        <v>0.5</v>
      </c>
      <c r="F11">
        <v>0.6</v>
      </c>
      <c r="G11">
        <v>0.7</v>
      </c>
    </row>
    <row r="12" spans="1:7" x14ac:dyDescent="0.25">
      <c r="B12" t="s">
        <v>6</v>
      </c>
      <c r="C12" t="s">
        <v>9</v>
      </c>
      <c r="D12" s="2">
        <f>D10*180000/1000/1000</f>
        <v>20.698990667999997</v>
      </c>
      <c r="E12" s="2">
        <f t="shared" ref="E12:G12" si="2">E10*180000/1000/1000</f>
        <v>30.183644879999999</v>
      </c>
      <c r="F12" s="2">
        <f t="shared" si="2"/>
        <v>38.643897222</v>
      </c>
      <c r="G12" s="2">
        <f t="shared" si="2"/>
        <v>38.906579465999997</v>
      </c>
    </row>
    <row r="14" spans="1:7" x14ac:dyDescent="0.25">
      <c r="D14" s="2"/>
      <c r="E14" s="2"/>
      <c r="F14" s="2"/>
      <c r="G14" s="2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2B48-DC50-481C-AD06-DA553CE35947}">
  <dimension ref="A1:E9"/>
  <sheetViews>
    <sheetView workbookViewId="0">
      <selection activeCell="E32" sqref="E32"/>
    </sheetView>
    <sheetView workbookViewId="1">
      <selection activeCell="B9" sqref="B9:E9"/>
    </sheetView>
  </sheetViews>
  <sheetFormatPr defaultRowHeight="15" x14ac:dyDescent="0.25"/>
  <cols>
    <col min="1" max="1" width="24.85546875" bestFit="1" customWidth="1"/>
    <col min="2" max="5" width="11.42578125" bestFit="1" customWidth="1"/>
  </cols>
  <sheetData>
    <row r="1" spans="1:5" x14ac:dyDescent="0.25">
      <c r="B1" t="s">
        <v>0</v>
      </c>
      <c r="C1" t="s">
        <v>1</v>
      </c>
      <c r="D1" t="s">
        <v>185</v>
      </c>
      <c r="E1" t="s">
        <v>186</v>
      </c>
    </row>
    <row r="2" spans="1:5" x14ac:dyDescent="0.25">
      <c r="B2">
        <f>Sheet1!D2</f>
        <v>36.799999999999997</v>
      </c>
      <c r="C2">
        <f>Sheet1!E2</f>
        <v>62</v>
      </c>
      <c r="D2">
        <f>Sheet1!F2</f>
        <v>82</v>
      </c>
      <c r="E2">
        <f>Sheet1!G2</f>
        <v>95</v>
      </c>
    </row>
    <row r="3" spans="1:5" x14ac:dyDescent="0.25">
      <c r="A3" t="s">
        <v>224</v>
      </c>
      <c r="B3">
        <v>1500</v>
      </c>
      <c r="C3">
        <v>1500</v>
      </c>
      <c r="D3">
        <v>1500</v>
      </c>
      <c r="E3">
        <v>1500</v>
      </c>
    </row>
    <row r="4" spans="1:5" x14ac:dyDescent="0.25">
      <c r="A4" t="s">
        <v>225</v>
      </c>
      <c r="B4">
        <v>0.9</v>
      </c>
      <c r="C4">
        <v>0.9</v>
      </c>
      <c r="D4">
        <v>0.9</v>
      </c>
      <c r="E4">
        <v>0.9</v>
      </c>
    </row>
    <row r="5" spans="1:5" x14ac:dyDescent="0.25">
      <c r="A5" t="s">
        <v>226</v>
      </c>
      <c r="B5">
        <f>B4*B3*B2</f>
        <v>49679.999999999993</v>
      </c>
      <c r="C5">
        <f t="shared" ref="C5:E5" si="0">C4*C3*C2</f>
        <v>83700</v>
      </c>
      <c r="D5">
        <f t="shared" si="0"/>
        <v>110700</v>
      </c>
      <c r="E5">
        <f t="shared" si="0"/>
        <v>128250</v>
      </c>
    </row>
    <row r="6" spans="1:5" x14ac:dyDescent="0.25">
      <c r="A6" t="s">
        <v>227</v>
      </c>
      <c r="B6">
        <f>Sheet1!D7</f>
        <v>163</v>
      </c>
      <c r="C6">
        <f>Sheet1!E7</f>
        <v>180</v>
      </c>
      <c r="D6">
        <f>Sheet1!F7</f>
        <v>158</v>
      </c>
      <c r="E6">
        <f>Sheet1!G7</f>
        <v>192</v>
      </c>
    </row>
    <row r="7" spans="1:5" x14ac:dyDescent="0.25">
      <c r="A7" t="s">
        <v>228</v>
      </c>
      <c r="B7" s="41">
        <f>B5*1000/B6</f>
        <v>304785.27607361961</v>
      </c>
      <c r="C7" s="41">
        <f t="shared" ref="C7:E7" si="1">C5*1000/C6</f>
        <v>465000</v>
      </c>
      <c r="D7" s="41">
        <f t="shared" si="1"/>
        <v>700632.91139240505</v>
      </c>
      <c r="E7" s="41">
        <f t="shared" si="1"/>
        <v>667968.75</v>
      </c>
    </row>
    <row r="8" spans="1:5" x14ac:dyDescent="0.25">
      <c r="A8" t="s">
        <v>229</v>
      </c>
      <c r="B8">
        <v>180000</v>
      </c>
      <c r="C8">
        <v>180000</v>
      </c>
      <c r="D8">
        <v>180000</v>
      </c>
      <c r="E8">
        <v>180000</v>
      </c>
    </row>
    <row r="9" spans="1:5" x14ac:dyDescent="0.25">
      <c r="B9" s="42">
        <f>B8/B7</f>
        <v>0.59057971014492761</v>
      </c>
      <c r="C9" s="42">
        <f t="shared" ref="C9:E9" si="2">C8/C7</f>
        <v>0.38709677419354838</v>
      </c>
      <c r="D9" s="42">
        <f t="shared" si="2"/>
        <v>0.25691056910569104</v>
      </c>
      <c r="E9" s="42">
        <f t="shared" si="2"/>
        <v>0.26947368421052631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A2D1E-19A0-4E86-9E38-B9EA522EBF5D}">
  <sheetPr>
    <tabColor theme="9" tint="0.59999389629810485"/>
  </sheetPr>
  <dimension ref="A1:G12"/>
  <sheetViews>
    <sheetView workbookViewId="0">
      <selection activeCell="D35" sqref="D35"/>
    </sheetView>
    <sheetView workbookViewId="1">
      <selection activeCell="G4" sqref="G4"/>
    </sheetView>
  </sheetViews>
  <sheetFormatPr defaultRowHeight="15" x14ac:dyDescent="0.25"/>
  <sheetData>
    <row r="1" spans="1:7" x14ac:dyDescent="0.25">
      <c r="D1" t="s">
        <v>0</v>
      </c>
      <c r="E1" t="s">
        <v>1</v>
      </c>
      <c r="F1" t="s">
        <v>2</v>
      </c>
      <c r="G1" t="s">
        <v>3</v>
      </c>
    </row>
    <row r="2" spans="1:7" x14ac:dyDescent="0.25">
      <c r="A2" t="s">
        <v>4</v>
      </c>
      <c r="B2" t="s">
        <v>5</v>
      </c>
      <c r="C2" t="s">
        <v>10</v>
      </c>
      <c r="D2">
        <v>16.7</v>
      </c>
      <c r="E2">
        <v>51</v>
      </c>
      <c r="F2">
        <v>70</v>
      </c>
      <c r="G2">
        <v>100</v>
      </c>
    </row>
    <row r="3" spans="1:7" x14ac:dyDescent="0.25">
      <c r="B3" t="s">
        <v>12</v>
      </c>
      <c r="C3" t="s">
        <v>9</v>
      </c>
      <c r="D3">
        <f>'car specs'!D6</f>
        <v>4.8243000000000009</v>
      </c>
      <c r="E3">
        <f>'car specs'!F6</f>
        <v>6.4543000000000008</v>
      </c>
      <c r="F3">
        <f>'car specs'!G6</f>
        <v>7.8743000000000007</v>
      </c>
      <c r="G3">
        <f>'car specs'!H6</f>
        <v>8.5693000000000001</v>
      </c>
    </row>
    <row r="4" spans="1:7" x14ac:dyDescent="0.25">
      <c r="B4" t="s">
        <v>13</v>
      </c>
      <c r="C4" t="s">
        <v>10</v>
      </c>
      <c r="D4" s="3">
        <f>SUM(72/3.6, 23)*D2</f>
        <v>718.1</v>
      </c>
      <c r="E4" s="3">
        <f>SUM(72/3.6, 23)*E2</f>
        <v>2193</v>
      </c>
      <c r="F4" s="3">
        <f t="shared" ref="F4:G4" si="0">SUM(72/3.6, 23)*F2</f>
        <v>3010</v>
      </c>
      <c r="G4" s="3">
        <f t="shared" si="0"/>
        <v>4300</v>
      </c>
    </row>
    <row r="5" spans="1:7" x14ac:dyDescent="0.25">
      <c r="B5" t="s">
        <v>14</v>
      </c>
      <c r="C5" t="s">
        <v>9</v>
      </c>
      <c r="D5" s="2">
        <f>75.0996*D2/1000</f>
        <v>1.25416332</v>
      </c>
      <c r="E5" s="2">
        <f t="shared" ref="E5:G5" si="1">75.0996*E2/1000</f>
        <v>3.8300795999999995</v>
      </c>
      <c r="F5" s="2">
        <f t="shared" si="1"/>
        <v>5.2569719999999993</v>
      </c>
      <c r="G5" s="2">
        <f t="shared" si="1"/>
        <v>7.5099599999999995</v>
      </c>
    </row>
    <row r="6" spans="1:7" x14ac:dyDescent="0.25">
      <c r="B6" t="s">
        <v>19</v>
      </c>
      <c r="C6" t="s">
        <v>17</v>
      </c>
      <c r="D6" s="2">
        <v>1500</v>
      </c>
      <c r="E6" s="2">
        <v>1500</v>
      </c>
      <c r="F6" s="2">
        <v>1500</v>
      </c>
      <c r="G6" s="2">
        <v>1500</v>
      </c>
    </row>
    <row r="7" spans="1:7" x14ac:dyDescent="0.25">
      <c r="B7" t="s">
        <v>6</v>
      </c>
      <c r="C7" t="s">
        <v>11</v>
      </c>
      <c r="D7" s="1">
        <v>163</v>
      </c>
      <c r="E7" s="1">
        <v>193</v>
      </c>
      <c r="F7" s="1">
        <v>158</v>
      </c>
      <c r="G7" s="1">
        <v>192</v>
      </c>
    </row>
    <row r="8" spans="1:7" x14ac:dyDescent="0.25">
      <c r="B8" t="s">
        <v>7</v>
      </c>
      <c r="C8" t="s">
        <v>9</v>
      </c>
      <c r="D8">
        <v>0.5</v>
      </c>
      <c r="E8">
        <v>0.7</v>
      </c>
      <c r="F8">
        <v>0.7</v>
      </c>
      <c r="G8">
        <v>0.9</v>
      </c>
    </row>
    <row r="9" spans="1:7" x14ac:dyDescent="0.25">
      <c r="A9" t="s">
        <v>8</v>
      </c>
      <c r="B9" t="s">
        <v>15</v>
      </c>
      <c r="C9" t="s">
        <v>9</v>
      </c>
      <c r="D9">
        <f>'car specs'!D21</f>
        <v>3.4710000000000001</v>
      </c>
      <c r="E9">
        <f>'car specs'!F21</f>
        <v>5.3319999999999999</v>
      </c>
      <c r="F9">
        <f>'car specs'!G21</f>
        <v>8.3384</v>
      </c>
      <c r="G9">
        <f>'car specs'!H21</f>
        <v>9.69</v>
      </c>
    </row>
    <row r="10" spans="1:7" x14ac:dyDescent="0.25">
      <c r="B10" t="s">
        <v>6</v>
      </c>
      <c r="C10" t="s">
        <v>16</v>
      </c>
      <c r="D10" s="7">
        <f>'car specs'!D19</f>
        <v>114.9943926</v>
      </c>
      <c r="E10" s="7">
        <f>'car specs'!F19</f>
        <v>167.686916</v>
      </c>
      <c r="F10" s="7">
        <f>'car specs'!G19</f>
        <v>214.68831790000002</v>
      </c>
      <c r="G10" s="7">
        <f>'car specs'!H19</f>
        <v>216.14766370000001</v>
      </c>
    </row>
    <row r="11" spans="1:7" x14ac:dyDescent="0.25">
      <c r="B11" t="s">
        <v>7</v>
      </c>
      <c r="C11" t="s">
        <v>9</v>
      </c>
      <c r="D11">
        <v>0.3</v>
      </c>
      <c r="E11">
        <v>0.5</v>
      </c>
      <c r="F11">
        <v>0.6</v>
      </c>
      <c r="G11">
        <v>0.7</v>
      </c>
    </row>
    <row r="12" spans="1:7" x14ac:dyDescent="0.25">
      <c r="B12" t="s">
        <v>6</v>
      </c>
      <c r="C12" t="s">
        <v>9</v>
      </c>
      <c r="D12" s="2">
        <f>D10*200000/1000/1000</f>
        <v>22.998878519999998</v>
      </c>
      <c r="E12" s="2">
        <f t="shared" ref="E12:G12" si="2">E10*200000/1000/1000</f>
        <v>33.537383199999994</v>
      </c>
      <c r="F12" s="2">
        <f t="shared" si="2"/>
        <v>42.937663580000006</v>
      </c>
      <c r="G12" s="2">
        <f t="shared" si="2"/>
        <v>43.229532740000003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596D-5CE4-4504-93FB-8542EA3EC15C}">
  <sheetPr>
    <tabColor theme="9" tint="0.59999389629810485"/>
  </sheetPr>
  <dimension ref="A1:H3"/>
  <sheetViews>
    <sheetView workbookViewId="0">
      <selection activeCell="H19" sqref="H19"/>
    </sheetView>
    <sheetView workbookViewId="1">
      <selection activeCell="H19" sqref="H19"/>
    </sheetView>
  </sheetViews>
  <sheetFormatPr defaultRowHeight="15" x14ac:dyDescent="0.25"/>
  <cols>
    <col min="1" max="1" width="13.5703125" bestFit="1" customWidth="1"/>
    <col min="2" max="2" width="4.42578125" bestFit="1" customWidth="1"/>
    <col min="3" max="3" width="20.5703125" bestFit="1" customWidth="1"/>
    <col min="4" max="4" width="9.5703125" customWidth="1"/>
    <col min="5" max="8" width="10.42578125" customWidth="1"/>
  </cols>
  <sheetData>
    <row r="1" spans="1:8" x14ac:dyDescent="0.25">
      <c r="E1" t="str">
        <f>Sheet1!D1</f>
        <v>A</v>
      </c>
      <c r="F1" t="str">
        <f>Sheet1!E1</f>
        <v>C</v>
      </c>
      <c r="G1" t="str">
        <f>Sheet1!F1</f>
        <v>JC</v>
      </c>
      <c r="H1" t="str">
        <f>Sheet1!G1</f>
        <v>JE</v>
      </c>
    </row>
    <row r="2" spans="1:8" x14ac:dyDescent="0.25">
      <c r="A2" t="s">
        <v>121</v>
      </c>
      <c r="B2" t="s">
        <v>4</v>
      </c>
      <c r="C2" t="s">
        <v>13</v>
      </c>
      <c r="D2" t="s">
        <v>10</v>
      </c>
      <c r="E2">
        <f>65*Sheet1!D$2</f>
        <v>2392</v>
      </c>
      <c r="F2">
        <f>65*Sheet1!E$2</f>
        <v>4030</v>
      </c>
      <c r="G2">
        <f>65*Sheet1!F$2</f>
        <v>5330</v>
      </c>
      <c r="H2">
        <f>65*Sheet1!G$2</f>
        <v>6175</v>
      </c>
    </row>
    <row r="3" spans="1:8" x14ac:dyDescent="0.25">
      <c r="A3" t="s">
        <v>122</v>
      </c>
      <c r="B3" t="s">
        <v>4</v>
      </c>
      <c r="C3" t="s">
        <v>13</v>
      </c>
      <c r="D3" t="s">
        <v>10</v>
      </c>
      <c r="E3">
        <f>114.5*Sheet1!D$2</f>
        <v>4213.5999999999995</v>
      </c>
      <c r="F3">
        <f>114.5*Sheet1!E$2</f>
        <v>7099</v>
      </c>
      <c r="G3">
        <f>114.5*Sheet1!F$2</f>
        <v>9389</v>
      </c>
      <c r="H3">
        <f>114.5*Sheet1!G$2</f>
        <v>10877.5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7DD5-4CCB-468E-A550-C45FDC40C8C5}">
  <sheetPr>
    <tabColor theme="9" tint="0.59999389629810485"/>
  </sheetPr>
  <dimension ref="A1:Y74"/>
  <sheetViews>
    <sheetView tabSelected="1" workbookViewId="0">
      <selection activeCell="H32" sqref="H32"/>
    </sheetView>
    <sheetView workbookViewId="1">
      <selection activeCell="B38" sqref="B38"/>
    </sheetView>
  </sheetViews>
  <sheetFormatPr defaultRowHeight="15" x14ac:dyDescent="0.25"/>
  <cols>
    <col min="2" max="2" width="45.42578125" customWidth="1"/>
    <col min="3" max="3" width="11" customWidth="1"/>
    <col min="4" max="9" width="10.5703125" bestFit="1" customWidth="1"/>
    <col min="10" max="10" width="11.5703125" bestFit="1" customWidth="1"/>
  </cols>
  <sheetData>
    <row r="1" spans="1:25" s="10" customFormat="1" ht="60" x14ac:dyDescent="0.25">
      <c r="D1" s="10" t="s">
        <v>169</v>
      </c>
      <c r="E1" s="20" t="s">
        <v>170</v>
      </c>
      <c r="F1" s="20" t="s">
        <v>66</v>
      </c>
      <c r="G1" s="24" t="s">
        <v>171</v>
      </c>
      <c r="H1" s="10" t="s">
        <v>172</v>
      </c>
      <c r="I1" s="20" t="s">
        <v>180</v>
      </c>
      <c r="J1" s="20" t="s">
        <v>181</v>
      </c>
      <c r="L1" s="30"/>
      <c r="M1" s="31"/>
      <c r="N1" s="31"/>
      <c r="O1" s="31"/>
      <c r="P1" s="31"/>
      <c r="Q1" s="31"/>
      <c r="R1" s="31"/>
      <c r="S1" s="31"/>
      <c r="T1" s="31"/>
      <c r="U1" s="31"/>
      <c r="V1" s="31" t="s">
        <v>217</v>
      </c>
      <c r="W1" s="31"/>
      <c r="X1" s="31"/>
      <c r="Y1" s="32"/>
    </row>
    <row r="2" spans="1:25" x14ac:dyDescent="0.25">
      <c r="D2" t="s">
        <v>0</v>
      </c>
      <c r="E2" s="5" t="s">
        <v>0</v>
      </c>
      <c r="F2" s="5" t="s">
        <v>1</v>
      </c>
      <c r="G2" s="1" t="s">
        <v>2</v>
      </c>
      <c r="H2" t="s">
        <v>3</v>
      </c>
      <c r="I2" s="5" t="s">
        <v>185</v>
      </c>
      <c r="J2" s="5" t="s">
        <v>186</v>
      </c>
      <c r="L2" s="33"/>
      <c r="M2" s="34" t="s">
        <v>124</v>
      </c>
      <c r="N2" s="34" t="s">
        <v>125</v>
      </c>
      <c r="O2" s="34" t="s">
        <v>126</v>
      </c>
      <c r="P2" s="34" t="s">
        <v>127</v>
      </c>
      <c r="Q2" s="34"/>
      <c r="R2" s="34" t="s">
        <v>128</v>
      </c>
      <c r="S2" s="34"/>
      <c r="T2" s="34"/>
      <c r="U2" s="34"/>
      <c r="V2" s="34"/>
      <c r="W2" s="34"/>
      <c r="X2" s="34" t="s">
        <v>129</v>
      </c>
      <c r="Y2" s="35"/>
    </row>
    <row r="3" spans="1:25" x14ac:dyDescent="0.25">
      <c r="A3" t="s">
        <v>4</v>
      </c>
      <c r="B3" t="s">
        <v>22</v>
      </c>
      <c r="D3">
        <v>16.7</v>
      </c>
      <c r="E3" s="5">
        <v>36.799999999999997</v>
      </c>
      <c r="F3" s="5">
        <f>'2020 models'!B7</f>
        <v>62</v>
      </c>
      <c r="G3" s="1">
        <v>70</v>
      </c>
      <c r="H3">
        <v>100</v>
      </c>
      <c r="I3" s="5">
        <v>82</v>
      </c>
      <c r="J3" s="5">
        <v>95</v>
      </c>
      <c r="L3" s="33" t="s">
        <v>8</v>
      </c>
      <c r="M3" s="34" t="s">
        <v>0</v>
      </c>
      <c r="N3" s="34">
        <v>935</v>
      </c>
      <c r="O3" s="34">
        <v>3.9</v>
      </c>
      <c r="P3" s="34">
        <f>O3*N3/1000</f>
        <v>3.6465000000000001</v>
      </c>
      <c r="Q3" s="34">
        <f>P3/N3</f>
        <v>3.9000000000000003E-3</v>
      </c>
      <c r="R3" s="34">
        <v>0.3</v>
      </c>
      <c r="S3" s="34">
        <f>R3*1000/N3</f>
        <v>0.32085561497326204</v>
      </c>
      <c r="T3" s="34"/>
      <c r="U3" s="34">
        <f>R3-N3/1000*$V$3</f>
        <v>-4.5950000000000046E-2</v>
      </c>
      <c r="V3" s="36">
        <v>0.37</v>
      </c>
      <c r="W3" s="34"/>
      <c r="X3" s="34">
        <f>$V$3*N3/1000</f>
        <v>0.34594999999999998</v>
      </c>
      <c r="Y3" s="35"/>
    </row>
    <row r="4" spans="1:25" x14ac:dyDescent="0.25">
      <c r="B4" t="s">
        <v>203</v>
      </c>
      <c r="D4">
        <v>1110</v>
      </c>
      <c r="E4" s="5">
        <f>'2020 models'!E26</f>
        <v>1160</v>
      </c>
      <c r="F4" s="5">
        <f>'2020 models'!E7</f>
        <v>1686</v>
      </c>
      <c r="G4" s="1">
        <v>1849</v>
      </c>
      <c r="H4">
        <v>2299</v>
      </c>
      <c r="I4" s="5">
        <f>'2020 models'!E46</f>
        <v>2149</v>
      </c>
      <c r="J4" s="5">
        <f>'2020 models'!E29</f>
        <v>2620</v>
      </c>
      <c r="L4" s="33"/>
      <c r="M4" s="34" t="s">
        <v>1</v>
      </c>
      <c r="N4" s="34">
        <v>1259</v>
      </c>
      <c r="O4" s="34">
        <v>4.3</v>
      </c>
      <c r="P4" s="34">
        <f t="shared" ref="P4:P6" si="0">O4*N4/1000</f>
        <v>5.4136999999999995</v>
      </c>
      <c r="Q4" s="34"/>
      <c r="R4" s="34">
        <v>0.5</v>
      </c>
      <c r="S4" s="34">
        <f t="shared" ref="S4:S6" si="1">R4*1000/N4</f>
        <v>0.39714058776806987</v>
      </c>
      <c r="T4" s="34"/>
      <c r="U4" s="34">
        <f>R4-N4/1000*$V$3</f>
        <v>3.4170000000000034E-2</v>
      </c>
      <c r="V4" s="34"/>
      <c r="W4" s="34"/>
      <c r="X4" s="34">
        <f>$V$3*N4/1000</f>
        <v>0.46582999999999997</v>
      </c>
      <c r="Y4" s="35"/>
    </row>
    <row r="5" spans="1:25" x14ac:dyDescent="0.25">
      <c r="B5" t="s">
        <v>21</v>
      </c>
      <c r="D5">
        <v>920</v>
      </c>
      <c r="E5" s="5">
        <f>'2020 models'!G26</f>
        <v>912</v>
      </c>
      <c r="F5" s="5">
        <f>'2020 models'!G7</f>
        <v>1246</v>
      </c>
      <c r="G5" s="1">
        <v>1530</v>
      </c>
      <c r="H5">
        <f>1669</f>
        <v>1669</v>
      </c>
      <c r="I5" s="5">
        <f>'2020 models'!G46</f>
        <v>1656</v>
      </c>
      <c r="J5" s="5">
        <f>'2020 models'!G29</f>
        <v>1919.4780000000001</v>
      </c>
      <c r="K5">
        <f>I5-75</f>
        <v>1581</v>
      </c>
      <c r="L5" s="33"/>
      <c r="M5" s="34" t="s">
        <v>2</v>
      </c>
      <c r="N5" s="34">
        <v>1528</v>
      </c>
      <c r="O5" s="34">
        <v>5.6</v>
      </c>
      <c r="P5" s="34">
        <f t="shared" si="0"/>
        <v>8.5567999999999991</v>
      </c>
      <c r="Q5" s="34"/>
      <c r="R5" s="34">
        <v>0.6</v>
      </c>
      <c r="S5" s="34">
        <f>R5*1000/N5</f>
        <v>0.39267015706806285</v>
      </c>
      <c r="T5" s="34"/>
      <c r="U5" s="34">
        <f>R5-N5/1000*$V$3</f>
        <v>3.4640000000000004E-2</v>
      </c>
      <c r="V5" s="34"/>
      <c r="W5" s="34"/>
      <c r="X5" s="34">
        <f>$V$3*N5/1000</f>
        <v>0.56535999999999997</v>
      </c>
      <c r="Y5" s="35"/>
    </row>
    <row r="6" spans="1:25" x14ac:dyDescent="0.25">
      <c r="B6" t="s">
        <v>196</v>
      </c>
      <c r="D6" s="8">
        <f>0.005*D5+0.2243</f>
        <v>4.8243000000000009</v>
      </c>
      <c r="E6" s="18">
        <f t="shared" ref="E6:J6" si="2">0.005*E5+0.2243</f>
        <v>4.7843000000000009</v>
      </c>
      <c r="F6" s="18">
        <f t="shared" si="2"/>
        <v>6.4543000000000008</v>
      </c>
      <c r="G6" s="8">
        <f t="shared" si="2"/>
        <v>7.8743000000000007</v>
      </c>
      <c r="H6" s="8">
        <f t="shared" si="2"/>
        <v>8.5693000000000001</v>
      </c>
      <c r="I6" s="18">
        <f>0.005*I5+0.2243</f>
        <v>8.5042999999999989</v>
      </c>
      <c r="J6" s="18">
        <f t="shared" si="2"/>
        <v>9.8216900000000003</v>
      </c>
      <c r="L6" s="33"/>
      <c r="M6" s="34" t="s">
        <v>3</v>
      </c>
      <c r="N6" s="34">
        <v>1852</v>
      </c>
      <c r="O6" s="34">
        <v>5.7</v>
      </c>
      <c r="P6" s="34">
        <f t="shared" si="0"/>
        <v>10.5564</v>
      </c>
      <c r="Q6" s="34"/>
      <c r="R6" s="34">
        <v>0.7</v>
      </c>
      <c r="S6" s="34">
        <f t="shared" si="1"/>
        <v>0.37796976241900648</v>
      </c>
      <c r="T6" s="34"/>
      <c r="U6" s="34">
        <f>R6-N6/1000*$V$3</f>
        <v>1.4759999999999884E-2</v>
      </c>
      <c r="V6" s="34"/>
      <c r="W6" s="34"/>
      <c r="X6" s="34">
        <f>$V$3*N6/1000</f>
        <v>0.68523999999999996</v>
      </c>
      <c r="Y6" s="35"/>
    </row>
    <row r="7" spans="1:25" x14ac:dyDescent="0.25">
      <c r="B7" t="s">
        <v>130</v>
      </c>
      <c r="D7" s="8">
        <f>D5*$V$12/1000</f>
        <v>0.41295862607338019</v>
      </c>
      <c r="E7" s="18">
        <f>E5*$V$12/1000</f>
        <v>0.40936768149882902</v>
      </c>
      <c r="F7" s="18">
        <f>F5*$V$12/1000</f>
        <v>0.55928961748633876</v>
      </c>
      <c r="G7" s="25">
        <f>G5*$V$12/1000</f>
        <v>0.68676814988290402</v>
      </c>
      <c r="H7" s="8">
        <f>H5*$V$12/1000</f>
        <v>0.74916081186572991</v>
      </c>
      <c r="I7" s="18">
        <f>I5*$V$12/1000</f>
        <v>0.74332552693208431</v>
      </c>
      <c r="J7" s="18">
        <f>J5*$V$12/1000</f>
        <v>0.8615923887587823</v>
      </c>
      <c r="L7" s="33"/>
      <c r="M7" s="34"/>
      <c r="N7" s="34"/>
      <c r="O7" s="34"/>
      <c r="P7" s="34"/>
      <c r="Q7" s="34"/>
      <c r="R7" s="34"/>
      <c r="S7" s="34"/>
      <c r="T7" s="34"/>
      <c r="U7" s="34">
        <f>SUM(U3:U6)</f>
        <v>3.7619999999999876E-2</v>
      </c>
      <c r="V7" s="34"/>
      <c r="W7" s="34"/>
      <c r="X7" s="34">
        <f>$V$3*N13/1000</f>
        <v>0.46138999999999997</v>
      </c>
      <c r="Y7" s="35"/>
    </row>
    <row r="8" spans="1:25" x14ac:dyDescent="0.25">
      <c r="B8" t="s">
        <v>131</v>
      </c>
      <c r="D8" s="8">
        <f>(D4-D5)*$V$17/1000</f>
        <v>6.9040697674418589E-2</v>
      </c>
      <c r="E8" s="18">
        <f>(E4-E5)*$V$17/1000</f>
        <v>9.0116279069767449E-2</v>
      </c>
      <c r="F8" s="18">
        <f>(F4-F5)*$V$17/1000</f>
        <v>0.15988372093023256</v>
      </c>
      <c r="G8" s="25">
        <f>(G4-G5)*$V$17/1000</f>
        <v>0.11591569767441859</v>
      </c>
      <c r="H8" s="8">
        <f>(H4-H5)*$V$17/1000</f>
        <v>0.22892441860465115</v>
      </c>
      <c r="I8" s="18">
        <f>(I4-I5)*$V$17/1000</f>
        <v>0.1791424418604651</v>
      </c>
      <c r="J8" s="18">
        <f>(J4-J5)*$V$17/1000</f>
        <v>0.25455014534883719</v>
      </c>
      <c r="L8" s="33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5"/>
    </row>
    <row r="9" spans="1:25" x14ac:dyDescent="0.25">
      <c r="B9" t="s">
        <v>132</v>
      </c>
      <c r="D9" s="8">
        <f>SUM(D7:D8)</f>
        <v>0.48199932374779875</v>
      </c>
      <c r="E9" s="18">
        <f>SUM(E7:E8)</f>
        <v>0.49948396056859645</v>
      </c>
      <c r="F9" s="18">
        <f t="shared" ref="F9:J9" si="3">SUM(F7:F8)</f>
        <v>0.71917333841657127</v>
      </c>
      <c r="G9" s="25">
        <f t="shared" si="3"/>
        <v>0.80268384755732258</v>
      </c>
      <c r="H9" s="8">
        <f>SUM(H7:H8)</f>
        <v>0.9780852304703811</v>
      </c>
      <c r="I9" s="18">
        <f>SUM(I7:I8)</f>
        <v>0.92246796879254944</v>
      </c>
      <c r="J9" s="18">
        <f t="shared" si="3"/>
        <v>1.1161425341076194</v>
      </c>
      <c r="L9" s="33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1:25" ht="90" x14ac:dyDescent="0.25">
      <c r="D10" s="10" t="s">
        <v>169</v>
      </c>
      <c r="E10" s="20" t="s">
        <v>205</v>
      </c>
      <c r="F10" s="20" t="s">
        <v>206</v>
      </c>
      <c r="G10" s="24" t="s">
        <v>207</v>
      </c>
      <c r="H10" s="10" t="s">
        <v>184</v>
      </c>
      <c r="I10" s="20" t="s">
        <v>187</v>
      </c>
      <c r="J10" s="20" t="s">
        <v>208</v>
      </c>
      <c r="L10" s="33"/>
      <c r="M10" s="34"/>
      <c r="N10" s="34"/>
      <c r="O10" s="34"/>
      <c r="P10" s="34"/>
      <c r="Q10" s="34"/>
      <c r="R10" s="34"/>
      <c r="S10" s="34"/>
      <c r="T10" s="34"/>
      <c r="U10" s="34"/>
      <c r="V10" s="37" t="s">
        <v>217</v>
      </c>
      <c r="W10" s="34"/>
      <c r="X10" s="34"/>
      <c r="Y10" s="35"/>
    </row>
    <row r="11" spans="1:25" x14ac:dyDescent="0.25">
      <c r="A11" t="s">
        <v>8</v>
      </c>
      <c r="B11" t="s">
        <v>203</v>
      </c>
      <c r="D11">
        <v>890</v>
      </c>
      <c r="E11" s="5">
        <f t="shared" ref="E11:E13" si="4">E26</f>
        <v>916</v>
      </c>
      <c r="F11" s="5">
        <f>1315-75</f>
        <v>1240</v>
      </c>
      <c r="G11" s="1">
        <f>1564-75</f>
        <v>1489</v>
      </c>
      <c r="H11">
        <v>1700</v>
      </c>
      <c r="I11" s="5">
        <v>1628</v>
      </c>
      <c r="J11" s="5">
        <v>1985</v>
      </c>
      <c r="L11" s="33"/>
      <c r="M11" s="34"/>
      <c r="N11" s="34"/>
      <c r="O11" s="34" t="s">
        <v>126</v>
      </c>
      <c r="P11" s="34" t="s">
        <v>127</v>
      </c>
      <c r="Q11" s="34"/>
      <c r="R11" s="34" t="s">
        <v>218</v>
      </c>
      <c r="S11" s="34"/>
      <c r="T11" s="34"/>
      <c r="U11" s="34"/>
      <c r="V11" s="34"/>
      <c r="W11" s="34"/>
      <c r="X11" s="34"/>
      <c r="Y11" s="35"/>
    </row>
    <row r="12" spans="1:25" x14ac:dyDescent="0.25">
      <c r="B12" t="s">
        <v>44</v>
      </c>
      <c r="C12" t="s">
        <v>47</v>
      </c>
      <c r="D12">
        <v>93</v>
      </c>
      <c r="E12" s="5">
        <f t="shared" si="4"/>
        <v>119.85</v>
      </c>
      <c r="F12" s="5">
        <f>AVERAGE(122,149)</f>
        <v>135.5</v>
      </c>
      <c r="G12" s="1">
        <f>AVERAGE(164, 183.3)</f>
        <v>173.65</v>
      </c>
      <c r="H12">
        <f>AVERAGE(188,159)</f>
        <v>173.5</v>
      </c>
      <c r="I12" s="5">
        <v>194</v>
      </c>
      <c r="J12" s="5">
        <f>AVERAGE(283, 259)</f>
        <v>271</v>
      </c>
      <c r="L12" s="33" t="s">
        <v>4</v>
      </c>
      <c r="M12" s="34" t="s">
        <v>0</v>
      </c>
      <c r="N12" s="34">
        <v>923</v>
      </c>
      <c r="O12" s="34">
        <f>P12/(N12/1000)</f>
        <v>5.2004333694474534</v>
      </c>
      <c r="P12" s="34">
        <v>4.8</v>
      </c>
      <c r="Q12" s="34"/>
      <c r="R12" s="34">
        <v>0.4</v>
      </c>
      <c r="S12" s="34">
        <f>R12*1000/N12</f>
        <v>0.4333694474539545</v>
      </c>
      <c r="T12" s="34"/>
      <c r="U12" s="34">
        <f>R12-N12/1000*$V$12</f>
        <v>-1.4305230288836845E-2</v>
      </c>
      <c r="V12" s="36">
        <v>0.44886807181889149</v>
      </c>
      <c r="W12" s="34"/>
      <c r="X12" s="34">
        <f>$V$12*N12/1000</f>
        <v>0.41430523028883687</v>
      </c>
      <c r="Y12" s="35"/>
    </row>
    <row r="13" spans="1:25" x14ac:dyDescent="0.25">
      <c r="B13" t="s">
        <v>45</v>
      </c>
      <c r="C13" t="s">
        <v>46</v>
      </c>
      <c r="D13">
        <v>4.0999999999999996</v>
      </c>
      <c r="E13" s="5">
        <f t="shared" si="4"/>
        <v>5.3</v>
      </c>
      <c r="F13" s="5">
        <f>AVERAGE(5.4,6.6)</f>
        <v>6</v>
      </c>
      <c r="G13" s="1">
        <f>AVERAGE(7.2,8.1)</f>
        <v>7.65</v>
      </c>
      <c r="H13">
        <f>AVERAGE(8.5,7.4)</f>
        <v>7.95</v>
      </c>
      <c r="I13" s="5">
        <v>8.6</v>
      </c>
      <c r="J13" s="5">
        <f>AVERAGE(12.5, 11.5)</f>
        <v>12</v>
      </c>
      <c r="L13" s="33"/>
      <c r="M13" s="34" t="s">
        <v>1</v>
      </c>
      <c r="N13" s="34">
        <v>1247</v>
      </c>
      <c r="O13" s="34">
        <f t="shared" ref="O13:O15" si="5">P13/(N13/1000)</f>
        <v>5.212510024057738</v>
      </c>
      <c r="P13" s="34">
        <v>6.5</v>
      </c>
      <c r="Q13" s="34"/>
      <c r="R13" s="34">
        <v>0.6</v>
      </c>
      <c r="S13" s="34">
        <f>R13*1000/N13</f>
        <v>0.48115477145148355</v>
      </c>
      <c r="T13" s="34"/>
      <c r="U13" s="34">
        <f t="shared" ref="U13:U15" si="6">R13-N13/1000*$V$12</f>
        <v>4.0261514441842228E-2</v>
      </c>
      <c r="V13" s="34"/>
      <c r="W13" s="34"/>
      <c r="X13" s="34">
        <f t="shared" ref="X13:X15" si="7">$V$12*N13/1000</f>
        <v>0.55973848555815764</v>
      </c>
      <c r="Y13" s="35"/>
    </row>
    <row r="14" spans="1:25" x14ac:dyDescent="0.25">
      <c r="B14" t="s">
        <v>199</v>
      </c>
      <c r="C14" s="9" t="s">
        <v>16</v>
      </c>
      <c r="D14" s="21">
        <f>D13*$P$37*$P$40/100</f>
        <v>19.350360000000002</v>
      </c>
      <c r="E14" s="22">
        <f>E13*$P$37*$P$40/100</f>
        <v>25.013880000000004</v>
      </c>
      <c r="F14" s="22">
        <f>F13*$P$37*$P$40/100</f>
        <v>28.317600000000002</v>
      </c>
      <c r="G14" s="26">
        <f>G13*$P$37*$P$40/100</f>
        <v>36.104940000000013</v>
      </c>
      <c r="H14" s="21">
        <f>H13*$P$37*$P$40/100</f>
        <v>37.520820000000008</v>
      </c>
      <c r="I14" s="22">
        <f t="shared" ref="I14:J14" si="8">I13*$P$37*$P$40/100</f>
        <v>40.588560000000001</v>
      </c>
      <c r="J14" s="22">
        <f t="shared" si="8"/>
        <v>56.635200000000005</v>
      </c>
      <c r="L14" s="33"/>
      <c r="M14" s="34" t="s">
        <v>2</v>
      </c>
      <c r="N14" s="34">
        <v>1407</v>
      </c>
      <c r="O14" s="34">
        <f t="shared" si="5"/>
        <v>4.9751243781094523</v>
      </c>
      <c r="P14" s="34">
        <v>7</v>
      </c>
      <c r="Q14" s="34"/>
      <c r="R14" s="34">
        <v>0.6</v>
      </c>
      <c r="S14" s="34">
        <f>R14*1000/N14</f>
        <v>0.42643923240938164</v>
      </c>
      <c r="T14" s="34"/>
      <c r="U14" s="34">
        <f t="shared" si="6"/>
        <v>-3.155737704918038E-2</v>
      </c>
      <c r="V14" s="34"/>
      <c r="W14" s="34"/>
      <c r="X14" s="34">
        <f t="shared" si="7"/>
        <v>0.63155737704918036</v>
      </c>
      <c r="Y14" s="35"/>
    </row>
    <row r="15" spans="1:25" x14ac:dyDescent="0.25">
      <c r="B15" t="s">
        <v>51</v>
      </c>
      <c r="C15" t="s">
        <v>16</v>
      </c>
      <c r="D15" s="2">
        <f>D13*$P$45*$P$48/100</f>
        <v>21.994392599999998</v>
      </c>
      <c r="E15" s="19">
        <f>E13*$P$45*$P$48/100</f>
        <v>28.431775799999997</v>
      </c>
      <c r="F15" s="19">
        <f>F13*$P$45*$P$48/100</f>
        <v>32.186915999999997</v>
      </c>
      <c r="G15" s="27">
        <f>G13*$P$45*$P$48/100</f>
        <v>41.038317900000003</v>
      </c>
      <c r="H15" s="2">
        <f>H13*$P$45*$P$48/100</f>
        <v>42.647663699999995</v>
      </c>
      <c r="I15" s="19">
        <f t="shared" ref="I15:J15" si="9">I13*$P$45*$P$48/100</f>
        <v>46.134579599999995</v>
      </c>
      <c r="J15" s="19">
        <f t="shared" si="9"/>
        <v>64.373831999999993</v>
      </c>
      <c r="L15" s="33"/>
      <c r="M15" s="34" t="s">
        <v>3</v>
      </c>
      <c r="N15" s="34">
        <v>1547</v>
      </c>
      <c r="O15" s="34">
        <f t="shared" si="5"/>
        <v>5.171299288946348</v>
      </c>
      <c r="P15" s="34">
        <v>8</v>
      </c>
      <c r="Q15" s="34"/>
      <c r="R15" s="34">
        <v>0.7</v>
      </c>
      <c r="S15" s="34">
        <f>R15*1000/N15</f>
        <v>0.45248868778280543</v>
      </c>
      <c r="T15" s="34"/>
      <c r="U15" s="34">
        <f t="shared" si="6"/>
        <v>5.6010928961748307E-3</v>
      </c>
      <c r="V15" s="34"/>
      <c r="W15" s="34"/>
      <c r="X15" s="34">
        <f t="shared" si="7"/>
        <v>0.69439890710382512</v>
      </c>
      <c r="Y15" s="35"/>
    </row>
    <row r="16" spans="1:25" x14ac:dyDescent="0.25">
      <c r="B16" t="s">
        <v>123</v>
      </c>
      <c r="C16" t="s">
        <v>54</v>
      </c>
      <c r="D16" s="2">
        <f>D13/100*$P$45</f>
        <v>1.2937877999999998</v>
      </c>
      <c r="E16" s="19">
        <f>E13/100*$P$45</f>
        <v>1.6724573999999999</v>
      </c>
      <c r="F16" s="19">
        <f>F13/100*$P$45</f>
        <v>1.8933479999999998</v>
      </c>
      <c r="G16" s="27">
        <f>G13/100*$P$45</f>
        <v>2.4140186999999997</v>
      </c>
      <c r="H16" s="2">
        <f>H13/100*$P$45</f>
        <v>2.5086860999999998</v>
      </c>
      <c r="I16" s="19">
        <f t="shared" ref="I16:J16" si="10">I13/100*$P$45</f>
        <v>2.7137987999999997</v>
      </c>
      <c r="J16" s="19">
        <f t="shared" si="10"/>
        <v>3.7866959999999996</v>
      </c>
      <c r="L16" s="33"/>
      <c r="M16" s="34"/>
      <c r="N16" s="34"/>
      <c r="O16" s="34"/>
      <c r="P16" s="34"/>
      <c r="Q16" s="34"/>
      <c r="R16" s="34" t="s">
        <v>219</v>
      </c>
      <c r="S16" s="34"/>
      <c r="T16" s="34"/>
      <c r="U16" s="34">
        <f>SUM(U12:U15)</f>
        <v>-1.6653345369377348E-16</v>
      </c>
      <c r="V16" s="34"/>
      <c r="W16" s="34"/>
      <c r="X16" s="34"/>
      <c r="Y16" s="35"/>
    </row>
    <row r="17" spans="2:25" x14ac:dyDescent="0.25">
      <c r="C17" t="s">
        <v>11</v>
      </c>
      <c r="D17" s="2">
        <f>D16/3.6*1000</f>
        <v>359.38549999999998</v>
      </c>
      <c r="E17" s="19">
        <f>E16/3.6*1000</f>
        <v>464.57149999999996</v>
      </c>
      <c r="F17" s="19">
        <f t="shared" ref="F17:H17" si="11">F16/3.6*1000</f>
        <v>525.92999999999995</v>
      </c>
      <c r="G17" s="27">
        <f t="shared" si="11"/>
        <v>670.56074999999987</v>
      </c>
      <c r="H17" s="2">
        <f t="shared" si="11"/>
        <v>696.85725000000002</v>
      </c>
      <c r="I17" s="19">
        <f t="shared" ref="I17" si="12">I16/3.6*1000</f>
        <v>753.83299999999986</v>
      </c>
      <c r="J17" s="19">
        <f t="shared" ref="J17" si="13">J16/3.6*1000</f>
        <v>1051.8599999999999</v>
      </c>
      <c r="L17" s="33"/>
      <c r="M17" s="34">
        <v>17.7</v>
      </c>
      <c r="N17" s="34">
        <v>177</v>
      </c>
      <c r="O17" s="34"/>
      <c r="P17" s="34"/>
      <c r="Q17" s="34"/>
      <c r="R17" s="34">
        <v>0.1</v>
      </c>
      <c r="S17" s="34">
        <f>R17*1000/N17</f>
        <v>0.56497175141242939</v>
      </c>
      <c r="T17" s="34"/>
      <c r="U17" s="34">
        <f>R17-N17/1000*$V$17</f>
        <v>3.5683139534883737E-2</v>
      </c>
      <c r="V17" s="36">
        <v>0.36337209302325579</v>
      </c>
      <c r="W17" s="34"/>
      <c r="X17" s="34">
        <f>N17*$V$17/1000</f>
        <v>6.4316860465116282E-2</v>
      </c>
      <c r="Y17" s="35"/>
    </row>
    <row r="18" spans="2:25" x14ac:dyDescent="0.25">
      <c r="B18" t="s">
        <v>48</v>
      </c>
      <c r="C18" t="s">
        <v>16</v>
      </c>
      <c r="D18">
        <f>D14+D12</f>
        <v>112.35035999999999</v>
      </c>
      <c r="E18" s="5">
        <f>E14+E12</f>
        <v>144.86387999999999</v>
      </c>
      <c r="F18" s="5">
        <f t="shared" ref="F18:H18" si="14">F14+F12</f>
        <v>163.8176</v>
      </c>
      <c r="G18" s="1">
        <f t="shared" si="14"/>
        <v>209.75494000000003</v>
      </c>
      <c r="H18">
        <f t="shared" si="14"/>
        <v>211.02082000000001</v>
      </c>
      <c r="I18" s="5">
        <f t="shared" ref="I18" si="15">I14+I12</f>
        <v>234.58856</v>
      </c>
      <c r="J18" s="5">
        <f t="shared" ref="J18" si="16">J14+J12</f>
        <v>327.6352</v>
      </c>
      <c r="L18" s="33"/>
      <c r="M18" s="34">
        <v>26.6</v>
      </c>
      <c r="N18" s="34">
        <v>253</v>
      </c>
      <c r="O18" s="34"/>
      <c r="P18" s="34"/>
      <c r="Q18" s="34"/>
      <c r="R18" s="34">
        <v>0.1</v>
      </c>
      <c r="S18" s="34">
        <f>R18*1000/N18</f>
        <v>0.39525691699604742</v>
      </c>
      <c r="T18" s="34"/>
      <c r="U18" s="34">
        <f t="shared" ref="U18:U20" si="17">R18-N18/1000*$V$17</f>
        <v>8.0668604651162878E-3</v>
      </c>
      <c r="V18" s="34"/>
      <c r="W18" s="34"/>
      <c r="X18" s="34">
        <f t="shared" ref="X18:X20" si="18">N18*$V$17/1000</f>
        <v>9.1933139534883718E-2</v>
      </c>
      <c r="Y18" s="35"/>
    </row>
    <row r="19" spans="2:25" x14ac:dyDescent="0.25">
      <c r="B19" t="s">
        <v>51</v>
      </c>
      <c r="D19" s="2">
        <f>SUM(D15,D12)</f>
        <v>114.9943926</v>
      </c>
      <c r="E19" s="5">
        <f>SUM(E15,E12)</f>
        <v>148.28177579999999</v>
      </c>
      <c r="F19" s="5">
        <f>SUM(F15,F12)</f>
        <v>167.686916</v>
      </c>
      <c r="G19" s="1">
        <f>SUM(G15,G12)</f>
        <v>214.68831790000002</v>
      </c>
      <c r="H19">
        <f>SUM(H15,H12)</f>
        <v>216.14766370000001</v>
      </c>
      <c r="I19" s="5">
        <f t="shared" ref="I19:J19" si="19">SUM(I15,I12)</f>
        <v>240.1345796</v>
      </c>
      <c r="J19" s="5">
        <f t="shared" si="19"/>
        <v>335.37383199999999</v>
      </c>
      <c r="L19" s="33"/>
      <c r="M19" s="34">
        <v>42.1</v>
      </c>
      <c r="N19" s="34">
        <v>393</v>
      </c>
      <c r="O19" s="34"/>
      <c r="P19" s="34"/>
      <c r="Q19" s="34"/>
      <c r="R19" s="34">
        <v>0.1</v>
      </c>
      <c r="S19" s="34">
        <f>R19*1000/N19</f>
        <v>0.2544529262086514</v>
      </c>
      <c r="T19" s="34"/>
      <c r="U19" s="34">
        <f t="shared" si="17"/>
        <v>-4.2805232558139533E-2</v>
      </c>
      <c r="V19" s="34"/>
      <c r="W19" s="34"/>
      <c r="X19" s="34">
        <f t="shared" si="18"/>
        <v>0.14280523255813951</v>
      </c>
      <c r="Y19" s="35"/>
    </row>
    <row r="20" spans="2:25" x14ac:dyDescent="0.25">
      <c r="B20" s="9" t="s">
        <v>53</v>
      </c>
      <c r="C20" s="9"/>
      <c r="D20" s="9">
        <f>SUM(73.4,$P$40)*$P$37*D13/100</f>
        <v>122.27184</v>
      </c>
      <c r="E20" s="17">
        <f>SUM(73.4,$P$40)*$P$37*E13/100</f>
        <v>158.05872000000002</v>
      </c>
      <c r="F20" s="17">
        <f>SUM(73.4,$P$40)*$P$37*F13/100</f>
        <v>178.93440000000001</v>
      </c>
      <c r="G20" s="28">
        <f>SUM(73.4,$P$40)*$P$37*G13/100</f>
        <v>228.14136000000002</v>
      </c>
      <c r="H20" s="9">
        <f>SUM(73.4,$P$40)*$P$37*H13/100</f>
        <v>237.08808000000002</v>
      </c>
      <c r="I20" s="17">
        <f t="shared" ref="I20:J20" si="20">SUM(73.4,$P$40)*$P$37*I13/100</f>
        <v>256.47264000000001</v>
      </c>
      <c r="J20" s="17">
        <f t="shared" si="20"/>
        <v>357.86880000000002</v>
      </c>
      <c r="L20" s="33"/>
      <c r="M20" s="34">
        <v>59.9</v>
      </c>
      <c r="N20" s="34">
        <v>553</v>
      </c>
      <c r="O20" s="34"/>
      <c r="P20" s="34"/>
      <c r="Q20" s="34"/>
      <c r="R20" s="34">
        <v>0.2</v>
      </c>
      <c r="S20" s="34">
        <f>R20*1000/N20</f>
        <v>0.36166365280289331</v>
      </c>
      <c r="T20" s="34"/>
      <c r="U20" s="34">
        <f t="shared" si="17"/>
        <v>-9.4476744186045014E-4</v>
      </c>
      <c r="V20" s="34"/>
      <c r="W20" s="34"/>
      <c r="X20" s="34">
        <f t="shared" si="18"/>
        <v>0.20094476744186046</v>
      </c>
      <c r="Y20" s="35"/>
    </row>
    <row r="21" spans="2:25" x14ac:dyDescent="0.25">
      <c r="B21" t="s">
        <v>49</v>
      </c>
      <c r="D21">
        <f>3.9*(D11/1000)</f>
        <v>3.4710000000000001</v>
      </c>
      <c r="E21" s="5">
        <f>3.9*(E11/1000)</f>
        <v>3.5724</v>
      </c>
      <c r="F21" s="5">
        <f>4.3*(F11/1000)</f>
        <v>5.3319999999999999</v>
      </c>
      <c r="G21" s="1">
        <f>5.6*(G11/1000)</f>
        <v>8.3384</v>
      </c>
      <c r="H21">
        <f>5.7*(H11/1000)</f>
        <v>9.69</v>
      </c>
      <c r="I21" s="5">
        <f t="shared" ref="I21:J21" si="21">5.7*(I11/1000)</f>
        <v>9.2796000000000003</v>
      </c>
      <c r="J21" s="5">
        <f t="shared" si="21"/>
        <v>11.314500000000001</v>
      </c>
      <c r="L21" s="33"/>
      <c r="M21" s="34"/>
      <c r="N21" s="34"/>
      <c r="O21" s="34"/>
      <c r="P21" s="34"/>
      <c r="Q21" s="34"/>
      <c r="R21" s="34"/>
      <c r="S21" s="34"/>
      <c r="T21" s="34"/>
      <c r="U21" s="34">
        <f>SUM(U17:U20)</f>
        <v>4.163336342344337E-17</v>
      </c>
      <c r="V21" s="34"/>
      <c r="W21" s="34"/>
      <c r="X21" s="34"/>
      <c r="Y21" s="35"/>
    </row>
    <row r="22" spans="2:25" ht="15.75" thickBot="1" x14ac:dyDescent="0.3">
      <c r="B22" t="s">
        <v>7</v>
      </c>
      <c r="D22">
        <f>D11/1000*$V$3</f>
        <v>0.32929999999999998</v>
      </c>
      <c r="E22" s="5">
        <f>E11/1000*$V$3</f>
        <v>0.33892</v>
      </c>
      <c r="F22" s="5">
        <f>F11/1000*$V$3</f>
        <v>0.45879999999999999</v>
      </c>
      <c r="G22" s="1">
        <f>G11/1000*$V$3</f>
        <v>0.55093000000000003</v>
      </c>
      <c r="H22">
        <f>H11/1000*$V$3</f>
        <v>0.629</v>
      </c>
      <c r="I22" s="5">
        <f t="shared" ref="I22:J22" si="22">I11/1000*$V$3</f>
        <v>0.60236000000000001</v>
      </c>
      <c r="J22" s="5">
        <f t="shared" si="22"/>
        <v>0.73445000000000005</v>
      </c>
      <c r="L22" s="38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40"/>
    </row>
    <row r="23" spans="2:25" x14ac:dyDescent="0.25">
      <c r="B23" t="s">
        <v>198</v>
      </c>
      <c r="D23">
        <f>D12/D13</f>
        <v>22.682926829268293</v>
      </c>
      <c r="E23" s="5">
        <f>E12/E13</f>
        <v>22.613207547169811</v>
      </c>
      <c r="F23" s="5">
        <f t="shared" ref="F23:H23" si="23">F12/F13</f>
        <v>22.583333333333332</v>
      </c>
      <c r="G23" s="1">
        <f t="shared" si="23"/>
        <v>22.699346405228759</v>
      </c>
      <c r="H23">
        <f t="shared" si="23"/>
        <v>21.823899371069182</v>
      </c>
      <c r="I23" s="5">
        <f t="shared" ref="I23:J23" si="24">I12/I13</f>
        <v>22.558139534883722</v>
      </c>
      <c r="J23" s="5">
        <f t="shared" si="24"/>
        <v>22.583333333333332</v>
      </c>
    </row>
    <row r="24" spans="2:25" x14ac:dyDescent="0.25">
      <c r="L24" t="s">
        <v>220</v>
      </c>
    </row>
    <row r="25" spans="2:25" ht="45" x14ac:dyDescent="0.25">
      <c r="B25" t="s">
        <v>197</v>
      </c>
      <c r="E25" t="s">
        <v>195</v>
      </c>
      <c r="F25" s="20" t="s">
        <v>182</v>
      </c>
      <c r="G25" s="24" t="s">
        <v>183</v>
      </c>
      <c r="I25" t="s">
        <v>192</v>
      </c>
      <c r="J25" t="s">
        <v>193</v>
      </c>
      <c r="L25" t="s">
        <v>221</v>
      </c>
      <c r="N25" t="s">
        <v>219</v>
      </c>
      <c r="O25" t="s">
        <v>223</v>
      </c>
    </row>
    <row r="26" spans="2:25" x14ac:dyDescent="0.25">
      <c r="B26" t="s">
        <v>20</v>
      </c>
      <c r="E26">
        <f>991-75</f>
        <v>916</v>
      </c>
      <c r="F26" s="5">
        <v>1351</v>
      </c>
      <c r="G26" s="1">
        <v>1505</v>
      </c>
      <c r="I26">
        <v>1671</v>
      </c>
      <c r="J26">
        <v>1985</v>
      </c>
      <c r="L26" t="s">
        <v>222</v>
      </c>
      <c r="M26">
        <v>13.9</v>
      </c>
      <c r="N26">
        <f>6.3</f>
        <v>6.3</v>
      </c>
      <c r="O26">
        <f>M26-N26</f>
        <v>7.6000000000000005</v>
      </c>
    </row>
    <row r="27" spans="2:25" x14ac:dyDescent="0.25">
      <c r="B27" t="s">
        <v>44</v>
      </c>
      <c r="E27">
        <f>AVERAGE(116,123.7)</f>
        <v>119.85</v>
      </c>
      <c r="F27" s="5">
        <v>145</v>
      </c>
      <c r="G27" s="1">
        <v>143</v>
      </c>
      <c r="I27">
        <f>AVERAGE(225, 230)</f>
        <v>227.5</v>
      </c>
      <c r="J27">
        <f>AVERAGE(221,202)</f>
        <v>211.5</v>
      </c>
    </row>
    <row r="28" spans="2:25" x14ac:dyDescent="0.25">
      <c r="B28" t="s">
        <v>45</v>
      </c>
      <c r="E28">
        <f>AVERAGE(5.1,5.5)</f>
        <v>5.3</v>
      </c>
      <c r="F28" s="5">
        <v>6.4</v>
      </c>
      <c r="G28" s="1">
        <v>6.2</v>
      </c>
      <c r="I28">
        <f>AVERAGE(9.9, 10.2)</f>
        <v>10.050000000000001</v>
      </c>
      <c r="J28">
        <f>AVERAGE(9.7,8.9)</f>
        <v>9.3000000000000007</v>
      </c>
    </row>
    <row r="30" spans="2:25" ht="60" x14ac:dyDescent="0.25">
      <c r="E30" s="20" t="s">
        <v>194</v>
      </c>
      <c r="I30" t="s">
        <v>188</v>
      </c>
    </row>
    <row r="31" spans="2:25" x14ac:dyDescent="0.25">
      <c r="E31" s="5">
        <v>992</v>
      </c>
      <c r="I31">
        <v>1695</v>
      </c>
    </row>
    <row r="32" spans="2:25" x14ac:dyDescent="0.25">
      <c r="E32" s="5" t="s">
        <v>204</v>
      </c>
      <c r="I32">
        <f>AVERAGE(201,187)</f>
        <v>194</v>
      </c>
    </row>
    <row r="33" spans="2:18" x14ac:dyDescent="0.25">
      <c r="E33" s="5">
        <f>AVERAGE(5.5,5.7)</f>
        <v>5.6</v>
      </c>
      <c r="I33">
        <f>AVERAGE(8.2,8.9)</f>
        <v>8.5500000000000007</v>
      </c>
    </row>
    <row r="35" spans="2:18" x14ac:dyDescent="0.25">
      <c r="L35" t="s">
        <v>52</v>
      </c>
      <c r="O35" t="s">
        <v>29</v>
      </c>
      <c r="P35" t="s">
        <v>30</v>
      </c>
      <c r="R35" t="s">
        <v>31</v>
      </c>
    </row>
    <row r="36" spans="2:18" x14ac:dyDescent="0.25">
      <c r="I36" t="s">
        <v>189</v>
      </c>
      <c r="M36" t="s">
        <v>32</v>
      </c>
      <c r="N36" t="s">
        <v>33</v>
      </c>
      <c r="O36">
        <v>3.7</v>
      </c>
      <c r="P36">
        <v>4</v>
      </c>
      <c r="R36" s="4" t="s">
        <v>34</v>
      </c>
    </row>
    <row r="37" spans="2:18" x14ac:dyDescent="0.25">
      <c r="I37">
        <v>1775</v>
      </c>
      <c r="M37" t="s">
        <v>35</v>
      </c>
      <c r="N37" t="s">
        <v>36</v>
      </c>
      <c r="O37">
        <v>38.6</v>
      </c>
      <c r="P37">
        <v>34.200000000000003</v>
      </c>
      <c r="Q37" t="s">
        <v>37</v>
      </c>
    </row>
    <row r="38" spans="2:18" x14ac:dyDescent="0.25">
      <c r="I38">
        <f>AVERAGE(9.6,10.1)</f>
        <v>9.85</v>
      </c>
      <c r="N38" t="s">
        <v>38</v>
      </c>
      <c r="O38">
        <f>O37*O36</f>
        <v>142.82000000000002</v>
      </c>
      <c r="P38">
        <f>P36*P37</f>
        <v>136.80000000000001</v>
      </c>
    </row>
    <row r="39" spans="2:18" x14ac:dyDescent="0.25">
      <c r="I39">
        <f>AVERAGE(229,218)</f>
        <v>223.5</v>
      </c>
      <c r="M39" s="5" t="s">
        <v>39</v>
      </c>
      <c r="N39" s="5" t="s">
        <v>40</v>
      </c>
      <c r="O39" s="6">
        <f>F35/(O38/100)</f>
        <v>0</v>
      </c>
      <c r="P39" s="6">
        <f>F35/(P38/100)</f>
        <v>0</v>
      </c>
      <c r="Q39">
        <f>5.98*P37*P39/100</f>
        <v>0</v>
      </c>
    </row>
    <row r="40" spans="2:18" x14ac:dyDescent="0.25">
      <c r="B40" t="s">
        <v>25</v>
      </c>
      <c r="D40" t="s">
        <v>23</v>
      </c>
      <c r="E40" t="s">
        <v>24</v>
      </c>
      <c r="M40" t="s">
        <v>41</v>
      </c>
      <c r="N40" t="s">
        <v>40</v>
      </c>
      <c r="O40">
        <v>15.4</v>
      </c>
      <c r="P40">
        <v>13.8</v>
      </c>
      <c r="R40" t="s">
        <v>42</v>
      </c>
    </row>
    <row r="41" spans="2:18" x14ac:dyDescent="0.25">
      <c r="D41">
        <v>1457</v>
      </c>
      <c r="E41">
        <v>1308</v>
      </c>
      <c r="I41" t="s">
        <v>190</v>
      </c>
      <c r="M41" s="5" t="s">
        <v>43</v>
      </c>
      <c r="N41" s="5" t="s">
        <v>40</v>
      </c>
      <c r="O41" s="5">
        <f>SUM(O39:O40)</f>
        <v>15.4</v>
      </c>
      <c r="P41" s="5">
        <f>SUM(P39:P40)</f>
        <v>13.8</v>
      </c>
    </row>
    <row r="42" spans="2:18" x14ac:dyDescent="0.25">
      <c r="D42">
        <v>156</v>
      </c>
      <c r="E42">
        <v>124</v>
      </c>
      <c r="I42">
        <v>1690</v>
      </c>
      <c r="L42" t="s">
        <v>51</v>
      </c>
    </row>
    <row r="43" spans="2:18" x14ac:dyDescent="0.25">
      <c r="I43">
        <f>AVERAGE(8.1,7.5)</f>
        <v>7.8</v>
      </c>
      <c r="P43" s="5" t="s">
        <v>30</v>
      </c>
      <c r="Q43" t="s">
        <v>50</v>
      </c>
    </row>
    <row r="44" spans="2:18" x14ac:dyDescent="0.25">
      <c r="I44">
        <f>AVERAGE(184, 170)</f>
        <v>177</v>
      </c>
      <c r="M44" t="s">
        <v>32</v>
      </c>
      <c r="N44" t="s">
        <v>33</v>
      </c>
    </row>
    <row r="45" spans="2:18" x14ac:dyDescent="0.25">
      <c r="B45" t="s">
        <v>26</v>
      </c>
      <c r="D45" t="s">
        <v>27</v>
      </c>
      <c r="M45" t="s">
        <v>35</v>
      </c>
      <c r="N45" t="s">
        <v>36</v>
      </c>
      <c r="P45">
        <f>42.3*0.746</f>
        <v>31.555799999999998</v>
      </c>
    </row>
    <row r="46" spans="2:18" x14ac:dyDescent="0.25">
      <c r="D46">
        <v>1351</v>
      </c>
      <c r="I46" t="s">
        <v>191</v>
      </c>
      <c r="N46" t="s">
        <v>38</v>
      </c>
    </row>
    <row r="47" spans="2:18" x14ac:dyDescent="0.25">
      <c r="D47" t="s">
        <v>28</v>
      </c>
      <c r="I47">
        <v>1695</v>
      </c>
      <c r="M47" s="5" t="s">
        <v>39</v>
      </c>
      <c r="N47" s="5" t="s">
        <v>40</v>
      </c>
      <c r="P47">
        <v>73.3</v>
      </c>
    </row>
    <row r="48" spans="2:18" x14ac:dyDescent="0.25">
      <c r="I48">
        <f>AVERAGE(5.4,6.3)</f>
        <v>5.85</v>
      </c>
      <c r="M48" t="s">
        <v>41</v>
      </c>
      <c r="N48" t="s">
        <v>40</v>
      </c>
      <c r="P48">
        <v>17</v>
      </c>
    </row>
    <row r="49" spans="9:18" x14ac:dyDescent="0.25">
      <c r="I49">
        <f>AVERAGE(164,142)</f>
        <v>153</v>
      </c>
      <c r="M49" s="5" t="s">
        <v>43</v>
      </c>
      <c r="N49" s="5" t="s">
        <v>40</v>
      </c>
    </row>
    <row r="51" spans="9:18" x14ac:dyDescent="0.25">
      <c r="N51" s="5" t="s">
        <v>54</v>
      </c>
      <c r="O51">
        <f>D12/$P$47</f>
        <v>1.2687585266030015</v>
      </c>
      <c r="P51">
        <f>F12/$P$47</f>
        <v>1.848567530695771</v>
      </c>
      <c r="Q51">
        <f>G12/$P$47</f>
        <v>2.3690313778990451</v>
      </c>
      <c r="R51">
        <f>H12/$P$47</f>
        <v>2.3669849931787179</v>
      </c>
    </row>
    <row r="52" spans="9:18" x14ac:dyDescent="0.25">
      <c r="O52">
        <f>O51/42.3/0.746*100</f>
        <v>4.0206824945113153</v>
      </c>
      <c r="P52">
        <f t="shared" ref="P52:R52" si="25">P51/42.3/0.746*100</f>
        <v>5.8580911613578843</v>
      </c>
      <c r="Q52">
        <f t="shared" si="25"/>
        <v>7.5074356470095678</v>
      </c>
      <c r="R52">
        <f t="shared" si="25"/>
        <v>7.5009506752442281</v>
      </c>
    </row>
    <row r="53" spans="9:18" x14ac:dyDescent="0.25">
      <c r="O53">
        <f>D13/O51</f>
        <v>3.2315053763440855</v>
      </c>
      <c r="P53">
        <f>F13/P51</f>
        <v>3.2457564575645752</v>
      </c>
      <c r="Q53">
        <f>G13/Q51</f>
        <v>3.2291678663979271</v>
      </c>
      <c r="R53">
        <f>H13/R51</f>
        <v>3.3587031700288179</v>
      </c>
    </row>
    <row r="65" spans="3:6" x14ac:dyDescent="0.25">
      <c r="C65" t="s">
        <v>120</v>
      </c>
      <c r="D65" t="s">
        <v>176</v>
      </c>
      <c r="E65" t="s">
        <v>177</v>
      </c>
      <c r="F65" t="s">
        <v>178</v>
      </c>
    </row>
    <row r="66" spans="3:6" x14ac:dyDescent="0.25">
      <c r="C66">
        <v>36.799999999999997</v>
      </c>
      <c r="D66">
        <v>51</v>
      </c>
      <c r="E66">
        <v>79</v>
      </c>
      <c r="F66">
        <v>95</v>
      </c>
    </row>
    <row r="67" spans="3:6" x14ac:dyDescent="0.25">
      <c r="C67">
        <v>145</v>
      </c>
      <c r="D67">
        <v>175.5</v>
      </c>
      <c r="E67">
        <v>163</v>
      </c>
      <c r="F67">
        <v>241</v>
      </c>
    </row>
    <row r="68" spans="3:6" x14ac:dyDescent="0.25">
      <c r="C68">
        <v>1235</v>
      </c>
      <c r="D68">
        <v>1668</v>
      </c>
      <c r="E68">
        <v>1931</v>
      </c>
      <c r="F68">
        <v>2645</v>
      </c>
    </row>
    <row r="71" spans="3:6" x14ac:dyDescent="0.25">
      <c r="D71" t="s">
        <v>179</v>
      </c>
      <c r="E71" t="s">
        <v>180</v>
      </c>
    </row>
    <row r="72" spans="3:6" x14ac:dyDescent="0.25">
      <c r="D72">
        <v>54.7</v>
      </c>
      <c r="E72">
        <v>82</v>
      </c>
    </row>
    <row r="73" spans="3:6" x14ac:dyDescent="0.25">
      <c r="D73">
        <v>174</v>
      </c>
      <c r="E73">
        <v>180</v>
      </c>
    </row>
    <row r="74" spans="3:6" x14ac:dyDescent="0.25">
      <c r="D74">
        <v>1577</v>
      </c>
      <c r="E74">
        <v>2049</v>
      </c>
    </row>
  </sheetData>
  <hyperlinks>
    <hyperlink ref="R36" r:id="rId1" xr:uid="{7BB6390C-9861-423D-8D30-D5EAB5B6414D}"/>
  </hyperlinks>
  <pageMargins left="0.7" right="0.7" top="0.75" bottom="0.75" header="0.3" footer="0.3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8226-EE62-48A3-B90B-A28D4879B86C}">
  <sheetPr>
    <tabColor theme="9" tint="0.59999389629810485"/>
  </sheetPr>
  <dimension ref="A2:G35"/>
  <sheetViews>
    <sheetView workbookViewId="0">
      <selection activeCell="J36" sqref="J36"/>
    </sheetView>
    <sheetView workbookViewId="1"/>
  </sheetViews>
  <sheetFormatPr defaultRowHeight="15" x14ac:dyDescent="0.25"/>
  <cols>
    <col min="1" max="1" width="18.85546875" bestFit="1" customWidth="1"/>
    <col min="4" max="4" width="12" bestFit="1" customWidth="1"/>
  </cols>
  <sheetData>
    <row r="2" spans="1:7" x14ac:dyDescent="0.25">
      <c r="A2" t="s">
        <v>10</v>
      </c>
      <c r="B2">
        <f>Sheet1!D2</f>
        <v>36.799999999999997</v>
      </c>
      <c r="C2">
        <f>Sheet1!E2</f>
        <v>62</v>
      </c>
      <c r="D2">
        <f>Sheet1!F2</f>
        <v>82</v>
      </c>
      <c r="E2">
        <f>Sheet1!G2</f>
        <v>95</v>
      </c>
    </row>
    <row r="3" spans="1:7" x14ac:dyDescent="0.25">
      <c r="A3" t="s">
        <v>11</v>
      </c>
      <c r="B3">
        <f>Sheet1!D7</f>
        <v>163</v>
      </c>
      <c r="C3">
        <f>Sheet1!E7</f>
        <v>180</v>
      </c>
      <c r="D3">
        <f>Sheet1!F7</f>
        <v>158</v>
      </c>
      <c r="E3">
        <f>Sheet1!G7</f>
        <v>192</v>
      </c>
    </row>
    <row r="4" spans="1:7" x14ac:dyDescent="0.25">
      <c r="A4" t="s">
        <v>17</v>
      </c>
      <c r="B4">
        <v>2000</v>
      </c>
      <c r="C4">
        <v>2000</v>
      </c>
      <c r="D4">
        <v>2000</v>
      </c>
      <c r="E4">
        <v>2000</v>
      </c>
    </row>
    <row r="5" spans="1:7" x14ac:dyDescent="0.25">
      <c r="A5" t="s">
        <v>18</v>
      </c>
      <c r="B5">
        <f>(AVERAGE(B2,0.8*B2)*1000*B4)/B3</f>
        <v>406380.3680981595</v>
      </c>
      <c r="C5">
        <f t="shared" ref="C5:E5" si="0">(C2*1000*C4)/C3</f>
        <v>688888.88888888888</v>
      </c>
      <c r="D5">
        <f t="shared" si="0"/>
        <v>1037974.6835443038</v>
      </c>
      <c r="E5">
        <f t="shared" si="0"/>
        <v>989583.33333333337</v>
      </c>
    </row>
    <row r="7" spans="1:7" x14ac:dyDescent="0.25">
      <c r="A7" t="s">
        <v>17</v>
      </c>
      <c r="B7">
        <v>1000</v>
      </c>
      <c r="C7">
        <v>1000</v>
      </c>
      <c r="D7">
        <v>1000</v>
      </c>
      <c r="E7">
        <v>1000</v>
      </c>
    </row>
    <row r="8" spans="1:7" x14ac:dyDescent="0.25">
      <c r="A8" t="s">
        <v>18</v>
      </c>
      <c r="B8">
        <f>(B2*1000*B7)/B3</f>
        <v>225766.87116564417</v>
      </c>
      <c r="C8">
        <f t="shared" ref="C8:E8" si="1">(C2*1000*C7)/C3</f>
        <v>344444.44444444444</v>
      </c>
      <c r="D8">
        <f t="shared" si="1"/>
        <v>518987.34177215188</v>
      </c>
      <c r="E8">
        <f t="shared" si="1"/>
        <v>494791.66666666669</v>
      </c>
    </row>
    <row r="15" spans="1:7" x14ac:dyDescent="0.25">
      <c r="A15" t="s">
        <v>8</v>
      </c>
      <c r="B15" t="s">
        <v>15</v>
      </c>
      <c r="C15" t="s">
        <v>9</v>
      </c>
      <c r="D15">
        <v>3.6</v>
      </c>
      <c r="E15">
        <v>5.4</v>
      </c>
      <c r="F15">
        <v>8.5</v>
      </c>
      <c r="G15">
        <v>10.5</v>
      </c>
    </row>
    <row r="16" spans="1:7" x14ac:dyDescent="0.25">
      <c r="B16" t="s">
        <v>6</v>
      </c>
      <c r="C16" t="s">
        <v>16</v>
      </c>
      <c r="D16">
        <v>131.86920980926431</v>
      </c>
      <c r="E16">
        <v>172.14933517964295</v>
      </c>
      <c r="F16">
        <v>194.71006704039544</v>
      </c>
      <c r="G16">
        <v>254.38157840860023</v>
      </c>
    </row>
    <row r="17" spans="2:7" x14ac:dyDescent="0.25">
      <c r="B17" t="s">
        <v>7</v>
      </c>
      <c r="C17" t="s">
        <v>9</v>
      </c>
      <c r="D17">
        <v>0.3</v>
      </c>
      <c r="E17">
        <v>0.5</v>
      </c>
      <c r="F17">
        <v>0.6</v>
      </c>
      <c r="G17">
        <v>0.7</v>
      </c>
    </row>
    <row r="18" spans="2:7" x14ac:dyDescent="0.25">
      <c r="B18" t="s">
        <v>6</v>
      </c>
      <c r="C18" t="s">
        <v>9</v>
      </c>
      <c r="D18">
        <v>23.736457765667577</v>
      </c>
      <c r="E18">
        <v>30.98688033233573</v>
      </c>
      <c r="F18">
        <v>35.047812067271181</v>
      </c>
      <c r="G18">
        <v>45.788684113548037</v>
      </c>
    </row>
    <row r="23" spans="2:7" x14ac:dyDescent="0.25">
      <c r="B23">
        <v>929</v>
      </c>
      <c r="C23">
        <v>3.5</v>
      </c>
      <c r="D23" s="2">
        <f>C23/(B23/1000)</f>
        <v>3.7674919268030136</v>
      </c>
    </row>
    <row r="24" spans="2:7" x14ac:dyDescent="0.25">
      <c r="B24">
        <v>940</v>
      </c>
      <c r="C24">
        <v>3.8</v>
      </c>
      <c r="D24" s="2">
        <f t="shared" ref="D24:D32" si="2">C24/(B24/1000)</f>
        <v>4.042553191489362</v>
      </c>
    </row>
    <row r="25" spans="2:7" x14ac:dyDescent="0.25">
      <c r="B25">
        <v>1205</v>
      </c>
      <c r="C25">
        <v>5.0999999999999996</v>
      </c>
      <c r="D25" s="2">
        <f t="shared" si="2"/>
        <v>4.2323651452282149</v>
      </c>
    </row>
    <row r="26" spans="2:7" x14ac:dyDescent="0.25">
      <c r="B26">
        <v>1240</v>
      </c>
      <c r="C26">
        <v>5.4</v>
      </c>
      <c r="D26" s="2">
        <f t="shared" si="2"/>
        <v>4.3548387096774199</v>
      </c>
    </row>
    <row r="27" spans="2:7" x14ac:dyDescent="0.25">
      <c r="B27">
        <v>1295</v>
      </c>
      <c r="C27">
        <v>6.1</v>
      </c>
      <c r="D27" s="2">
        <f t="shared" si="2"/>
        <v>4.7104247104247108</v>
      </c>
    </row>
    <row r="28" spans="2:7" x14ac:dyDescent="0.25">
      <c r="B28">
        <v>1295</v>
      </c>
      <c r="C28">
        <v>5</v>
      </c>
      <c r="D28" s="2">
        <f t="shared" si="2"/>
        <v>3.8610038610038613</v>
      </c>
    </row>
    <row r="29" spans="2:7" x14ac:dyDescent="0.25">
      <c r="B29">
        <v>1405</v>
      </c>
      <c r="C29">
        <v>8.6999999999999993</v>
      </c>
      <c r="D29" s="2">
        <f t="shared" si="2"/>
        <v>6.1921708185053372</v>
      </c>
    </row>
    <row r="30" spans="2:7" x14ac:dyDescent="0.25">
      <c r="B30">
        <v>1473</v>
      </c>
      <c r="C30">
        <v>7</v>
      </c>
      <c r="D30" s="2">
        <f t="shared" si="2"/>
        <v>4.7522063815342834</v>
      </c>
    </row>
    <row r="31" spans="2:7" x14ac:dyDescent="0.25">
      <c r="B31">
        <v>1572</v>
      </c>
      <c r="C31">
        <v>7.4</v>
      </c>
      <c r="D31" s="2">
        <f t="shared" si="2"/>
        <v>4.7073791348600507</v>
      </c>
    </row>
    <row r="32" spans="2:7" x14ac:dyDescent="0.25">
      <c r="B32">
        <v>1660</v>
      </c>
      <c r="C32">
        <v>10.8</v>
      </c>
      <c r="D32" s="2">
        <f t="shared" si="2"/>
        <v>6.5060240963855431</v>
      </c>
    </row>
    <row r="33" spans="2:4" x14ac:dyDescent="0.25">
      <c r="B33">
        <v>1920</v>
      </c>
      <c r="C33">
        <v>11</v>
      </c>
      <c r="D33" s="2">
        <f>C33/(B33/1000)</f>
        <v>5.729166666666667</v>
      </c>
    </row>
    <row r="34" spans="2:4" x14ac:dyDescent="0.25">
      <c r="B34">
        <v>1880</v>
      </c>
    </row>
    <row r="35" spans="2:4" x14ac:dyDescent="0.25">
      <c r="B35">
        <v>1755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D50B-E94B-4008-ADEC-B62BE7F654B9}">
  <dimension ref="A1:G16"/>
  <sheetViews>
    <sheetView workbookViewId="0">
      <selection activeCell="C16" sqref="C16"/>
    </sheetView>
    <sheetView workbookViewId="1">
      <selection activeCell="G44" sqref="G44"/>
    </sheetView>
  </sheetViews>
  <sheetFormatPr defaultRowHeight="15" x14ac:dyDescent="0.25"/>
  <cols>
    <col min="1" max="1" width="19.42578125" bestFit="1" customWidth="1"/>
    <col min="4" max="4" width="18.85546875" customWidth="1"/>
    <col min="5" max="5" width="31.140625" customWidth="1"/>
    <col min="6" max="6" width="12.140625" customWidth="1"/>
  </cols>
  <sheetData>
    <row r="1" spans="1:7" x14ac:dyDescent="0.25">
      <c r="A1" t="s">
        <v>55</v>
      </c>
    </row>
    <row r="2" spans="1:7" s="10" customFormat="1" ht="60" x14ac:dyDescent="0.25">
      <c r="A2" s="10" t="s">
        <v>56</v>
      </c>
      <c r="B2" s="10" t="s">
        <v>57</v>
      </c>
      <c r="C2" s="10" t="s">
        <v>58</v>
      </c>
      <c r="D2" s="10" t="s">
        <v>59</v>
      </c>
      <c r="E2" s="10" t="s">
        <v>60</v>
      </c>
      <c r="F2" s="10" t="s">
        <v>61</v>
      </c>
    </row>
    <row r="3" spans="1:7" x14ac:dyDescent="0.25">
      <c r="A3" t="s">
        <v>62</v>
      </c>
      <c r="B3">
        <v>274930</v>
      </c>
      <c r="C3" t="s">
        <v>63</v>
      </c>
      <c r="D3" s="11" t="s">
        <v>64</v>
      </c>
      <c r="F3" t="s">
        <v>65</v>
      </c>
    </row>
    <row r="4" spans="1:7" x14ac:dyDescent="0.25">
      <c r="A4" s="12" t="s">
        <v>66</v>
      </c>
      <c r="B4" s="12">
        <v>189151</v>
      </c>
      <c r="C4" s="12" t="s">
        <v>1</v>
      </c>
      <c r="D4" s="12" t="s">
        <v>67</v>
      </c>
      <c r="E4" s="12" t="s">
        <v>68</v>
      </c>
      <c r="F4" s="12" t="s">
        <v>69</v>
      </c>
      <c r="G4" s="12" t="s">
        <v>70</v>
      </c>
    </row>
    <row r="5" spans="1:7" x14ac:dyDescent="0.25">
      <c r="A5" s="12" t="s">
        <v>71</v>
      </c>
      <c r="B5" s="12">
        <v>182697</v>
      </c>
      <c r="C5" s="12" t="s">
        <v>2</v>
      </c>
      <c r="D5" s="12" t="s">
        <v>72</v>
      </c>
      <c r="E5" s="12" t="s">
        <v>73</v>
      </c>
      <c r="F5" s="12" t="s">
        <v>74</v>
      </c>
    </row>
    <row r="6" spans="1:7" x14ac:dyDescent="0.25">
      <c r="A6" t="s">
        <v>75</v>
      </c>
      <c r="B6">
        <v>117100</v>
      </c>
      <c r="C6" t="s">
        <v>1</v>
      </c>
      <c r="D6" s="11">
        <v>35.799999999999997</v>
      </c>
      <c r="F6">
        <v>168</v>
      </c>
    </row>
    <row r="7" spans="1:7" x14ac:dyDescent="0.25">
      <c r="A7" t="s">
        <v>76</v>
      </c>
      <c r="B7">
        <v>113396</v>
      </c>
      <c r="C7" t="s">
        <v>63</v>
      </c>
      <c r="D7" s="11" t="s">
        <v>77</v>
      </c>
      <c r="F7" t="s">
        <v>78</v>
      </c>
    </row>
    <row r="8" spans="1:7" x14ac:dyDescent="0.25">
      <c r="A8" s="12" t="s">
        <v>79</v>
      </c>
      <c r="B8" s="12">
        <v>89403</v>
      </c>
      <c r="C8" s="12" t="s">
        <v>3</v>
      </c>
      <c r="D8" s="12">
        <v>100</v>
      </c>
      <c r="E8" s="12" t="s">
        <v>80</v>
      </c>
      <c r="F8" s="12" t="s">
        <v>81</v>
      </c>
    </row>
    <row r="9" spans="1:7" x14ac:dyDescent="0.25">
      <c r="A9" t="s">
        <v>82</v>
      </c>
      <c r="B9">
        <v>74349</v>
      </c>
      <c r="C9" t="s">
        <v>63</v>
      </c>
      <c r="D9" s="11" t="s">
        <v>83</v>
      </c>
      <c r="F9" t="s">
        <v>84</v>
      </c>
    </row>
    <row r="10" spans="1:7" x14ac:dyDescent="0.25">
      <c r="A10" t="s">
        <v>85</v>
      </c>
      <c r="B10">
        <v>57052</v>
      </c>
      <c r="C10" t="s">
        <v>1</v>
      </c>
      <c r="D10" s="11" t="s">
        <v>86</v>
      </c>
      <c r="F10" t="s">
        <v>87</v>
      </c>
    </row>
    <row r="11" spans="1:7" x14ac:dyDescent="0.25">
      <c r="A11" s="12" t="s">
        <v>88</v>
      </c>
      <c r="B11" s="12">
        <v>56064</v>
      </c>
      <c r="C11" s="12" t="s">
        <v>0</v>
      </c>
      <c r="D11" s="12">
        <v>17.600000000000001</v>
      </c>
      <c r="E11" s="12" t="s">
        <v>78</v>
      </c>
      <c r="F11" s="12" t="s">
        <v>89</v>
      </c>
    </row>
    <row r="12" spans="1:7" x14ac:dyDescent="0.25">
      <c r="A12" t="s">
        <v>90</v>
      </c>
      <c r="B12">
        <v>54460</v>
      </c>
      <c r="C12" t="s">
        <v>91</v>
      </c>
      <c r="D12" s="11" t="s">
        <v>92</v>
      </c>
      <c r="F12" t="s">
        <v>93</v>
      </c>
    </row>
    <row r="13" spans="1:7" x14ac:dyDescent="0.25">
      <c r="A13" t="s">
        <v>94</v>
      </c>
      <c r="B13">
        <v>516587</v>
      </c>
    </row>
    <row r="16" spans="1:7" x14ac:dyDescent="0.25">
      <c r="D16">
        <f>40*1000/(168*1.6)</f>
        <v>148.8095238095238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2C82-EB00-4A5D-A27B-5772CF4BA5F1}">
  <dimension ref="A1:X75"/>
  <sheetViews>
    <sheetView zoomScale="130" zoomScaleNormal="130" workbookViewId="0">
      <selection activeCell="D19" sqref="D19"/>
    </sheetView>
    <sheetView zoomScale="115" zoomScaleNormal="115" workbookViewId="1">
      <selection activeCell="A32" sqref="A32"/>
    </sheetView>
  </sheetViews>
  <sheetFormatPr defaultRowHeight="15" x14ac:dyDescent="0.25"/>
  <cols>
    <col min="1" max="1" width="37.140625" customWidth="1"/>
  </cols>
  <sheetData>
    <row r="1" spans="1:12" s="10" customFormat="1" ht="60" x14ac:dyDescent="0.25">
      <c r="B1" s="10" t="s">
        <v>95</v>
      </c>
      <c r="C1" s="10" t="s">
        <v>96</v>
      </c>
      <c r="E1" s="10" t="s">
        <v>20</v>
      </c>
      <c r="F1" s="10" t="s">
        <v>97</v>
      </c>
      <c r="G1" s="10" t="s">
        <v>98</v>
      </c>
      <c r="H1" s="10" t="s">
        <v>99</v>
      </c>
      <c r="I1" s="10" t="s">
        <v>31</v>
      </c>
    </row>
    <row r="2" spans="1:12" x14ac:dyDescent="0.25">
      <c r="A2" t="s">
        <v>100</v>
      </c>
      <c r="B2">
        <v>17.600000000000001</v>
      </c>
      <c r="C2">
        <v>161</v>
      </c>
      <c r="E2" s="29">
        <v>1095</v>
      </c>
      <c r="F2">
        <v>175</v>
      </c>
      <c r="G2">
        <f>E2-F2</f>
        <v>920</v>
      </c>
      <c r="H2">
        <v>1310</v>
      </c>
    </row>
    <row r="3" spans="1:12" x14ac:dyDescent="0.25">
      <c r="A3" t="s">
        <v>101</v>
      </c>
      <c r="B3">
        <v>17.600000000000001</v>
      </c>
      <c r="C3">
        <v>165</v>
      </c>
      <c r="E3" s="29">
        <v>1125</v>
      </c>
      <c r="F3">
        <v>175</v>
      </c>
      <c r="G3">
        <f t="shared" ref="G3:G23" si="0">E3-F3</f>
        <v>950</v>
      </c>
      <c r="H3">
        <v>1340</v>
      </c>
    </row>
    <row r="4" spans="1:12" x14ac:dyDescent="0.25">
      <c r="B4">
        <f>AVERAGE(B2:B3)</f>
        <v>17.600000000000001</v>
      </c>
      <c r="C4">
        <f>AVERAGE(C2:C3)</f>
        <v>163</v>
      </c>
      <c r="E4">
        <f t="shared" ref="E4" si="1">AVERAGE(E2:E3)</f>
        <v>1110</v>
      </c>
    </row>
    <row r="6" spans="1:12" x14ac:dyDescent="0.25">
      <c r="A6" t="s">
        <v>66</v>
      </c>
      <c r="B6">
        <v>40</v>
      </c>
      <c r="C6">
        <v>171</v>
      </c>
      <c r="E6">
        <f>AVERAGE(1580,1640)-75</f>
        <v>1535</v>
      </c>
      <c r="F6">
        <v>303</v>
      </c>
      <c r="G6">
        <f t="shared" si="0"/>
        <v>1232</v>
      </c>
      <c r="H6">
        <v>1995</v>
      </c>
      <c r="I6" t="s">
        <v>200</v>
      </c>
    </row>
    <row r="7" spans="1:12" x14ac:dyDescent="0.25">
      <c r="A7" t="s">
        <v>102</v>
      </c>
      <c r="B7">
        <v>62</v>
      </c>
      <c r="C7">
        <v>180</v>
      </c>
      <c r="E7">
        <f>AVERAGE(1731,1791)-75</f>
        <v>1686</v>
      </c>
      <c r="F7">
        <v>440</v>
      </c>
      <c r="G7">
        <f t="shared" si="0"/>
        <v>1246</v>
      </c>
      <c r="H7">
        <v>2140</v>
      </c>
      <c r="I7" t="s">
        <v>200</v>
      </c>
    </row>
    <row r="8" spans="1:12" x14ac:dyDescent="0.25">
      <c r="B8" s="2">
        <f>AVERAGE(B6:B7)</f>
        <v>51</v>
      </c>
      <c r="C8">
        <f>AVERAGE(C6:C7)</f>
        <v>175.5</v>
      </c>
      <c r="D8" t="e">
        <f t="shared" ref="D8:E8" si="2">AVERAGE(D6:D7)</f>
        <v>#DIV/0!</v>
      </c>
      <c r="E8">
        <f t="shared" si="2"/>
        <v>1610.5</v>
      </c>
      <c r="G8">
        <f>AVERAGE(G6:G7)</f>
        <v>1239</v>
      </c>
    </row>
    <row r="10" spans="1:12" x14ac:dyDescent="0.25">
      <c r="A10" t="s">
        <v>156</v>
      </c>
      <c r="J10" t="s">
        <v>103</v>
      </c>
    </row>
    <row r="11" spans="1:12" x14ac:dyDescent="0.25">
      <c r="A11" t="s">
        <v>104</v>
      </c>
      <c r="B11">
        <v>79</v>
      </c>
      <c r="C11">
        <v>166</v>
      </c>
      <c r="E11" s="29">
        <v>1931</v>
      </c>
      <c r="F11">
        <v>478</v>
      </c>
      <c r="G11">
        <f t="shared" si="0"/>
        <v>1453</v>
      </c>
      <c r="H11">
        <v>2305</v>
      </c>
      <c r="J11" t="s">
        <v>105</v>
      </c>
      <c r="K11">
        <v>82</v>
      </c>
      <c r="L11">
        <v>147</v>
      </c>
    </row>
    <row r="12" spans="1:12" x14ac:dyDescent="0.25">
      <c r="A12" t="s">
        <v>106</v>
      </c>
      <c r="B12">
        <v>79</v>
      </c>
      <c r="C12">
        <v>160</v>
      </c>
      <c r="E12" s="29">
        <v>1931</v>
      </c>
      <c r="F12">
        <v>478</v>
      </c>
      <c r="G12">
        <f t="shared" si="0"/>
        <v>1453</v>
      </c>
      <c r="H12">
        <v>2305</v>
      </c>
      <c r="J12" t="s">
        <v>107</v>
      </c>
      <c r="K12">
        <v>53</v>
      </c>
      <c r="L12">
        <v>140</v>
      </c>
    </row>
    <row r="13" spans="1:12" x14ac:dyDescent="0.25">
      <c r="A13" t="s">
        <v>108</v>
      </c>
      <c r="B13">
        <v>51</v>
      </c>
      <c r="C13">
        <v>149</v>
      </c>
      <c r="E13" s="29">
        <v>1684</v>
      </c>
      <c r="F13" s="13">
        <f>5.7747*B13+43.186</f>
        <v>337.69569999999999</v>
      </c>
      <c r="G13">
        <f t="shared" si="0"/>
        <v>1346.3043</v>
      </c>
      <c r="H13">
        <v>2060</v>
      </c>
      <c r="J13" t="s">
        <v>109</v>
      </c>
      <c r="K13">
        <v>82</v>
      </c>
      <c r="L13">
        <v>165</v>
      </c>
    </row>
    <row r="14" spans="1:12" x14ac:dyDescent="0.25">
      <c r="B14">
        <f>AVERAGE(B11:B13)</f>
        <v>69.666666666666671</v>
      </c>
      <c r="C14">
        <f>AVERAGE(C11:C13)</f>
        <v>158.33333333333334</v>
      </c>
      <c r="D14" t="e">
        <f t="shared" ref="D14:E14" si="3">AVERAGE(D11:D13)</f>
        <v>#DIV/0!</v>
      </c>
      <c r="E14">
        <f t="shared" si="3"/>
        <v>1848.6666666666667</v>
      </c>
      <c r="G14">
        <f>AVERAGE(G11:G13)</f>
        <v>1417.4347666666665</v>
      </c>
      <c r="J14" t="s">
        <v>110</v>
      </c>
      <c r="K14">
        <v>75</v>
      </c>
      <c r="L14">
        <v>148</v>
      </c>
    </row>
    <row r="15" spans="1:12" x14ac:dyDescent="0.25">
      <c r="J15" t="s">
        <v>111</v>
      </c>
      <c r="K15">
        <v>55</v>
      </c>
      <c r="L15">
        <v>142</v>
      </c>
    </row>
    <row r="16" spans="1:12" x14ac:dyDescent="0.25">
      <c r="K16">
        <f>AVERAGE(K11:K15)</f>
        <v>69.400000000000006</v>
      </c>
      <c r="L16">
        <f>AVERAGE(L11:L15)</f>
        <v>148.4</v>
      </c>
    </row>
    <row r="18" spans="1:24" x14ac:dyDescent="0.25">
      <c r="A18" t="s">
        <v>112</v>
      </c>
      <c r="D18" t="s">
        <v>113</v>
      </c>
    </row>
    <row r="19" spans="1:24" x14ac:dyDescent="0.25">
      <c r="A19" t="s">
        <v>114</v>
      </c>
      <c r="B19">
        <v>100</v>
      </c>
      <c r="D19">
        <v>149</v>
      </c>
      <c r="E19" s="29">
        <v>2316</v>
      </c>
      <c r="F19">
        <v>630</v>
      </c>
      <c r="G19">
        <f t="shared" si="0"/>
        <v>1686</v>
      </c>
    </row>
    <row r="20" spans="1:24" x14ac:dyDescent="0.25">
      <c r="A20" t="s">
        <v>115</v>
      </c>
      <c r="B20">
        <v>100</v>
      </c>
      <c r="C20">
        <v>193</v>
      </c>
      <c r="D20">
        <v>160</v>
      </c>
      <c r="E20" s="29">
        <v>2316</v>
      </c>
      <c r="F20">
        <v>630</v>
      </c>
      <c r="G20">
        <f>E20-F20</f>
        <v>1686</v>
      </c>
      <c r="H20">
        <v>2720</v>
      </c>
      <c r="X20">
        <f>8*630/72.5</f>
        <v>69.517241379310349</v>
      </c>
    </row>
    <row r="21" spans="1:24" x14ac:dyDescent="0.25">
      <c r="A21" t="s">
        <v>116</v>
      </c>
      <c r="B21">
        <v>100</v>
      </c>
      <c r="D21">
        <v>146</v>
      </c>
      <c r="E21" s="29">
        <v>2290</v>
      </c>
      <c r="F21">
        <v>630</v>
      </c>
      <c r="G21">
        <f>E21-F21</f>
        <v>1660</v>
      </c>
    </row>
    <row r="22" spans="1:24" x14ac:dyDescent="0.25">
      <c r="A22" t="s">
        <v>117</v>
      </c>
      <c r="B22">
        <v>100</v>
      </c>
      <c r="C22">
        <v>190</v>
      </c>
      <c r="D22">
        <v>152</v>
      </c>
      <c r="E22" s="29">
        <v>2290</v>
      </c>
      <c r="F22">
        <v>630</v>
      </c>
      <c r="G22">
        <f t="shared" si="0"/>
        <v>1660</v>
      </c>
      <c r="H22">
        <v>2694</v>
      </c>
    </row>
    <row r="23" spans="1:24" x14ac:dyDescent="0.25">
      <c r="B23">
        <f>AVERAGE(B19:B22)</f>
        <v>100</v>
      </c>
      <c r="C23">
        <f>AVERAGE(C19:C22)</f>
        <v>191.5</v>
      </c>
      <c r="D23">
        <f>MEDIAN(D19:D22)</f>
        <v>150.5</v>
      </c>
      <c r="E23">
        <f>AVERAGE(E20:E22)</f>
        <v>2298.6666666666665</v>
      </c>
      <c r="F23">
        <v>630</v>
      </c>
      <c r="G23">
        <f t="shared" si="0"/>
        <v>1668.6666666666665</v>
      </c>
    </row>
    <row r="24" spans="1:24" x14ac:dyDescent="0.25">
      <c r="A24" s="15" t="s">
        <v>118</v>
      </c>
      <c r="B24" s="15"/>
      <c r="C24" s="15"/>
      <c r="D24" s="15"/>
      <c r="E24" s="15"/>
      <c r="F24" s="15"/>
      <c r="G24" s="15"/>
    </row>
    <row r="25" spans="1:24" x14ac:dyDescent="0.25">
      <c r="A25" t="s">
        <v>119</v>
      </c>
    </row>
    <row r="26" spans="1:24" x14ac:dyDescent="0.25">
      <c r="A26" t="s">
        <v>120</v>
      </c>
      <c r="B26">
        <v>36.799999999999997</v>
      </c>
      <c r="C26">
        <v>145</v>
      </c>
      <c r="E26">
        <f>1235-75</f>
        <v>1160</v>
      </c>
      <c r="F26">
        <v>248</v>
      </c>
      <c r="G26">
        <f>E26-F26</f>
        <v>912</v>
      </c>
      <c r="H26">
        <v>1530</v>
      </c>
      <c r="I26" t="s">
        <v>202</v>
      </c>
    </row>
    <row r="27" spans="1:24" x14ac:dyDescent="0.25">
      <c r="K27">
        <f>1705+75</f>
        <v>1780</v>
      </c>
    </row>
    <row r="28" spans="1:24" x14ac:dyDescent="0.25">
      <c r="A28" s="15" t="s">
        <v>146</v>
      </c>
      <c r="B28" s="15"/>
      <c r="C28" s="15"/>
      <c r="D28" s="15"/>
      <c r="E28" s="15"/>
      <c r="F28" s="15"/>
      <c r="G28" s="15"/>
    </row>
    <row r="29" spans="1:24" x14ac:dyDescent="0.25">
      <c r="A29" t="s">
        <v>181</v>
      </c>
      <c r="B29">
        <v>95</v>
      </c>
      <c r="C29">
        <v>261</v>
      </c>
      <c r="D29">
        <v>284</v>
      </c>
      <c r="E29">
        <f>2695-75</f>
        <v>2620</v>
      </c>
      <c r="F29">
        <f>1543*0.454</f>
        <v>700.52200000000005</v>
      </c>
      <c r="G29">
        <f t="shared" ref="G27:G54" si="4">E29-F29</f>
        <v>1919.4780000000001</v>
      </c>
      <c r="I29" t="s">
        <v>177</v>
      </c>
    </row>
    <row r="30" spans="1:24" x14ac:dyDescent="0.25">
      <c r="A30" t="s">
        <v>133</v>
      </c>
      <c r="B30">
        <v>95</v>
      </c>
      <c r="C30">
        <v>256</v>
      </c>
      <c r="D30">
        <v>281</v>
      </c>
      <c r="E30">
        <f>2695-75</f>
        <v>2620</v>
      </c>
      <c r="F30">
        <f t="shared" ref="F30:F34" si="5">1543*0.454</f>
        <v>700.52200000000005</v>
      </c>
      <c r="G30">
        <f t="shared" si="4"/>
        <v>1919.4780000000001</v>
      </c>
      <c r="I30" t="s">
        <v>177</v>
      </c>
    </row>
    <row r="31" spans="1:24" x14ac:dyDescent="0.25">
      <c r="A31" t="s">
        <v>216</v>
      </c>
      <c r="B31">
        <v>95</v>
      </c>
      <c r="C31">
        <f>AVERAGE(261,236)</f>
        <v>248.5</v>
      </c>
      <c r="E31">
        <f>2565-75</f>
        <v>2490</v>
      </c>
      <c r="F31">
        <f>1543*0.454</f>
        <v>700.52200000000005</v>
      </c>
      <c r="G31">
        <f t="shared" ref="G31" si="6">E31-F31</f>
        <v>1789.4780000000001</v>
      </c>
    </row>
    <row r="32" spans="1:24" x14ac:dyDescent="0.25">
      <c r="A32" t="s">
        <v>214</v>
      </c>
      <c r="B32">
        <v>95</v>
      </c>
      <c r="C32">
        <f>AVERAGE(259,215)</f>
        <v>237</v>
      </c>
      <c r="E32">
        <f>2595-75</f>
        <v>2520</v>
      </c>
      <c r="I32" t="s">
        <v>213</v>
      </c>
    </row>
    <row r="33" spans="1:11" x14ac:dyDescent="0.25">
      <c r="A33" t="s">
        <v>134</v>
      </c>
      <c r="B33">
        <v>95</v>
      </c>
      <c r="C33">
        <v>222</v>
      </c>
      <c r="D33">
        <v>262</v>
      </c>
      <c r="E33">
        <f>2595-75</f>
        <v>2520</v>
      </c>
      <c r="F33">
        <f t="shared" si="5"/>
        <v>700.52200000000005</v>
      </c>
      <c r="G33">
        <f t="shared" si="4"/>
        <v>1819.4780000000001</v>
      </c>
      <c r="I33" t="s">
        <v>211</v>
      </c>
    </row>
    <row r="34" spans="1:11" x14ac:dyDescent="0.25">
      <c r="A34" t="s">
        <v>134</v>
      </c>
      <c r="B34">
        <v>95</v>
      </c>
      <c r="C34">
        <v>224</v>
      </c>
      <c r="E34">
        <f>2595-75</f>
        <v>2520</v>
      </c>
      <c r="F34">
        <f t="shared" si="5"/>
        <v>700.52200000000005</v>
      </c>
      <c r="G34">
        <f t="shared" si="4"/>
        <v>1819.4780000000001</v>
      </c>
    </row>
    <row r="35" spans="1:11" x14ac:dyDescent="0.25">
      <c r="A35" t="s">
        <v>135</v>
      </c>
      <c r="B35">
        <v>71</v>
      </c>
      <c r="C35">
        <v>217</v>
      </c>
      <c r="D35">
        <v>258</v>
      </c>
      <c r="E35">
        <f>2445-75</f>
        <v>2370</v>
      </c>
      <c r="G35">
        <f t="shared" si="4"/>
        <v>2370</v>
      </c>
      <c r="I35" t="s">
        <v>211</v>
      </c>
    </row>
    <row r="36" spans="1:11" x14ac:dyDescent="0.25">
      <c r="A36" t="s">
        <v>136</v>
      </c>
      <c r="B36">
        <v>71.2</v>
      </c>
      <c r="C36">
        <f>AVERAGE(212,255)</f>
        <v>233.5</v>
      </c>
      <c r="E36">
        <f>2445-75</f>
        <v>2370</v>
      </c>
      <c r="G36">
        <f t="shared" si="4"/>
        <v>2370</v>
      </c>
      <c r="I36" t="s">
        <v>213</v>
      </c>
    </row>
    <row r="37" spans="1:11" x14ac:dyDescent="0.25">
      <c r="A37" t="s">
        <v>137</v>
      </c>
      <c r="B37">
        <v>82</v>
      </c>
      <c r="C37">
        <f>AVERAGE(200,179)</f>
        <v>189.5</v>
      </c>
      <c r="E37">
        <f>2210-75</f>
        <v>2135</v>
      </c>
      <c r="G37">
        <f t="shared" si="4"/>
        <v>2135</v>
      </c>
      <c r="I37" t="s">
        <v>210</v>
      </c>
      <c r="K37">
        <f>168/239</f>
        <v>0.70292887029288698</v>
      </c>
    </row>
    <row r="38" spans="1:11" x14ac:dyDescent="0.25">
      <c r="A38" t="s">
        <v>138</v>
      </c>
      <c r="B38">
        <v>82</v>
      </c>
      <c r="C38">
        <f>AVERAGE(213,179)</f>
        <v>196</v>
      </c>
      <c r="E38">
        <f>2210-75</f>
        <v>2135</v>
      </c>
      <c r="G38">
        <f t="shared" si="4"/>
        <v>2135</v>
      </c>
      <c r="I38" t="s">
        <v>212</v>
      </c>
      <c r="K38">
        <f>40/62</f>
        <v>0.64516129032258063</v>
      </c>
    </row>
    <row r="39" spans="1:11" x14ac:dyDescent="0.25">
      <c r="A39" t="s">
        <v>139</v>
      </c>
      <c r="B39">
        <v>55</v>
      </c>
      <c r="C39">
        <v>170</v>
      </c>
      <c r="D39">
        <v>191</v>
      </c>
      <c r="E39">
        <v>1695</v>
      </c>
      <c r="G39">
        <f t="shared" si="4"/>
        <v>1695</v>
      </c>
      <c r="I39" t="s">
        <v>212</v>
      </c>
    </row>
    <row r="40" spans="1:11" x14ac:dyDescent="0.25">
      <c r="A40" t="s">
        <v>215</v>
      </c>
      <c r="B40">
        <v>82</v>
      </c>
      <c r="C40">
        <f>AVERAGE(20,17.3)</f>
        <v>18.649999999999999</v>
      </c>
      <c r="E40">
        <f>2125-75</f>
        <v>2050</v>
      </c>
      <c r="I40" t="s">
        <v>212</v>
      </c>
    </row>
    <row r="41" spans="1:11" x14ac:dyDescent="0.25">
      <c r="A41" t="s">
        <v>209</v>
      </c>
      <c r="B41">
        <v>55</v>
      </c>
      <c r="C41">
        <f>AVERAGE(19.1,17)</f>
        <v>18.05</v>
      </c>
      <c r="E41">
        <f>1965-75</f>
        <v>1890</v>
      </c>
      <c r="I41" t="s">
        <v>212</v>
      </c>
    </row>
    <row r="42" spans="1:11" x14ac:dyDescent="0.25">
      <c r="A42" t="s">
        <v>140</v>
      </c>
      <c r="B42">
        <v>82</v>
      </c>
      <c r="C42">
        <v>168</v>
      </c>
      <c r="D42">
        <v>196</v>
      </c>
      <c r="E42">
        <v>2120</v>
      </c>
      <c r="G42">
        <f t="shared" si="4"/>
        <v>2120</v>
      </c>
      <c r="I42" t="s">
        <v>213</v>
      </c>
    </row>
    <row r="44" spans="1:11" x14ac:dyDescent="0.25">
      <c r="A44" t="s">
        <v>157</v>
      </c>
      <c r="B44">
        <v>90</v>
      </c>
      <c r="C44">
        <v>220</v>
      </c>
      <c r="E44" s="29">
        <v>2208</v>
      </c>
      <c r="F44">
        <v>603</v>
      </c>
      <c r="G44">
        <f t="shared" si="4"/>
        <v>1605</v>
      </c>
    </row>
    <row r="46" spans="1:11" x14ac:dyDescent="0.25">
      <c r="A46" t="s">
        <v>141</v>
      </c>
      <c r="B46">
        <v>82</v>
      </c>
      <c r="C46">
        <f>AVERAGE(182, 186)</f>
        <v>184</v>
      </c>
      <c r="E46">
        <f>2224-75</f>
        <v>2149</v>
      </c>
      <c r="F46" s="14">
        <v>493</v>
      </c>
      <c r="G46">
        <f>E46-F46</f>
        <v>1656</v>
      </c>
      <c r="I46" t="s">
        <v>201</v>
      </c>
    </row>
    <row r="47" spans="1:11" x14ac:dyDescent="0.25">
      <c r="A47" s="16" t="s">
        <v>142</v>
      </c>
      <c r="B47" s="16">
        <v>82</v>
      </c>
      <c r="C47" s="16">
        <v>180</v>
      </c>
      <c r="D47" s="16">
        <v>183</v>
      </c>
      <c r="E47" s="16">
        <f>2124-75</f>
        <v>2049</v>
      </c>
      <c r="F47" s="23">
        <v>493</v>
      </c>
      <c r="G47" s="16">
        <f t="shared" si="4"/>
        <v>1556</v>
      </c>
      <c r="I47" t="s">
        <v>201</v>
      </c>
    </row>
    <row r="48" spans="1:11" x14ac:dyDescent="0.25">
      <c r="A48" t="s">
        <v>143</v>
      </c>
      <c r="B48">
        <v>82</v>
      </c>
      <c r="C48">
        <f>AVERAGE(185, 172)</f>
        <v>178.5</v>
      </c>
      <c r="E48">
        <f>2124-75</f>
        <v>2049</v>
      </c>
      <c r="F48" s="14">
        <v>493</v>
      </c>
      <c r="G48">
        <f t="shared" si="4"/>
        <v>1556</v>
      </c>
      <c r="I48" t="s">
        <v>201</v>
      </c>
    </row>
    <row r="49" spans="1:9" x14ac:dyDescent="0.25">
      <c r="A49" t="s">
        <v>144</v>
      </c>
      <c r="B49">
        <v>55</v>
      </c>
      <c r="C49">
        <f>AVERAGE(181,167)</f>
        <v>174</v>
      </c>
      <c r="E49">
        <f>1966-75</f>
        <v>1891</v>
      </c>
      <c r="F49" s="14">
        <v>344</v>
      </c>
      <c r="G49">
        <f t="shared" si="4"/>
        <v>1547</v>
      </c>
      <c r="I49" t="s">
        <v>201</v>
      </c>
    </row>
    <row r="50" spans="1:9" x14ac:dyDescent="0.25">
      <c r="A50" t="s">
        <v>145</v>
      </c>
      <c r="B50">
        <v>55</v>
      </c>
      <c r="C50">
        <f>AVERAGE(181,167)</f>
        <v>174</v>
      </c>
      <c r="E50">
        <f>1966-75</f>
        <v>1891</v>
      </c>
      <c r="F50" s="14">
        <v>344</v>
      </c>
      <c r="G50">
        <f t="shared" si="4"/>
        <v>1547</v>
      </c>
      <c r="I50" t="s">
        <v>201</v>
      </c>
    </row>
    <row r="52" spans="1:9" x14ac:dyDescent="0.25">
      <c r="A52" t="s">
        <v>147</v>
      </c>
      <c r="B52">
        <v>100</v>
      </c>
      <c r="C52">
        <v>226</v>
      </c>
      <c r="E52" s="29">
        <v>2533</v>
      </c>
      <c r="F52">
        <v>630</v>
      </c>
      <c r="G52">
        <f t="shared" si="4"/>
        <v>1903</v>
      </c>
    </row>
    <row r="53" spans="1:9" x14ac:dyDescent="0.25">
      <c r="A53" t="s">
        <v>148</v>
      </c>
      <c r="B53">
        <v>100</v>
      </c>
      <c r="C53">
        <v>236</v>
      </c>
      <c r="E53" s="29">
        <v>2572</v>
      </c>
      <c r="F53">
        <v>630</v>
      </c>
      <c r="G53">
        <f t="shared" si="4"/>
        <v>1942</v>
      </c>
    </row>
    <row r="54" spans="1:9" x14ac:dyDescent="0.25">
      <c r="A54" t="s">
        <v>149</v>
      </c>
      <c r="B54">
        <v>100</v>
      </c>
      <c r="C54">
        <v>226</v>
      </c>
      <c r="E54" s="29">
        <v>2533</v>
      </c>
      <c r="F54">
        <v>630</v>
      </c>
      <c r="G54">
        <f t="shared" si="4"/>
        <v>1903</v>
      </c>
    </row>
    <row r="57" spans="1:9" x14ac:dyDescent="0.25">
      <c r="A57" t="s">
        <v>150</v>
      </c>
      <c r="B57">
        <v>85</v>
      </c>
      <c r="C57">
        <v>223</v>
      </c>
      <c r="E57" s="29">
        <v>2495</v>
      </c>
      <c r="F57">
        <v>652</v>
      </c>
      <c r="G57" t="s">
        <v>174</v>
      </c>
    </row>
    <row r="58" spans="1:9" x14ac:dyDescent="0.25">
      <c r="A58" t="s">
        <v>151</v>
      </c>
      <c r="B58">
        <v>78</v>
      </c>
      <c r="C58">
        <v>192</v>
      </c>
      <c r="D58">
        <v>207</v>
      </c>
      <c r="E58" s="29">
        <v>2198</v>
      </c>
      <c r="G58" t="s">
        <v>174</v>
      </c>
    </row>
    <row r="59" spans="1:9" x14ac:dyDescent="0.25">
      <c r="A59" t="s">
        <v>152</v>
      </c>
      <c r="B59">
        <v>93.4</v>
      </c>
      <c r="C59">
        <v>206</v>
      </c>
      <c r="D59">
        <v>225</v>
      </c>
      <c r="E59" s="29">
        <v>2420</v>
      </c>
      <c r="G59" t="s">
        <v>153</v>
      </c>
    </row>
    <row r="60" spans="1:9" x14ac:dyDescent="0.25">
      <c r="A60" t="s">
        <v>155</v>
      </c>
      <c r="B60">
        <v>93.4</v>
      </c>
      <c r="C60">
        <v>199</v>
      </c>
      <c r="E60" s="29">
        <v>2350</v>
      </c>
      <c r="G60" t="s">
        <v>153</v>
      </c>
    </row>
    <row r="61" spans="1:9" x14ac:dyDescent="0.25">
      <c r="A61" t="s">
        <v>154</v>
      </c>
      <c r="B61">
        <v>79.2</v>
      </c>
      <c r="C61">
        <v>204</v>
      </c>
      <c r="D61">
        <v>248</v>
      </c>
      <c r="E61" s="29">
        <v>2125</v>
      </c>
      <c r="G61" t="s">
        <v>153</v>
      </c>
    </row>
    <row r="62" spans="1:9" x14ac:dyDescent="0.25">
      <c r="A62" s="15" t="s">
        <v>173</v>
      </c>
      <c r="B62" s="15"/>
      <c r="C62" s="15"/>
      <c r="D62" s="15"/>
      <c r="E62" s="15"/>
      <c r="F62" s="15"/>
    </row>
    <row r="63" spans="1:9" x14ac:dyDescent="0.25">
      <c r="A63" t="s">
        <v>158</v>
      </c>
      <c r="B63">
        <v>67.5</v>
      </c>
      <c r="C63">
        <v>159</v>
      </c>
      <c r="E63" s="29">
        <v>1812</v>
      </c>
      <c r="F63">
        <v>457</v>
      </c>
      <c r="G63" t="s">
        <v>174</v>
      </c>
    </row>
    <row r="64" spans="1:9" x14ac:dyDescent="0.25">
      <c r="A64" t="s">
        <v>159</v>
      </c>
      <c r="B64">
        <v>67.5</v>
      </c>
      <c r="C64">
        <v>157</v>
      </c>
      <c r="E64" s="29">
        <v>1757</v>
      </c>
      <c r="F64">
        <v>457</v>
      </c>
    </row>
    <row r="65" spans="1:6" x14ac:dyDescent="0.25">
      <c r="A65" t="s">
        <v>160</v>
      </c>
      <c r="B65">
        <v>40.4</v>
      </c>
      <c r="C65">
        <v>138</v>
      </c>
      <c r="E65" s="29">
        <v>1602</v>
      </c>
      <c r="F65">
        <v>359</v>
      </c>
    </row>
    <row r="66" spans="1:6" x14ac:dyDescent="0.25">
      <c r="A66" t="s">
        <v>161</v>
      </c>
      <c r="B66">
        <v>67.5</v>
      </c>
      <c r="C66">
        <v>147</v>
      </c>
      <c r="E66" s="29">
        <v>1760</v>
      </c>
      <c r="F66">
        <v>452</v>
      </c>
    </row>
    <row r="67" spans="1:6" x14ac:dyDescent="0.25">
      <c r="A67" t="s">
        <v>162</v>
      </c>
      <c r="B67">
        <v>68</v>
      </c>
      <c r="E67" s="29"/>
      <c r="F67">
        <v>430</v>
      </c>
    </row>
    <row r="68" spans="1:6" x14ac:dyDescent="0.25">
      <c r="A68" t="s">
        <v>162</v>
      </c>
      <c r="B68">
        <v>62.2</v>
      </c>
      <c r="C68">
        <v>158</v>
      </c>
      <c r="E68" s="29">
        <v>1691</v>
      </c>
      <c r="F68">
        <v>435</v>
      </c>
    </row>
    <row r="69" spans="1:6" x14ac:dyDescent="0.25">
      <c r="A69" t="s">
        <v>163</v>
      </c>
      <c r="B69">
        <v>50</v>
      </c>
      <c r="C69">
        <v>164</v>
      </c>
      <c r="E69" s="29">
        <v>1530</v>
      </c>
      <c r="F69">
        <v>356</v>
      </c>
    </row>
    <row r="70" spans="1:6" x14ac:dyDescent="0.25">
      <c r="A70" t="s">
        <v>164</v>
      </c>
      <c r="B70">
        <v>42.2</v>
      </c>
      <c r="C70">
        <v>153</v>
      </c>
      <c r="E70" s="29">
        <v>1345</v>
      </c>
      <c r="F70">
        <v>278</v>
      </c>
    </row>
    <row r="71" spans="1:6" x14ac:dyDescent="0.25">
      <c r="A71" t="s">
        <v>167</v>
      </c>
      <c r="B71">
        <v>54.66</v>
      </c>
      <c r="C71">
        <v>174</v>
      </c>
      <c r="E71" s="29">
        <v>1577</v>
      </c>
      <c r="F71">
        <v>326</v>
      </c>
    </row>
    <row r="72" spans="1:6" x14ac:dyDescent="0.25">
      <c r="A72" t="s">
        <v>165</v>
      </c>
      <c r="B72">
        <v>22</v>
      </c>
      <c r="C72">
        <v>163</v>
      </c>
      <c r="E72" s="29">
        <v>1208</v>
      </c>
      <c r="F72">
        <v>165</v>
      </c>
    </row>
    <row r="73" spans="1:6" x14ac:dyDescent="0.25">
      <c r="A73" t="s">
        <v>166</v>
      </c>
      <c r="B73">
        <v>44.1</v>
      </c>
      <c r="C73">
        <v>178</v>
      </c>
      <c r="E73" s="29">
        <v>1575</v>
      </c>
      <c r="F73">
        <v>305</v>
      </c>
    </row>
    <row r="74" spans="1:6" x14ac:dyDescent="0.25">
      <c r="A74" t="s">
        <v>168</v>
      </c>
      <c r="B74">
        <v>35.799999999999997</v>
      </c>
      <c r="C74">
        <v>153</v>
      </c>
      <c r="E74" s="29">
        <v>1615</v>
      </c>
      <c r="F74">
        <v>349</v>
      </c>
    </row>
    <row r="75" spans="1:6" x14ac:dyDescent="0.25">
      <c r="A75" t="s">
        <v>175</v>
      </c>
      <c r="B75">
        <v>82</v>
      </c>
      <c r="C75">
        <v>135</v>
      </c>
      <c r="D75">
        <v>141</v>
      </c>
      <c r="E75" s="29">
        <v>1934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allocation factors</vt:lpstr>
      <vt:lpstr>old values</vt:lpstr>
      <vt:lpstr>alt_energy</vt:lpstr>
      <vt:lpstr>car specs</vt:lpstr>
      <vt:lpstr>Sheet3</vt:lpstr>
      <vt:lpstr>Sheet1 (2)</vt:lpstr>
      <vt:lpstr>2020 models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Hung</dc:creator>
  <cp:lastModifiedBy>Christine Hung</cp:lastModifiedBy>
  <dcterms:created xsi:type="dcterms:W3CDTF">2018-06-04T07:32:30Z</dcterms:created>
  <dcterms:modified xsi:type="dcterms:W3CDTF">2021-08-14T11:39:32Z</dcterms:modified>
</cp:coreProperties>
</file>