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hun\Box Sync\000 Projects IndEcol\90088200 EVD4EUR\X00 EurEVFootprints\Data\"/>
    </mc:Choice>
  </mc:AlternateContent>
  <xr:revisionPtr revIDLastSave="0" documentId="13_ncr:1_{F9746541-8131-4559-96C0-1A918B2E02A1}" xr6:coauthVersionLast="45" xr6:coauthVersionMax="45" xr10:uidLastSave="{00000000-0000-0000-0000-000000000000}"/>
  <bookViews>
    <workbookView xWindow="3150" yWindow="2175" windowWidth="28500" windowHeight="15345" xr2:uid="{00000000-000D-0000-FFFF-FFFF00000000}"/>
  </bookViews>
  <sheets>
    <sheet name="Sheet1" sheetId="1" r:id="rId1"/>
    <sheet name="ICEV use phase (2)" sheetId="8" r:id="rId2"/>
    <sheet name="ICEV use phase (old)" sheetId="6" r:id="rId3"/>
    <sheet name="BEV use phase" sheetId="7" r:id="rId4"/>
    <sheet name="CFCI" sheetId="2" r:id="rId5"/>
    <sheet name="Sheet2" sheetId="4" r:id="rId6"/>
    <sheet name="Sheet3" sheetId="5" r:id="rId7"/>
    <sheet name="CFPI" sheetId="3" r:id="rId8"/>
  </sheets>
  <externalReferences>
    <externalReference r:id="rId9"/>
    <externalReference r:id="rId10"/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8" l="1"/>
  <c r="T11" i="6"/>
  <c r="S7" i="6"/>
  <c r="S6" i="6"/>
  <c r="S5" i="6"/>
  <c r="T12" i="6"/>
  <c r="T20" i="6"/>
  <c r="T28" i="6"/>
  <c r="N9" i="1"/>
  <c r="N6" i="1"/>
  <c r="C13" i="8"/>
  <c r="E18" i="8"/>
  <c r="G9" i="1"/>
  <c r="F9" i="1"/>
  <c r="E9" i="1"/>
  <c r="D9" i="1"/>
  <c r="D12" i="1"/>
  <c r="T19" i="6"/>
  <c r="T27" i="6"/>
  <c r="E13" i="8"/>
  <c r="E6" i="8"/>
  <c r="H14" i="8"/>
  <c r="G18" i="8"/>
  <c r="H18" i="8" s="1"/>
  <c r="G17" i="8"/>
  <c r="G16" i="8"/>
  <c r="H16" i="8" s="1"/>
  <c r="G15" i="8"/>
  <c r="H15" i="8" s="1"/>
  <c r="G14" i="8"/>
  <c r="B18" i="8"/>
  <c r="C18" i="8" s="1"/>
  <c r="B17" i="8"/>
  <c r="B16" i="8"/>
  <c r="C16" i="8" s="1"/>
  <c r="B15" i="8"/>
  <c r="C15" i="8" s="1"/>
  <c r="B14" i="8"/>
  <c r="B13" i="8"/>
  <c r="H17" i="8"/>
  <c r="H13" i="8"/>
  <c r="C14" i="8"/>
  <c r="C17" i="8"/>
  <c r="A18" i="8"/>
  <c r="A17" i="8"/>
  <c r="A16" i="8"/>
  <c r="A15" i="8"/>
  <c r="A14" i="8"/>
  <c r="A13" i="8"/>
  <c r="F13" i="8" l="1"/>
  <c r="I13" i="8"/>
  <c r="I14" i="8"/>
  <c r="I15" i="8"/>
  <c r="I16" i="8"/>
  <c r="I17" i="8"/>
  <c r="I18" i="8"/>
  <c r="D14" i="8"/>
  <c r="D6" i="8"/>
  <c r="J15" i="8" s="1"/>
  <c r="K15" i="8" s="1"/>
  <c r="U11" i="6"/>
  <c r="E14" i="8" l="1"/>
  <c r="F14" i="8" s="1"/>
  <c r="E16" i="8"/>
  <c r="F16" i="8" s="1"/>
  <c r="E17" i="8"/>
  <c r="F17" i="8" s="1"/>
  <c r="E15" i="8"/>
  <c r="F15" i="8" s="1"/>
  <c r="J14" i="8"/>
  <c r="K14" i="8" s="1"/>
  <c r="J18" i="8"/>
  <c r="K18" i="8" s="1"/>
  <c r="J16" i="8"/>
  <c r="K16" i="8" s="1"/>
  <c r="J17" i="8"/>
  <c r="K17" i="8" s="1"/>
  <c r="C22" i="8"/>
  <c r="E22" i="8"/>
  <c r="J13" i="8"/>
  <c r="K13" i="8" s="1"/>
  <c r="D17" i="8"/>
  <c r="E25" i="8" s="1"/>
  <c r="D16" i="8"/>
  <c r="E24" i="8" s="1"/>
  <c r="F18" i="8"/>
  <c r="D18" i="8"/>
  <c r="E26" i="8" s="1"/>
  <c r="D15" i="8"/>
  <c r="C23" i="8" s="1"/>
  <c r="D13" i="8"/>
  <c r="B21" i="8"/>
  <c r="U12" i="6"/>
  <c r="U13" i="6"/>
  <c r="U14" i="6"/>
  <c r="U15" i="6"/>
  <c r="U16" i="6"/>
  <c r="E6" i="6"/>
  <c r="C25" i="8" l="1"/>
  <c r="B23" i="8"/>
  <c r="D23" i="8"/>
  <c r="E23" i="8"/>
  <c r="C26" i="8"/>
  <c r="C24" i="8"/>
  <c r="B22" i="8"/>
  <c r="D22" i="8"/>
  <c r="D26" i="8"/>
  <c r="B26" i="8"/>
  <c r="B25" i="8"/>
  <c r="D25" i="8"/>
  <c r="B24" i="8"/>
  <c r="D24" i="8"/>
  <c r="D6" i="1"/>
  <c r="E6" i="1"/>
  <c r="F6" i="1"/>
  <c r="G6" i="1"/>
  <c r="N2" i="1"/>
  <c r="Q9" i="1" l="1"/>
  <c r="P9" i="1"/>
  <c r="O9" i="1"/>
  <c r="P3" i="6" l="1"/>
  <c r="Q3" i="6"/>
  <c r="P4" i="6"/>
  <c r="S4" i="6" s="1"/>
  <c r="Q4" i="6"/>
  <c r="P5" i="6"/>
  <c r="Q5" i="6"/>
  <c r="P6" i="6"/>
  <c r="Q6" i="6"/>
  <c r="P7" i="6"/>
  <c r="Q7" i="6"/>
  <c r="S3" i="6" l="1"/>
  <c r="E43" i="6"/>
  <c r="G43" i="6" s="1"/>
  <c r="I43" i="6" s="1"/>
  <c r="K43" i="6" s="1"/>
  <c r="E42" i="6"/>
  <c r="G42" i="6" s="1"/>
  <c r="I42" i="6" s="1"/>
  <c r="K42" i="6" s="1"/>
  <c r="E41" i="6"/>
  <c r="G41" i="6" s="1"/>
  <c r="I41" i="6" s="1"/>
  <c r="K41" i="6" s="1"/>
  <c r="E40" i="6"/>
  <c r="G40" i="6" s="1"/>
  <c r="I40" i="6" s="1"/>
  <c r="K40" i="6" s="1"/>
  <c r="D40" i="6"/>
  <c r="F40" i="6" s="1"/>
  <c r="H40" i="6" s="1"/>
  <c r="J40" i="6" s="1"/>
  <c r="E39" i="6"/>
  <c r="G39" i="6" s="1"/>
  <c r="I39" i="6" s="1"/>
  <c r="K39" i="6" s="1"/>
  <c r="E38" i="6"/>
  <c r="G38" i="6" s="1"/>
  <c r="I38" i="6" s="1"/>
  <c r="K38" i="6" s="1"/>
  <c r="D38" i="6"/>
  <c r="F38" i="6" s="1"/>
  <c r="H38" i="6" s="1"/>
  <c r="J38" i="6" s="1"/>
  <c r="D19" i="6"/>
  <c r="B18" i="6"/>
  <c r="D43" i="6" s="1"/>
  <c r="F43" i="6" s="1"/>
  <c r="H43" i="6" s="1"/>
  <c r="J43" i="6" s="1"/>
  <c r="B17" i="6"/>
  <c r="F15" i="6"/>
  <c r="F16" i="6" s="1"/>
  <c r="E12" i="6"/>
  <c r="E5" i="6"/>
  <c r="D12" i="6"/>
  <c r="D5" i="6"/>
  <c r="D6" i="6" s="1"/>
  <c r="M3" i="6"/>
  <c r="M4" i="6"/>
  <c r="M5" i="6"/>
  <c r="N5" i="6"/>
  <c r="O5" i="6"/>
  <c r="M6" i="6"/>
  <c r="N6" i="6"/>
  <c r="O6" i="6"/>
  <c r="M7" i="6"/>
  <c r="N7" i="6"/>
  <c r="O7" i="6"/>
  <c r="M8" i="6"/>
  <c r="N8" i="6"/>
  <c r="O8" i="6"/>
  <c r="D8" i="6" l="1"/>
  <c r="T13" i="6"/>
  <c r="T21" i="6" s="1"/>
  <c r="T29" i="6" s="1"/>
  <c r="T15" i="6"/>
  <c r="T23" i="6" s="1"/>
  <c r="T31" i="6" s="1"/>
  <c r="T16" i="6"/>
  <c r="T24" i="6" s="1"/>
  <c r="T32" i="6" s="1"/>
  <c r="W11" i="6"/>
  <c r="W19" i="6" s="1"/>
  <c r="W27" i="6" s="1"/>
  <c r="T14" i="6"/>
  <c r="T22" i="6" s="1"/>
  <c r="T30" i="6" s="1"/>
  <c r="W12" i="6"/>
  <c r="W20" i="6" s="1"/>
  <c r="W28" i="6" s="1"/>
  <c r="W14" i="6"/>
  <c r="W22" i="6" s="1"/>
  <c r="W30" i="6" s="1"/>
  <c r="W16" i="6"/>
  <c r="W24" i="6" s="1"/>
  <c r="W32" i="6" s="1"/>
  <c r="N11" i="6"/>
  <c r="N19" i="6" s="1"/>
  <c r="N27" i="6" s="1"/>
  <c r="P11" i="6"/>
  <c r="Q14" i="6"/>
  <c r="Q22" i="6" s="1"/>
  <c r="Q30" i="6" s="1"/>
  <c r="W13" i="6"/>
  <c r="W21" i="6" s="1"/>
  <c r="W29" i="6" s="1"/>
  <c r="Q11" i="6"/>
  <c r="Q19" i="6" s="1"/>
  <c r="Q27" i="6" s="1"/>
  <c r="Q12" i="6"/>
  <c r="Q20" i="6" s="1"/>
  <c r="Q28" i="6" s="1"/>
  <c r="O12" i="6"/>
  <c r="O20" i="6" s="1"/>
  <c r="O28" i="6" s="1"/>
  <c r="Q16" i="6"/>
  <c r="Q24" i="6" s="1"/>
  <c r="Q32" i="6" s="1"/>
  <c r="Q13" i="6"/>
  <c r="Q21" i="6" s="1"/>
  <c r="Q29" i="6" s="1"/>
  <c r="W15" i="6"/>
  <c r="W23" i="6" s="1"/>
  <c r="W31" i="6" s="1"/>
  <c r="O11" i="6"/>
  <c r="O19" i="6" s="1"/>
  <c r="O27" i="6" s="1"/>
  <c r="P12" i="6"/>
  <c r="P20" i="6" s="1"/>
  <c r="P15" i="6"/>
  <c r="P23" i="6" s="1"/>
  <c r="N12" i="6"/>
  <c r="N20" i="6" s="1"/>
  <c r="N28" i="6" s="1"/>
  <c r="P16" i="6"/>
  <c r="P24" i="6" s="1"/>
  <c r="P32" i="6" s="1"/>
  <c r="Q15" i="6"/>
  <c r="Q23" i="6" s="1"/>
  <c r="Q31" i="6" s="1"/>
  <c r="P14" i="6"/>
  <c r="P22" i="6" s="1"/>
  <c r="P30" i="6" s="1"/>
  <c r="S30" i="6" s="1"/>
  <c r="P13" i="6"/>
  <c r="O13" i="6"/>
  <c r="O21" i="6" s="1"/>
  <c r="O29" i="6" s="1"/>
  <c r="O15" i="6"/>
  <c r="O23" i="6" s="1"/>
  <c r="O31" i="6" s="1"/>
  <c r="D18" i="6"/>
  <c r="D20" i="6" s="1"/>
  <c r="D22" i="6" s="1"/>
  <c r="F6" i="6"/>
  <c r="O14" i="6"/>
  <c r="O22" i="6" s="1"/>
  <c r="O30" i="6" s="1"/>
  <c r="O16" i="6"/>
  <c r="O24" i="6" s="1"/>
  <c r="O32" i="6" s="1"/>
  <c r="D42" i="6"/>
  <c r="F42" i="6" s="1"/>
  <c r="H42" i="6" s="1"/>
  <c r="J42" i="6" s="1"/>
  <c r="P19" i="6"/>
  <c r="P21" i="6"/>
  <c r="N16" i="6"/>
  <c r="N24" i="6" s="1"/>
  <c r="R8" i="6"/>
  <c r="N14" i="6"/>
  <c r="R6" i="6"/>
  <c r="N15" i="6"/>
  <c r="N23" i="6" s="1"/>
  <c r="R7" i="6"/>
  <c r="N13" i="6"/>
  <c r="R5" i="6"/>
  <c r="E8" i="6"/>
  <c r="D39" i="6"/>
  <c r="F39" i="6" s="1"/>
  <c r="H39" i="6" s="1"/>
  <c r="J39" i="6" s="1"/>
  <c r="D41" i="6"/>
  <c r="F41" i="6" s="1"/>
  <c r="H41" i="6" s="1"/>
  <c r="J41" i="6" s="1"/>
  <c r="D21" i="6"/>
  <c r="O3" i="1"/>
  <c r="P3" i="1"/>
  <c r="Q3" i="1"/>
  <c r="N3" i="1"/>
  <c r="S12" i="6" l="1"/>
  <c r="S13" i="6"/>
  <c r="S15" i="6"/>
  <c r="S22" i="6"/>
  <c r="S11" i="6"/>
  <c r="P29" i="6"/>
  <c r="S29" i="6" s="1"/>
  <c r="S21" i="6"/>
  <c r="P28" i="6"/>
  <c r="S28" i="6" s="1"/>
  <c r="S20" i="6"/>
  <c r="P27" i="6"/>
  <c r="S27" i="6" s="1"/>
  <c r="S19" i="6"/>
  <c r="P31" i="6"/>
  <c r="S31" i="6" s="1"/>
  <c r="S23" i="6"/>
  <c r="N21" i="6"/>
  <c r="R13" i="6"/>
  <c r="N22" i="6"/>
  <c r="R14" i="6"/>
  <c r="N31" i="6"/>
  <c r="R31" i="6" s="1"/>
  <c r="R23" i="6"/>
  <c r="N32" i="6"/>
  <c r="R32" i="6" s="1"/>
  <c r="R24" i="6"/>
  <c r="G22" i="2"/>
  <c r="F22" i="2"/>
  <c r="E22" i="2"/>
  <c r="D22" i="2"/>
  <c r="N30" i="6" l="1"/>
  <c r="R30" i="6" s="1"/>
  <c r="R22" i="6"/>
  <c r="N29" i="6"/>
  <c r="R29" i="6" s="1"/>
  <c r="R21" i="6"/>
  <c r="N24" i="1"/>
  <c r="N25" i="1"/>
  <c r="N26" i="1"/>
  <c r="N23" i="1"/>
  <c r="M24" i="1"/>
  <c r="M25" i="1"/>
  <c r="M26" i="1"/>
  <c r="M23" i="1"/>
  <c r="Q48" i="4" l="1"/>
  <c r="R48" i="4"/>
  <c r="S48" i="4"/>
  <c r="T48" i="4"/>
  <c r="U48" i="4"/>
  <c r="V48" i="4"/>
  <c r="W48" i="4"/>
  <c r="X48" i="4"/>
  <c r="Y48" i="4"/>
  <c r="Z48" i="4"/>
  <c r="AA48" i="4"/>
  <c r="AB48" i="4"/>
  <c r="AC48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R47" i="4"/>
  <c r="S47" i="4"/>
  <c r="T47" i="4"/>
  <c r="U47" i="4"/>
  <c r="V47" i="4"/>
  <c r="W47" i="4"/>
  <c r="X47" i="4"/>
  <c r="Y47" i="4"/>
  <c r="Z47" i="4"/>
  <c r="AA47" i="4"/>
  <c r="AB47" i="4"/>
  <c r="AC47" i="4"/>
  <c r="Q47" i="4"/>
  <c r="D28" i="1" l="1"/>
  <c r="E28" i="1" l="1"/>
  <c r="F28" i="1"/>
  <c r="G28" i="1"/>
  <c r="E24" i="1"/>
  <c r="E25" i="1" s="1"/>
  <c r="E22" i="1"/>
  <c r="E30" i="1" s="1"/>
  <c r="O5" i="1" s="1"/>
  <c r="O6" i="1" s="1"/>
  <c r="O8" i="1" s="1"/>
  <c r="F22" i="1"/>
  <c r="F30" i="1" s="1"/>
  <c r="P5" i="1" s="1"/>
  <c r="P6" i="1" s="1"/>
  <c r="P8" i="1" s="1"/>
  <c r="G22" i="1"/>
  <c r="D22" i="1"/>
  <c r="G30" i="1" l="1"/>
  <c r="Q5" i="1" s="1"/>
  <c r="Q6" i="1" s="1"/>
  <c r="Q8" i="1" s="1"/>
  <c r="G24" i="1"/>
  <c r="G25" i="1" s="1"/>
  <c r="D30" i="1"/>
  <c r="N5" i="1" s="1"/>
  <c r="N8" i="1" s="1"/>
  <c r="D24" i="1"/>
  <c r="D25" i="1" s="1"/>
  <c r="F24" i="1"/>
  <c r="F25" i="1" s="1"/>
  <c r="A8" i="3"/>
  <c r="A10" i="2"/>
  <c r="G4" i="1" l="1"/>
  <c r="G12" i="1" s="1"/>
  <c r="G5" i="1" l="1"/>
  <c r="F4" i="1"/>
  <c r="F12" i="1" s="1"/>
  <c r="G13" i="1" l="1"/>
  <c r="G14" i="1" s="1"/>
  <c r="G15" i="1" s="1"/>
  <c r="Q2" i="1"/>
  <c r="Q4" i="1" s="1"/>
  <c r="F5" i="1"/>
  <c r="E4" i="1"/>
  <c r="E12" i="1" s="1"/>
  <c r="F13" i="1" l="1"/>
  <c r="F14" i="1" s="1"/>
  <c r="F15" i="1" s="1"/>
  <c r="P2" i="1"/>
  <c r="P4" i="1" s="1"/>
  <c r="E5" i="1"/>
  <c r="D4" i="1"/>
  <c r="N12" i="1" l="1"/>
  <c r="E13" i="1"/>
  <c r="E14" i="1" s="1"/>
  <c r="E15" i="1" s="1"/>
  <c r="O2" i="1"/>
  <c r="O4" i="1" s="1"/>
  <c r="D5" i="1"/>
  <c r="D13" i="1" l="1"/>
  <c r="D14" i="1" s="1"/>
  <c r="D15" i="1" s="1"/>
  <c r="N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Hung</author>
    <author>tc={50411104-D421-4864-9159-C45E7C9EB28C}</author>
  </authors>
  <commentList>
    <comment ref="D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Christine Hung:</t>
        </r>
        <r>
          <rPr>
            <sz val="9"/>
            <color indexed="81"/>
            <rFont val="Tahoma"/>
            <family val="2"/>
          </rPr>
          <t xml:space="preserve">
253 kg battery pack, 0.60152 kg batt cell/kg battery pack
20 kWh el/kg batt cell</t>
        </r>
      </text>
    </comment>
    <comment ref="G6" authorId="1" shapeId="0" xr:uid="{50411104-D421-4864-9159-C45E7C9EB28C}">
      <text>
        <t>[Threaded comment]
Your version of Excel allows you to read this threaded comment; however, any edits to it will get removed if the file is opened in a newer version of Excel. Learn more: https://go.microsoft.com/fwlink/?linkid=870924
Comment:
    WLTP values, average per segment, from EV database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Christine Hung</author>
  </authors>
  <commentList>
    <comment ref="D2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Christine Hung:</t>
        </r>
        <r>
          <rPr>
            <sz val="9"/>
            <color indexed="81"/>
            <rFont val="Tahoma"/>
            <family val="2"/>
          </rPr>
          <t xml:space="preserve">
253 kg battery pack, 0.60152 kg batt cell/kg battery pack
20 kWh el/kg batt cell</t>
        </r>
      </text>
    </comment>
  </commentList>
</comments>
</file>

<file path=xl/sharedStrings.xml><?xml version="1.0" encoding="utf-8"?>
<sst xmlns="http://schemas.openxmlformats.org/spreadsheetml/2006/main" count="579" uniqueCount="224">
  <si>
    <t>A</t>
  </si>
  <si>
    <t>C</t>
  </si>
  <si>
    <t>D</t>
  </si>
  <si>
    <t>F</t>
  </si>
  <si>
    <t>BEV</t>
  </si>
  <si>
    <t>Batt size</t>
  </si>
  <si>
    <t>Use phase</t>
  </si>
  <si>
    <t>EOL</t>
  </si>
  <si>
    <t>ICEV</t>
  </si>
  <si>
    <t>A - old</t>
  </si>
  <si>
    <t>C - old</t>
  </si>
  <si>
    <t>D - old</t>
  </si>
  <si>
    <t>F - old</t>
  </si>
  <si>
    <t xml:space="preserve">Korean el-mix assumed GWP: </t>
  </si>
  <si>
    <t>CO2 from el mix (t CO2)</t>
  </si>
  <si>
    <t>t CO2</t>
  </si>
  <si>
    <t>kWh</t>
  </si>
  <si>
    <t>Wh/km</t>
  </si>
  <si>
    <t>Production, ROV</t>
  </si>
  <si>
    <t>Production el, battery</t>
  </si>
  <si>
    <t>Production, RObattery</t>
  </si>
  <si>
    <t>Production</t>
  </si>
  <si>
    <t>CC (GWP)</t>
  </si>
  <si>
    <t>AL</t>
  </si>
  <si>
    <t>AT</t>
  </si>
  <si>
    <t>BA</t>
  </si>
  <si>
    <t>BE</t>
  </si>
  <si>
    <t>BG</t>
  </si>
  <si>
    <t>CH</t>
  </si>
  <si>
    <t>CZ</t>
  </si>
  <si>
    <t>DE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</si>
  <si>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</si>
  <si>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</si>
  <si>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</si>
  <si>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</si>
  <si>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</si>
  <si>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</si>
  <si>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</si>
  <si>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</si>
  <si>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</si>
  <si>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</si>
  <si>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</si>
  <si>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</si>
  <si>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</si>
  <si>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ME</t>
  </si>
  <si>
    <t>MK</t>
  </si>
  <si>
    <t>NI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</si>
  <si>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</si>
  <si>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</si>
  <si>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</si>
  <si>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</si>
  <si>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</si>
  <si>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</si>
  <si>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</si>
  <si>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</si>
  <si>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</si>
  <si>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UK</t>
  </si>
  <si>
    <t>Consumption mix intensity</t>
  </si>
  <si>
    <t>Production mix intensity</t>
  </si>
  <si>
    <t>a</t>
  </si>
  <si>
    <t>c</t>
  </si>
  <si>
    <t>d</t>
  </si>
  <si>
    <t>Body weight kg</t>
  </si>
  <si>
    <t>Battery weight</t>
  </si>
  <si>
    <t>Battery size (kWh)</t>
  </si>
  <si>
    <t>Total vehicle weight</t>
  </si>
  <si>
    <t>Size &amp; range weight</t>
  </si>
  <si>
    <t>Use phase, size &amp; range</t>
  </si>
  <si>
    <t>Use phase, NEDC, new</t>
  </si>
  <si>
    <t>Use phase, EV</t>
  </si>
  <si>
    <t>1175.7177485048976, 137.50682261208578</t>
  </si>
  <si>
    <t>1640.055940783127, 163.45224171539962</t>
  </si>
  <si>
    <t>1960.1620604928708, 181.37816764132555</t>
  </si>
  <si>
    <t>From https://apps.automeris.io/wpd/</t>
  </si>
  <si>
    <t>Extra mass</t>
  </si>
  <si>
    <t>Area</t>
  </si>
  <si>
    <t>DK-E</t>
  </si>
  <si>
    <t>DK-W</t>
  </si>
  <si>
    <t>NO1</t>
  </si>
  <si>
    <t>NO2</t>
  </si>
  <si>
    <t>NO3</t>
  </si>
  <si>
    <t>NO4</t>
  </si>
  <si>
    <t>NO5</t>
  </si>
  <si>
    <t>SE1</t>
  </si>
  <si>
    <t>SE2</t>
  </si>
  <si>
    <t>SE3</t>
  </si>
  <si>
    <t>SE4</t>
  </si>
  <si>
    <t>Gas Conv</t>
  </si>
  <si>
    <t>Gas CCGT</t>
  </si>
  <si>
    <t>Gas OCGT</t>
  </si>
  <si>
    <t>GasCCS</t>
  </si>
  <si>
    <t>Oil</t>
  </si>
  <si>
    <t>Lignite</t>
  </si>
  <si>
    <t>HardCoal</t>
  </si>
  <si>
    <t>Bio</t>
  </si>
  <si>
    <t>Nuclear</t>
  </si>
  <si>
    <t>Diverse</t>
  </si>
  <si>
    <t>Other RES</t>
  </si>
  <si>
    <t>Hydro</t>
  </si>
  <si>
    <t>PV &amp; Wind</t>
  </si>
  <si>
    <t>Gas ConvGas CCGTGas OCGTGasCCSOilLigniteHardCoalBioNuclearDiverseOther RESHydroPV &amp; WindAL0.0000000.0000000.0000000.00.00.0000000.0000000.0000000.0000000.00.0207.8100880.000000AT0.0000000.0000000.0000000.00.00.0000001156.667429353.4769800.0000000.00.0153.900526166.050181BA0.0000000.0000000.0000000.00.01585.0325400.0000000.0000000.0000000.00.0181.756683229.960482BE547.584077438.424927525.6197400.00.00.0000001370.64551348.70464621.9523140.00.030.60123730.956030BG0.0000000.0000000.0000000.00.01963.9898270.000000267.112419106.5174930.00.0123.292885121.960344CH0.0000000.0000000.0000000.00.00.0000000.0000000.00000028.4878170.00.040.10912339.303433CZ0.0000000.0000000.0000000.00.01550.6731381129.138980248.51320461.8911250.00.067.94876066.279917DE0.0000000.0000000.0000000.00.01451.403689993.29375733.36077821.3061060.00.023.92709224.399817DK-E0.0000000.0000000.0000000.00.00.000000940.04846747.7001800.0000000.00.028.03464827.809141DK-W0.0000000.0000000.0000000.00.00.000000938.99181947.7001800.0000000.00.028.03464827.809141EE0.0000001025.2532341142.9662450.00.00.0000000.000000509.0188460.0000000.00.0131.659505131.736218ES0.000000460.3415980.0000000.00.00.0000001255.37546196.58104853.3516700.00.065.33227566.649076FI0.000000440.1336700.0000000.00.01418.1392190.00000050.57197526.0787380.00.032.70832138.627594FR0.0000000.0000000.0000000.00.00.000000995.70361969.68604317.0956130.00.022.20037622.783777GR0.000000398.7117180.0000000.00.01879.7291240.00000024.7978440.0000000.00.09.4468047.831796HR0.0000000.0000000.0000000.00.00.0000001224.071051236.0704620.0000000.00.0190.070283240.478937HU0.0000000.0000000.0000000.00.01614.4477840.000000107.55396239.8156280.00.046.52311645.653784IE0.000000424.649521529.3507120.00.00.0000001058.99368210.6867550.0000000.00.06.4770226.376610IT0.000000544.7322480.0000000.00.00.0000001364.70005481.8579080.0000000.00.047.43368044.754702LT759.956695631.181863733.5542310.00.00.0000000.000000165.9919790.0000000.00.045.15147343.894932LU661.573386530.962838638.5656370.00.00.0000000.00000033.5326940.0000000.00.020.32788320.397711LV0.000000553.766270662.6303330.00.00.0000001118.99842260.1233440.0000000.00.038.60085439.172433ME0.0000000.0000000.0000000.00.01724.8537120.0000000.0000000.0000000.00.0197.496296249.874408MK0.0000000.0000000.0000000.00.01862.8462481301.4293550.0000000.0000000.00.0201.433221254.855447NI0.000000479.871199582.6187170.00.00.0000001302.5325150.0000000.0000000.00.00.00000061.360928NL0.000000426.0796750.0000000.00.00.0000001127.72626971.76892139.8888090.00.044.90519944.019677NO10.0000000.0000000.0000000.00.00.0000000.0000000.0000000.0000000.00.03.4898040.000000NO20.0000000.0000000.0000000.00.00.0000000.0000000.0000000.0000000.00.03.4898043.549356NO3632.7003460.0000000.0000000.00.00.0000000.0000000.0000000.0000000.00.03.4898043.549356NO4632.7003460.0000000.0000000.00.00.0000000.0000000.0000000.0000000.00.03.4898043.549356NO50.0000000.0000000.0000000.00.00.0000000.0000000.0000000.0000000.00.03.4898043.549356PL0.0000000.0000000.0000000.00.01407.882761982.76560166.3870750.0000000.00.042.04012041.334570PT0.000000451.4734790.0000000.00.00.0000000.00000031.6735970.0000000.00.017.55724817.441381RO0.0000000.0000000.0000000.00.01686.3600380.000000295.42078431.5041290.00.040.84561339.710976RS0.0000000.0000000.0000000.00.01690.3219720.0000000.0000000.0000000.00.0193.947862245.384891SE10.0000000.0000000.0000000.00.00.0000000.0000000.0000000.0000000.00.012.7589319.572097SE20.0000000.0000000.0000000.00.00.0000000.0000000.0000000.0000000.00.012.7589319.572097SE30.000000428.7684780.0000000.00.00.000000887.25603635.0156119.1367030.00.012.7589319.572097SE40.000000404.3007630.0000000.00.00.0000000.0000000.0000000.0000000.00.012.7589319.572097SI0.0000000.0000000.0000000.00.01575.3372110.00000075.72753524.9289850.00.034.4140600.000000SK0.0000000.0000000.0000000.00.01486.7277620.000000171.646361111.1105480.00.0111.063747111.424630UK0.000000468.333315582.6187170.00.00.0000001304.17733191.36077747.2659210.00.056.52875961.360928</t>
  </si>
  <si>
    <t>POST</t>
  </si>
  <si>
    <t>Calculated use phase energy</t>
  </si>
  <si>
    <t>Total battery production emissions</t>
  </si>
  <si>
    <t>kg CO2-eq/kWh</t>
  </si>
  <si>
    <t>BEV:ICEV use phase</t>
  </si>
  <si>
    <t>BEV total productionemissions</t>
  </si>
  <si>
    <t>ICEV total production</t>
  </si>
  <si>
    <t>ICEV use g CO2/km</t>
  </si>
  <si>
    <t>BEV use Wh/km</t>
  </si>
  <si>
    <t>9uu</t>
  </si>
  <si>
    <t>l/100 km</t>
  </si>
  <si>
    <t>MJ/l</t>
  </si>
  <si>
    <t>MJ/100 km</t>
  </si>
  <si>
    <t>g CO2/km</t>
  </si>
  <si>
    <t>g CO2/MJ</t>
  </si>
  <si>
    <t>MJ/km</t>
  </si>
  <si>
    <t>https://www.wltpfacts.eu/link-between-co2-emissions-fuel-consumption/</t>
  </si>
  <si>
    <t>Upstream</t>
  </si>
  <si>
    <t>JRC, WTT Appendix 2</t>
  </si>
  <si>
    <t>t CO2/lifetime, direct</t>
  </si>
  <si>
    <t>t CO2/lifetime, indirect (WTT)</t>
  </si>
  <si>
    <t>lifecycle emissions</t>
  </si>
  <si>
    <t>from upstream</t>
  </si>
  <si>
    <t>Size &amp; range use phase impacts, ICEVs</t>
  </si>
  <si>
    <t>Segment	CO2 g/km</t>
  </si>
  <si>
    <t>B</t>
  </si>
  <si>
    <t>E</t>
  </si>
  <si>
    <t>l/g CO2</t>
  </si>
  <si>
    <t>L/100 km (diesel)</t>
  </si>
  <si>
    <t>L/100 km (petrol)</t>
  </si>
  <si>
    <t>Indirect (gasoline)</t>
  </si>
  <si>
    <t>Indirect (diesel)</t>
  </si>
  <si>
    <t>JB</t>
  </si>
  <si>
    <t>JC</t>
  </si>
  <si>
    <t>JD</t>
  </si>
  <si>
    <t>MC</t>
  </si>
  <si>
    <t>MD</t>
  </si>
  <si>
    <t>Offroad</t>
  </si>
  <si>
    <t>S</t>
  </si>
  <si>
    <t>Transporter</t>
  </si>
  <si>
    <t>exotic</t>
  </si>
  <si>
    <t>Total</t>
  </si>
  <si>
    <t>WLTP g CO2/km</t>
  </si>
  <si>
    <t>Mercedes</t>
  </si>
  <si>
    <t>WLTP high</t>
  </si>
  <si>
    <t>WLTP low</t>
  </si>
  <si>
    <t>VW</t>
  </si>
  <si>
    <t>Petrol + 10% etOH</t>
  </si>
  <si>
    <t>corresponding fuel eff</t>
  </si>
  <si>
    <t>energy content</t>
  </si>
  <si>
    <t>Median values from Arval study</t>
  </si>
  <si>
    <t>Diesel</t>
  </si>
  <si>
    <t>Petrol</t>
  </si>
  <si>
    <t>with biofuel</t>
  </si>
  <si>
    <t>JRC: 35.9/32.2</t>
  </si>
  <si>
    <t>Source</t>
  </si>
  <si>
    <t>Tailpipe emissions</t>
  </si>
  <si>
    <t>Total fuel cycle emissions</t>
  </si>
  <si>
    <t>lifetime emissions, t CO2/180k</t>
  </si>
  <si>
    <t>WLTP, in NEDC eq combined</t>
  </si>
  <si>
    <t xml:space="preserve">Mercedes </t>
  </si>
  <si>
    <t>Average</t>
  </si>
  <si>
    <t>Mean of medians of WLTP high and low values</t>
  </si>
  <si>
    <t>Mean of means (from descriptive statistics)</t>
  </si>
  <si>
    <t>use phase energy demand</t>
  </si>
  <si>
    <t>new wltp</t>
  </si>
  <si>
    <t>Original values (NEDC, size and range)</t>
  </si>
  <si>
    <t>new wltp, with calculated</t>
  </si>
  <si>
    <t>lifecycle fuel cycle emissions per km, g CO2/km</t>
  </si>
  <si>
    <t>in Wh/km</t>
  </si>
  <si>
    <t>('Segment',</t>
  </si>
  <si>
    <t>'Unnamed:</t>
  </si>
  <si>
    <t>12_level_1')	('Fuel',</t>
  </si>
  <si>
    <t>'')	0</t>
  </si>
  <si>
    <t>A	Petrol	111.0</t>
  </si>
  <si>
    <t>B	Diesel	135.0</t>
  </si>
  <si>
    <t>B	Natural</t>
  </si>
  <si>
    <t>gas	106.0</t>
  </si>
  <si>
    <t>B	Petrol	135.5</t>
  </si>
  <si>
    <t>C	Diesel	136.0</t>
  </si>
  <si>
    <t>C	Natural</t>
  </si>
  <si>
    <t>gas	115.5</t>
  </si>
  <si>
    <t>C	Petrol	151.25</t>
  </si>
  <si>
    <t>C	Petrol</t>
  </si>
  <si>
    <t>hybrid	27.0</t>
  </si>
  <si>
    <t>D	Diesel	148.25</t>
  </si>
  <si>
    <t>D	Diesel</t>
  </si>
  <si>
    <t>hybrid	37.75</t>
  </si>
  <si>
    <t>D	Petrol	176.75</t>
  </si>
  <si>
    <t>D	Petrol</t>
  </si>
  <si>
    <t>hybrid	40.0</t>
  </si>
  <si>
    <t>E	Diesel	169.0</t>
  </si>
  <si>
    <t>E	Diesel</t>
  </si>
  <si>
    <t>hybrid	38.75</t>
  </si>
  <si>
    <t>E	Petrol	188.75</t>
  </si>
  <si>
    <t>E	Petrol</t>
  </si>
  <si>
    <t>F	Diesel	185.75</t>
  </si>
  <si>
    <t>F	Petrol	239.0</t>
  </si>
  <si>
    <t>F	Petrol</t>
  </si>
  <si>
    <t>hybrid	56.0</t>
  </si>
  <si>
    <t>JB	Diesel	144.0</t>
  </si>
  <si>
    <t>JB	Petrol	134.0</t>
  </si>
  <si>
    <t>JC	Diesel	157.0</t>
  </si>
  <si>
    <t>JC	Petrol	178.0</t>
  </si>
  <si>
    <t>JD	Diesel	179.0</t>
  </si>
  <si>
    <t>JD	Petrol	237.0</t>
  </si>
  <si>
    <t>JD	Petrol</t>
  </si>
  <si>
    <t>hybrid	59.75</t>
  </si>
  <si>
    <t>JE	Diesel	208.5</t>
  </si>
  <si>
    <t>JE	Diesel</t>
  </si>
  <si>
    <t>hybrid	23.0</t>
  </si>
  <si>
    <t>JE	Petrol	244.25</t>
  </si>
  <si>
    <t>JF	Diesel	231.0</t>
  </si>
  <si>
    <t>JF	Petrol	341.0</t>
  </si>
  <si>
    <t>MC	Diesel	155.5</t>
  </si>
  <si>
    <t>MC	Petrol	162.75</t>
  </si>
  <si>
    <t>MD	Diesel	181.5</t>
  </si>
  <si>
    <t>MD	Petrol	190.25</t>
  </si>
  <si>
    <t>S	Petrol	239.0</t>
  </si>
  <si>
    <t>Mean of medians of WLTP high and low values (g CO2/km)</t>
  </si>
  <si>
    <t>average</t>
  </si>
  <si>
    <t>42% diesel/58% petrol</t>
  </si>
  <si>
    <t>JRC, TTW, chapter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</si>
</sst>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7" formatCode="0.0"/>
  </numFmts>
  <fonts count="1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Segoe UI Historic"/>
      <family val="2"/>
    </font>
    <font>
      <b/>
      <sz val="9"/>
      <color rgb="FF353535"/>
      <name val="Arial"/>
      <family val="2"/>
    </font>
    <font>
      <sz val="9.3000000000000007"/>
      <color rgb="FF353535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9" fillId="10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3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justify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/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5" fillId="4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5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6" fillId="6" borderId="0" xfId="0" applyFont="1" applyFill="1" applyAlignment="1">
      <alignment horizontal="left" vertical="center" wrapText="1"/>
    </xf>
    <xf numFmtId="0" fontId="4" fillId="7" borderId="12" xfId="0" applyFont="1" applyFill="1" applyBorder="1" applyAlignment="1">
      <alignment horizontal="justify" vertical="center" wrapText="1"/>
    </xf>
    <xf numFmtId="0" fontId="0" fillId="7" borderId="13" xfId="0" applyFill="1" applyBorder="1"/>
    <xf numFmtId="0" fontId="0" fillId="8" borderId="0" xfId="0" applyFill="1"/>
    <xf numFmtId="0" fontId="8" fillId="0" borderId="0" xfId="2"/>
    <xf numFmtId="9" fontId="0" fillId="0" borderId="0" xfId="1" applyFont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5" xfId="0" applyBorder="1"/>
    <xf numFmtId="0" fontId="0" fillId="0" borderId="15" xfId="0" applyBorder="1"/>
    <xf numFmtId="0" fontId="0" fillId="0" borderId="14" xfId="0" applyBorder="1"/>
    <xf numFmtId="0" fontId="0" fillId="9" borderId="0" xfId="0" applyFill="1"/>
    <xf numFmtId="0" fontId="9" fillId="10" borderId="0" xfId="4"/>
    <xf numFmtId="0" fontId="0" fillId="0" borderId="19" xfId="0" applyBorder="1"/>
    <xf numFmtId="43" fontId="9" fillId="10" borderId="0" xfId="4" applyNumberFormat="1" applyBorder="1"/>
    <xf numFmtId="43" fontId="0" fillId="0" borderId="17" xfId="3" applyFont="1" applyBorder="1"/>
    <xf numFmtId="43" fontId="9" fillId="10" borderId="20" xfId="4" applyNumberFormat="1" applyBorder="1"/>
    <xf numFmtId="43" fontId="0" fillId="0" borderId="5" xfId="3" applyFont="1" applyBorder="1"/>
    <xf numFmtId="43" fontId="0" fillId="0" borderId="0" xfId="0" applyNumberFormat="1"/>
    <xf numFmtId="0" fontId="0" fillId="0" borderId="0" xfId="0" applyBorder="1"/>
    <xf numFmtId="43" fontId="0" fillId="0" borderId="0" xfId="3" applyFont="1" applyBorder="1"/>
    <xf numFmtId="0" fontId="10" fillId="0" borderId="0" xfId="5"/>
    <xf numFmtId="0" fontId="0" fillId="0" borderId="0" xfId="0" applyAlignment="1">
      <alignment horizontal="center"/>
    </xf>
    <xf numFmtId="0" fontId="0" fillId="0" borderId="0" xfId="0" applyFill="1"/>
    <xf numFmtId="43" fontId="0" fillId="0" borderId="0" xfId="0" applyNumberFormat="1" applyBorder="1"/>
    <xf numFmtId="0" fontId="9" fillId="0" borderId="0" xfId="4" applyFill="1" applyBorder="1"/>
    <xf numFmtId="0" fontId="9" fillId="10" borderId="17" xfId="4" applyBorder="1"/>
    <xf numFmtId="43" fontId="0" fillId="0" borderId="20" xfId="0" applyNumberFormat="1" applyBorder="1"/>
    <xf numFmtId="0" fontId="0" fillId="0" borderId="20" xfId="0" applyBorder="1"/>
    <xf numFmtId="0" fontId="0" fillId="0" borderId="3" xfId="0" applyBorder="1"/>
    <xf numFmtId="0" fontId="0" fillId="0" borderId="13" xfId="0" applyBorder="1"/>
    <xf numFmtId="43" fontId="0" fillId="0" borderId="19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19" xfId="0" applyNumberFormat="1" applyBorder="1"/>
    <xf numFmtId="165" fontId="0" fillId="0" borderId="0" xfId="0" applyNumberFormat="1" applyBorder="1"/>
    <xf numFmtId="165" fontId="0" fillId="0" borderId="20" xfId="0" applyNumberFormat="1" applyBorder="1"/>
    <xf numFmtId="1" fontId="0" fillId="0" borderId="14" xfId="0" applyNumberFormat="1" applyBorder="1"/>
    <xf numFmtId="1" fontId="0" fillId="0" borderId="16" xfId="0" applyNumberFormat="1" applyBorder="1"/>
    <xf numFmtId="1" fontId="0" fillId="0" borderId="18" xfId="0" applyNumberFormat="1" applyBorder="1"/>
    <xf numFmtId="167" fontId="9" fillId="10" borderId="17" xfId="4" applyNumberFormat="1" applyBorder="1"/>
    <xf numFmtId="167" fontId="9" fillId="10" borderId="5" xfId="4" applyNumberFormat="1" applyBorder="1"/>
    <xf numFmtId="164" fontId="9" fillId="10" borderId="15" xfId="4" applyNumberFormat="1" applyBorder="1"/>
    <xf numFmtId="164" fontId="9" fillId="10" borderId="17" xfId="4" applyNumberFormat="1" applyBorder="1"/>
    <xf numFmtId="164" fontId="9" fillId="10" borderId="5" xfId="4" applyNumberFormat="1" applyBorder="1"/>
    <xf numFmtId="43" fontId="9" fillId="10" borderId="0" xfId="4" applyNumberFormat="1"/>
    <xf numFmtId="0" fontId="11" fillId="0" borderId="0" xfId="0" applyFont="1"/>
    <xf numFmtId="0" fontId="0" fillId="9" borderId="16" xfId="0" applyFill="1" applyBorder="1"/>
    <xf numFmtId="0" fontId="0" fillId="9" borderId="0" xfId="0" applyFill="1" applyBorder="1"/>
    <xf numFmtId="0" fontId="0" fillId="9" borderId="18" xfId="0" applyFill="1" applyBorder="1"/>
    <xf numFmtId="0" fontId="0" fillId="9" borderId="20" xfId="0" applyFill="1" applyBorder="1"/>
    <xf numFmtId="0" fontId="12" fillId="9" borderId="0" xfId="0" applyFont="1" applyFill="1"/>
    <xf numFmtId="43" fontId="11" fillId="8" borderId="12" xfId="0" applyNumberFormat="1" applyFont="1" applyFill="1" applyBorder="1"/>
    <xf numFmtId="0" fontId="11" fillId="8" borderId="13" xfId="0" applyFont="1" applyFill="1" applyBorder="1"/>
    <xf numFmtId="0" fontId="11" fillId="8" borderId="3" xfId="0" applyFont="1" applyFill="1" applyBorder="1"/>
    <xf numFmtId="165" fontId="0" fillId="0" borderId="0" xfId="0" applyNumberFormat="1"/>
  </cellXfs>
  <cellStyles count="6">
    <cellStyle name="Comma" xfId="3" builtinId="3"/>
    <cellStyle name="Explanatory Text" xfId="5" builtinId="53"/>
    <cellStyle name="Hyperlink" xfId="2" builtinId="8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Size</a:t>
            </a:r>
            <a:r>
              <a:rPr lang="en-CA" baseline="0"/>
              <a:t> &amp; Range - figure 1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444597550306218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Sheet1!$L$23:$L$26</c:f>
              <c:numCache>
                <c:formatCode>General</c:formatCode>
                <c:ptCount val="4"/>
                <c:pt idx="0">
                  <c:v>1100</c:v>
                </c:pt>
                <c:pt idx="1">
                  <c:v>1500</c:v>
                </c:pt>
                <c:pt idx="2">
                  <c:v>1750</c:v>
                </c:pt>
                <c:pt idx="3">
                  <c:v>2100</c:v>
                </c:pt>
              </c:numCache>
            </c:numRef>
          </c:xVal>
          <c:yVal>
            <c:numRef>
              <c:f>Sheet1!$M$23:$M$26</c:f>
              <c:numCache>
                <c:formatCode>General</c:formatCode>
                <c:ptCount val="4"/>
                <c:pt idx="0">
                  <c:v>0</c:v>
                </c:pt>
                <c:pt idx="1">
                  <c:v>155.04</c:v>
                </c:pt>
                <c:pt idx="2">
                  <c:v>168.72</c:v>
                </c:pt>
                <c:pt idx="3">
                  <c:v>188.78399999999996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2-438E-9D66-39F190AA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21728"/>
        <c:axId val="515719432"/>
      </c:scatterChart>
      <c:valAx>
        <c:axId val="51572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19432"/>
        <c:crosses val="autoZero"/>
        <c:crossBetween val="midCat"/>
      </c:valAx>
      <c:valAx>
        <c:axId val="51571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2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'ICEV use phase (old)'!$T$2</c:f>
              <c:strCache>
                <c:ptCount val="1"/>
                <c:pt idx="0">
                  <c:v>Mean of medians of WLTP high and low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'ICEV use phase (old)'!$T$3:$T$8</c:f>
              <c:numCache>
                <c:formatCode>_(* #,##0.00_);_(* \(#,##0.00\);_(* "-"??_);_(@_)</c:formatCode>
                <c:ptCount val="6"/>
                <c:pt idx="0">
                  <c:v>111</c:v>
                </c:pt>
                <c:pt idx="1">
                  <c:v>134.5</c:v>
                </c:pt>
                <c:pt idx="2">
                  <c:v>142</c:v>
                </c:pt>
                <c:pt idx="3">
                  <c:v>166.5</c:v>
                </c:pt>
                <c:pt idx="4">
                  <c:v>179.5</c:v>
                </c:pt>
                <c:pt idx="5">
                  <c:v>215.75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'ICEV use phase'!#REF!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065-4508-ABDC-BB9A1C3B92DF}"/>
            </c:ext>
          </c:extLst>
        </c:ser>
        <c:ser>
          <c:idx val="1"/>
          <c:order val="1"/>
          <c:tx>
            <c:strRef>
              <c:f>'ICEV use phase (old)'!$U$2</c:f>
              <c:strCache>
                <c:ptCount val="1"/>
                <c:pt idx="0">
                  <c:v>Mean of means (from descriptive statistics)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'ICEV use phase (old)'!$U$3:$U$8</c:f>
              <c:numCache>
                <c:formatCode>_(* #,##0.00_);_(* \(#,##0.00\);_(* "-"??_);_(@_)</c:formatCode>
                <c:ptCount val="6"/>
                <c:pt idx="0">
                  <c:v>111</c:v>
                </c:pt>
                <c:pt idx="1">
                  <c:v>133.94999999999999</c:v>
                </c:pt>
                <c:pt idx="2">
                  <c:v>144.60447761194001</c:v>
                </c:pt>
                <c:pt idx="3">
                  <c:v>167.575757575757</c:v>
                </c:pt>
                <c:pt idx="4">
                  <c:v>179.97727272727201</c:v>
                </c:pt>
                <c:pt idx="5">
                  <c:v>220.63333333333301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'ICEV use phase'!#REF!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065-4508-ABDC-BB9A1C3B9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6846512"/>
        <c:axId val="1847585168"/>
      </c:lineChart>
      <c:catAx>
        <c:axId val="20368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85168"/>
        <c:crosses val="autoZero"/>
        <c:auto val="1"/>
        <c:lblAlgn val="ctr"/>
        <c:lblOffset val="100"/>
        <c:noMultiLvlLbl val="0"/>
      </c:catAx>
      <c:valAx>
        <c:axId val="18475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8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428626</xdr:colOff>
      <xdr:row>27</xdr:row>
      <xdr:rowOff>47624</xdr:rowOff>
    </xdr:from>
    <xdr:to>
      <xdr:col>15</xdr:col>
      <xdr:colOff>126207</xdr:colOff>
      <xdr:row>41</xdr:row>
      <xdr:rowOff>105965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514349</xdr:colOff>
      <xdr:row>2</xdr:row>
      <xdr:rowOff>109536</xdr:rowOff>
    </xdr:from>
    <xdr:to>
      <xdr:col>28</xdr:col>
      <xdr:colOff>323849</xdr:colOff>
      <xdr:row>22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B8690-8310-4224-BA84-0C4621CEA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hun/Box%20Sync/Cars%20R%20US/Third%20party%20vehicle%20data/mercedes_WLT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hun/Box%20Sync/Cars%20R%20US/Third%20party%20vehicle%20data/v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hun/Box%20Sync/Cars%20R%20US/Third%20party%20vehicle%20data/vw_mercedes_ic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Q4" t="str">
            <v>A</v>
          </cell>
        </row>
        <row r="5">
          <cell r="Q5" t="str">
            <v>B</v>
          </cell>
        </row>
        <row r="6">
          <cell r="Q6" t="str">
            <v>C</v>
          </cell>
          <cell r="R6">
            <v>152.19512195121951</v>
          </cell>
          <cell r="S6">
            <v>134.1219512195122</v>
          </cell>
        </row>
        <row r="7">
          <cell r="Q7" t="str">
            <v>D</v>
          </cell>
          <cell r="R7">
            <v>175.7816091954023</v>
          </cell>
          <cell r="S7">
            <v>157.64367816091954</v>
          </cell>
        </row>
        <row r="8">
          <cell r="Q8" t="str">
            <v>E</v>
          </cell>
          <cell r="R8">
            <v>190.75409836065575</v>
          </cell>
          <cell r="S8">
            <v>170</v>
          </cell>
        </row>
        <row r="9">
          <cell r="Q9" t="str">
            <v>F</v>
          </cell>
          <cell r="R9">
            <v>231.73333333333332</v>
          </cell>
          <cell r="S9">
            <v>209.53333333333333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w"/>
      <sheetName val="desc stats"/>
      <sheetName val="desc stats by segment"/>
      <sheetName val="median by segment"/>
    </sheetNames>
    <sheetDataSet>
      <sheetData sheetId="0" refreshError="1"/>
      <sheetData sheetId="1" refreshError="1"/>
      <sheetData sheetId="2" refreshError="1"/>
      <sheetData sheetId="3">
        <row r="4">
          <cell r="D4">
            <v>113.5</v>
          </cell>
          <cell r="E4">
            <v>108.5</v>
          </cell>
        </row>
        <row r="5">
          <cell r="D5">
            <v>139</v>
          </cell>
          <cell r="E5">
            <v>130</v>
          </cell>
        </row>
        <row r="6">
          <cell r="D6">
            <v>147.5</v>
          </cell>
          <cell r="E6">
            <v>136.5</v>
          </cell>
        </row>
        <row r="7">
          <cell r="D7">
            <v>178</v>
          </cell>
          <cell r="E7">
            <v>167</v>
          </cell>
        </row>
        <row r="8">
          <cell r="D8">
            <v>181</v>
          </cell>
          <cell r="E8">
            <v>169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 values"/>
      <sheetName val="descriptive stats"/>
      <sheetName val="median"/>
      <sheetName val="median of mean WLTP values"/>
    </sheetNames>
    <sheetDataSet>
      <sheetData sheetId="0"/>
      <sheetData sheetId="1"/>
      <sheetData sheetId="2">
        <row r="4">
          <cell r="G4">
            <v>111</v>
          </cell>
        </row>
        <row r="5">
          <cell r="G5">
            <v>135</v>
          </cell>
        </row>
        <row r="7">
          <cell r="G7">
            <v>135.5</v>
          </cell>
        </row>
        <row r="8">
          <cell r="G8">
            <v>136</v>
          </cell>
        </row>
        <row r="10">
          <cell r="G10">
            <v>151.25</v>
          </cell>
        </row>
        <row r="12">
          <cell r="G12">
            <v>148.25</v>
          </cell>
        </row>
        <row r="14">
          <cell r="G14">
            <v>176.75</v>
          </cell>
        </row>
        <row r="16">
          <cell r="G16">
            <v>169</v>
          </cell>
        </row>
        <row r="18">
          <cell r="G18">
            <v>188.75</v>
          </cell>
        </row>
        <row r="20">
          <cell r="G20">
            <v>185.75</v>
          </cell>
        </row>
        <row r="21">
          <cell r="G21">
            <v>239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hristine Hung" id="{FDFBB03C-7A38-4EF3-A5B0-64708E03A64A}" userId="S::chrishun@ntnu.no::a401f737-0463-4231-bcf0-4f88e0baa0c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6" dT="2020-02-11T19:31:54.17" personId="{FDFBB03C-7A38-4EF3-A5B0-64708E03A64A}" id="{50411104-D421-4864-9159-C45E7C9EB28C}">
    <text>WLTP values, average per segment, from EV database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wltpfacts.eu/link-between-co2-emissions-fuel-consumptio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R38"/>
  <sheetViews>
    <sheetView tabSelected="1" topLeftCell="B1" zoomScale="160" zoomScaleNormal="160" workbookViewId="0">
      <selection activeCell="B16" sqref="B16"/>
    </sheetView>
  </sheetViews>
  <sheetFormatPr defaultRowHeight="15" x14ac:dyDescent="0.25"/>
  <cols>
    <col min="2" max="2" width="29.140625" bestFit="1" customWidth="1"/>
    <col min="3" max="3" width="29.140625" customWidth="1"/>
    <col min="4" max="4" width="12.42578125" bestFit="1" customWidth="1"/>
    <col min="5" max="5" width="12" bestFit="1" customWidth="1"/>
  </cols>
  <sheetData>
    <row r="1" spans="1:18" x14ac:dyDescent="0.25">
      <c r="D1" t="s">
        <v>0</v>
      </c>
      <c r="E1" t="s">
        <v>1</v>
      </c>
      <c r="F1" t="s">
        <v>2</v>
      </c>
      <c r="G1" t="s">
        <v>3</v>
      </c>
      <c r="H1" t="s">
        <v>9</v>
      </c>
      <c r="I1" t="s">
        <v>10</v>
      </c>
      <c r="J1" t="s">
        <v>11</v>
      </c>
      <c r="K1" t="s">
        <v>12</v>
      </c>
      <c r="M1" s="73"/>
      <c r="N1" s="73" t="s">
        <v>0</v>
      </c>
      <c r="O1" s="73" t="s">
        <v>1</v>
      </c>
      <c r="P1" s="73" t="s">
        <v>2</v>
      </c>
      <c r="Q1" s="73" t="s">
        <v>3</v>
      </c>
    </row>
    <row r="2" spans="1:18" x14ac:dyDescent="0.25">
      <c r="A2" t="s">
        <v>4</v>
      </c>
      <c r="B2" t="s">
        <v>5</v>
      </c>
      <c r="C2" t="s">
        <v>16</v>
      </c>
      <c r="D2">
        <v>26.6</v>
      </c>
      <c r="E2">
        <v>42.1</v>
      </c>
      <c r="F2">
        <v>59.9</v>
      </c>
      <c r="G2">
        <v>89.8</v>
      </c>
      <c r="H2">
        <v>17.7</v>
      </c>
      <c r="I2">
        <v>24</v>
      </c>
      <c r="J2">
        <v>42</v>
      </c>
      <c r="K2">
        <v>60</v>
      </c>
      <c r="M2" s="73" t="s">
        <v>106</v>
      </c>
      <c r="N2" s="73">
        <f>SUM(D3,D5,D12)</f>
        <v>9.3849999999999998</v>
      </c>
      <c r="O2" s="73">
        <f>SUM(E3,E5,E12)</f>
        <v>13.474932735518831</v>
      </c>
      <c r="P2" s="73">
        <f>SUM(F3,F5,F12)</f>
        <v>16.829300037652491</v>
      </c>
      <c r="Q2" s="73">
        <f>SUM(G3,G5,G12)</f>
        <v>21.1271697595189</v>
      </c>
    </row>
    <row r="3" spans="1:18" x14ac:dyDescent="0.25">
      <c r="B3" t="s">
        <v>18</v>
      </c>
      <c r="C3" t="s">
        <v>15</v>
      </c>
      <c r="D3">
        <v>4.8</v>
      </c>
      <c r="E3">
        <v>6.5</v>
      </c>
      <c r="F3">
        <v>7</v>
      </c>
      <c r="G3">
        <v>8</v>
      </c>
      <c r="H3">
        <v>4.8</v>
      </c>
      <c r="I3">
        <v>6.5</v>
      </c>
      <c r="J3">
        <v>7</v>
      </c>
      <c r="K3">
        <v>8</v>
      </c>
      <c r="M3" s="73" t="s">
        <v>107</v>
      </c>
      <c r="N3" s="73">
        <f>D8</f>
        <v>3.6</v>
      </c>
      <c r="O3" s="73">
        <f>E8</f>
        <v>5.4</v>
      </c>
      <c r="P3" s="73">
        <f>F8</f>
        <v>8.5</v>
      </c>
      <c r="Q3" s="73">
        <f>G8</f>
        <v>10.5</v>
      </c>
    </row>
    <row r="4" spans="1:18" x14ac:dyDescent="0.25">
      <c r="B4" t="s">
        <v>19</v>
      </c>
      <c r="C4" t="s">
        <v>16</v>
      </c>
      <c r="D4">
        <f>20*0.601*253.4</f>
        <v>3045.8679999999999</v>
      </c>
      <c r="E4">
        <f>20*0.61344*393.11</f>
        <v>4822.9879679999995</v>
      </c>
      <c r="F4">
        <f>20*0.61922*553.41</f>
        <v>6853.650803999999</v>
      </c>
      <c r="G4">
        <f>20*0.614958*743</f>
        <v>9138.2758800000011</v>
      </c>
      <c r="M4" s="73"/>
      <c r="N4" s="73">
        <f>N2/N3</f>
        <v>2.6069444444444443</v>
      </c>
      <c r="O4" s="73">
        <f t="shared" ref="O4:Q4" si="0">O2/O3</f>
        <v>2.4953579139849684</v>
      </c>
      <c r="P4" s="73">
        <f t="shared" si="0"/>
        <v>1.9799176514885284</v>
      </c>
      <c r="Q4" s="73">
        <f t="shared" si="0"/>
        <v>2.0121114056684668</v>
      </c>
    </row>
    <row r="5" spans="1:18" x14ac:dyDescent="0.25">
      <c r="B5" t="s">
        <v>20</v>
      </c>
      <c r="C5" t="s">
        <v>15</v>
      </c>
      <c r="D5">
        <f>4.585-D12</f>
        <v>2.5014584034463323</v>
      </c>
      <c r="E5">
        <f>6974.93273551883/1000-E12</f>
        <v>3.675743128153754</v>
      </c>
      <c r="F5">
        <f>9829.30003765249/1000-F12</f>
        <v>5.1410251227883261</v>
      </c>
      <c r="G5">
        <f>13127.1697595189/1000-G12</f>
        <v>6.8760853669046842</v>
      </c>
      <c r="M5" s="73" t="s">
        <v>109</v>
      </c>
      <c r="N5" s="73">
        <f>D6</f>
        <v>161.1</v>
      </c>
      <c r="O5" s="73">
        <f>E6</f>
        <v>179.2</v>
      </c>
      <c r="P5" s="73">
        <f>F6</f>
        <v>172.7</v>
      </c>
      <c r="Q5" s="73">
        <f>G6</f>
        <v>211</v>
      </c>
    </row>
    <row r="6" spans="1:18" x14ac:dyDescent="0.25">
      <c r="B6" t="s">
        <v>6</v>
      </c>
      <c r="C6" t="s">
        <v>17</v>
      </c>
      <c r="D6" s="26">
        <f>'BEV use phase'!B4</f>
        <v>161.1</v>
      </c>
      <c r="E6" s="26">
        <f>'BEV use phase'!C4</f>
        <v>179.2</v>
      </c>
      <c r="F6" s="26">
        <f>'BEV use phase'!D4</f>
        <v>172.7</v>
      </c>
      <c r="G6" s="26">
        <f>'BEV use phase'!E4</f>
        <v>211</v>
      </c>
      <c r="H6" s="47">
        <v>146</v>
      </c>
      <c r="I6" s="47">
        <v>170</v>
      </c>
      <c r="J6" s="47">
        <v>185</v>
      </c>
      <c r="K6" s="47">
        <v>207</v>
      </c>
      <c r="M6" s="73"/>
      <c r="N6" s="73">
        <f>$R$6*(N5/1000)</f>
        <v>193.32</v>
      </c>
      <c r="O6" s="73">
        <f t="shared" ref="O6:Q6" si="1">$R$6*(O5/1000)</f>
        <v>215.04</v>
      </c>
      <c r="P6" s="73">
        <f t="shared" si="1"/>
        <v>207.23999999999998</v>
      </c>
      <c r="Q6" s="73">
        <f t="shared" si="1"/>
        <v>253.2</v>
      </c>
      <c r="R6">
        <v>1200</v>
      </c>
    </row>
    <row r="7" spans="1:18" x14ac:dyDescent="0.25">
      <c r="B7" t="s">
        <v>7</v>
      </c>
      <c r="C7" t="s">
        <v>15</v>
      </c>
      <c r="D7">
        <v>0.5</v>
      </c>
      <c r="E7">
        <v>0.7</v>
      </c>
      <c r="F7">
        <v>0.7</v>
      </c>
      <c r="G7">
        <v>0.9</v>
      </c>
      <c r="H7">
        <v>0.5</v>
      </c>
      <c r="I7">
        <v>0.7</v>
      </c>
      <c r="J7">
        <v>0.7</v>
      </c>
      <c r="K7">
        <v>0.9</v>
      </c>
      <c r="M7" s="73" t="s">
        <v>108</v>
      </c>
      <c r="N7" s="73">
        <v>124</v>
      </c>
      <c r="O7" s="73">
        <v>149</v>
      </c>
      <c r="P7" s="73">
        <v>166</v>
      </c>
      <c r="Q7" s="73">
        <v>205</v>
      </c>
    </row>
    <row r="8" spans="1:18" ht="15.75" thickBot="1" x14ac:dyDescent="0.3">
      <c r="A8" t="s">
        <v>8</v>
      </c>
      <c r="B8" t="s">
        <v>21</v>
      </c>
      <c r="C8" t="s">
        <v>15</v>
      </c>
      <c r="D8">
        <v>3.6</v>
      </c>
      <c r="E8">
        <v>5.4</v>
      </c>
      <c r="F8">
        <v>8.5</v>
      </c>
      <c r="G8">
        <v>10.5</v>
      </c>
      <c r="H8">
        <v>3.6</v>
      </c>
      <c r="I8">
        <v>5.4</v>
      </c>
      <c r="J8">
        <v>8.5</v>
      </c>
      <c r="K8">
        <v>10.5</v>
      </c>
      <c r="M8" s="73" t="s">
        <v>105</v>
      </c>
      <c r="N8" s="73">
        <f>N6/N7</f>
        <v>1.5590322580645162</v>
      </c>
      <c r="O8" s="73">
        <f t="shared" ref="O8:Q8" si="2">O6/O7</f>
        <v>1.443221476510067</v>
      </c>
      <c r="P8" s="73">
        <f t="shared" si="2"/>
        <v>1.248433734939759</v>
      </c>
      <c r="Q8" s="73">
        <f t="shared" si="2"/>
        <v>1.2351219512195122</v>
      </c>
    </row>
    <row r="9" spans="1:18" ht="15.75" thickBot="1" x14ac:dyDescent="0.3">
      <c r="B9" t="s">
        <v>6</v>
      </c>
      <c r="C9" t="s">
        <v>15</v>
      </c>
      <c r="D9">
        <f>'ICEV use phase (2)'!B21</f>
        <v>23.736457765667577</v>
      </c>
      <c r="E9">
        <f>'ICEV use phase (2)'!B23</f>
        <v>30.98688033233573</v>
      </c>
      <c r="F9">
        <f>'ICEV use phase (2)'!B24</f>
        <v>35.047812067271181</v>
      </c>
      <c r="G9">
        <f>'ICEV use phase (2)'!B26</f>
        <v>45.788684113548037</v>
      </c>
      <c r="H9">
        <v>22.3</v>
      </c>
      <c r="I9">
        <v>26.9</v>
      </c>
      <c r="J9">
        <v>29.8</v>
      </c>
      <c r="K9">
        <v>37</v>
      </c>
      <c r="M9" s="73"/>
      <c r="N9" s="79">
        <f>'ICEV use phase (old)'!T27</f>
        <v>23.568588634196896</v>
      </c>
      <c r="O9" s="80">
        <f>'ICEV use phase (old)'!T29</f>
        <v>31.477618913684214</v>
      </c>
      <c r="P9" s="80">
        <f>'ICEV use phase (old)'!T30</f>
        <v>36.908616543157898</v>
      </c>
      <c r="Q9" s="81">
        <f>'ICEV use phase (old)'!T32</f>
        <v>47.826030145263168</v>
      </c>
    </row>
    <row r="10" spans="1:18" x14ac:dyDescent="0.25">
      <c r="B10" t="s">
        <v>7</v>
      </c>
      <c r="C10" t="s">
        <v>15</v>
      </c>
      <c r="D10">
        <v>0.3</v>
      </c>
      <c r="E10">
        <v>0.5</v>
      </c>
      <c r="F10">
        <v>0.6</v>
      </c>
      <c r="G10">
        <v>0.7</v>
      </c>
      <c r="H10">
        <v>0.3</v>
      </c>
      <c r="I10">
        <v>0.5</v>
      </c>
      <c r="J10">
        <v>0.6</v>
      </c>
      <c r="K10">
        <v>0.7</v>
      </c>
    </row>
    <row r="11" spans="1:18" x14ac:dyDescent="0.25">
      <c r="C11" t="s">
        <v>15</v>
      </c>
    </row>
    <row r="12" spans="1:18" x14ac:dyDescent="0.25">
      <c r="B12" t="s">
        <v>14</v>
      </c>
      <c r="C12" t="s">
        <v>15</v>
      </c>
      <c r="D12" s="48">
        <f>D4*$B$15/1000</f>
        <v>2.0835415965536677</v>
      </c>
      <c r="E12">
        <f>E4*$B$15/1000</f>
        <v>3.2991896073650757</v>
      </c>
      <c r="F12">
        <f>F4*$B$15/1000</f>
        <v>4.6882749148641647</v>
      </c>
      <c r="G12">
        <f>G4*$B$15/1000</f>
        <v>6.2510843926142154</v>
      </c>
      <c r="N12">
        <f>D4*984/1000000+D3+D5</f>
        <v>10.298592515446332</v>
      </c>
    </row>
    <row r="13" spans="1:18" x14ac:dyDescent="0.25">
      <c r="B13" t="s">
        <v>103</v>
      </c>
      <c r="D13">
        <f>D12+D5</f>
        <v>4.585</v>
      </c>
      <c r="E13">
        <f>E12+E5</f>
        <v>6.9749327355188298</v>
      </c>
      <c r="F13">
        <f>F12+F5</f>
        <v>9.8293000376524908</v>
      </c>
      <c r="G13">
        <f>G12+G5</f>
        <v>13.1271697595189</v>
      </c>
    </row>
    <row r="14" spans="1:18" x14ac:dyDescent="0.25">
      <c r="D14">
        <f>D13+D3</f>
        <v>9.3849999999999998</v>
      </c>
      <c r="E14">
        <f>E13+E3</f>
        <v>13.474932735518831</v>
      </c>
      <c r="F14">
        <f>F13+F3</f>
        <v>16.829300037652491</v>
      </c>
      <c r="G14">
        <f>G13+G3</f>
        <v>21.1271697595189</v>
      </c>
    </row>
    <row r="15" spans="1:18" x14ac:dyDescent="0.25">
      <c r="A15" t="s">
        <v>13</v>
      </c>
      <c r="B15">
        <v>0.68405511878836101</v>
      </c>
      <c r="C15" t="s">
        <v>104</v>
      </c>
      <c r="D15">
        <f>D14*1000*1000/180000</f>
        <v>52.138888888888886</v>
      </c>
      <c r="E15">
        <f>E14*1000*1000/180000</f>
        <v>74.860737419549054</v>
      </c>
      <c r="F15">
        <f>F14*1000*1000/180000</f>
        <v>93.496111320291604</v>
      </c>
      <c r="G15">
        <f>G14*1000*1000/180000</f>
        <v>117.37316533066056</v>
      </c>
    </row>
    <row r="17" spans="3:14" ht="15.75" thickBot="1" x14ac:dyDescent="0.3"/>
    <row r="18" spans="3:14" ht="17.25" thickBot="1" x14ac:dyDescent="0.3">
      <c r="C18" s="2"/>
      <c r="D18" s="3" t="s">
        <v>59</v>
      </c>
      <c r="E18" s="3" t="s">
        <v>60</v>
      </c>
      <c r="F18" s="3" t="s">
        <v>61</v>
      </c>
      <c r="G18" s="3" t="s">
        <v>3</v>
      </c>
    </row>
    <row r="19" spans="3:14" ht="17.25" thickBot="1" x14ac:dyDescent="0.3">
      <c r="C19" s="4" t="s">
        <v>62</v>
      </c>
      <c r="D19" s="5">
        <v>923</v>
      </c>
      <c r="E19" s="5">
        <v>1247</v>
      </c>
      <c r="F19" s="5">
        <v>1407</v>
      </c>
      <c r="G19" s="5">
        <v>1547</v>
      </c>
    </row>
    <row r="20" spans="3:14" ht="17.25" thickBot="1" x14ac:dyDescent="0.3">
      <c r="C20" s="4" t="s">
        <v>63</v>
      </c>
      <c r="D20" s="5">
        <v>253.4</v>
      </c>
      <c r="E20" s="5">
        <v>393.11</v>
      </c>
      <c r="F20" s="5">
        <v>553.41</v>
      </c>
      <c r="G20" s="5">
        <v>743</v>
      </c>
    </row>
    <row r="21" spans="3:14" ht="17.25" thickBot="1" x14ac:dyDescent="0.3">
      <c r="C21" s="4" t="s">
        <v>64</v>
      </c>
      <c r="D21" s="5">
        <v>26.6</v>
      </c>
      <c r="E21" s="5">
        <v>42.1</v>
      </c>
      <c r="F21" s="5">
        <v>59.9</v>
      </c>
      <c r="G21" s="5">
        <v>89.8</v>
      </c>
    </row>
    <row r="22" spans="3:14" ht="16.5" x14ac:dyDescent="0.25">
      <c r="C22" s="6" t="s">
        <v>65</v>
      </c>
      <c r="D22">
        <f>D19+D20</f>
        <v>1176.4000000000001</v>
      </c>
      <c r="E22">
        <f>E19+E20</f>
        <v>1640.1100000000001</v>
      </c>
      <c r="F22">
        <f>F19+F20</f>
        <v>1960.4099999999999</v>
      </c>
      <c r="G22">
        <f>G19+G20</f>
        <v>2290</v>
      </c>
    </row>
    <row r="23" spans="3:14" ht="16.5" x14ac:dyDescent="0.25">
      <c r="C23" s="6" t="s">
        <v>66</v>
      </c>
      <c r="D23">
        <v>1100</v>
      </c>
      <c r="E23" s="6">
        <v>1500</v>
      </c>
      <c r="F23" s="6">
        <v>1750</v>
      </c>
      <c r="G23" s="6">
        <v>2100</v>
      </c>
      <c r="K23" t="s">
        <v>110</v>
      </c>
      <c r="L23">
        <v>1100</v>
      </c>
      <c r="M23" t="e">
        <f>K23*0.95*0.96</f>
        <v>#VALUE!</v>
      </c>
      <c r="N23" t="e">
        <f>K23*0.96</f>
        <v>#VALUE!</v>
      </c>
    </row>
    <row r="24" spans="3:14" ht="16.5" x14ac:dyDescent="0.25">
      <c r="C24" s="6" t="s">
        <v>74</v>
      </c>
      <c r="D24">
        <f>D22-D23</f>
        <v>76.400000000000091</v>
      </c>
      <c r="E24">
        <f>E22-E23</f>
        <v>140.11000000000013</v>
      </c>
      <c r="F24">
        <f>F22-F23</f>
        <v>210.40999999999985</v>
      </c>
      <c r="G24">
        <f>G22-G23</f>
        <v>190</v>
      </c>
      <c r="K24">
        <v>170</v>
      </c>
      <c r="L24">
        <v>1500</v>
      </c>
      <c r="M24">
        <f>K24*0.95*0.96</f>
        <v>155.04</v>
      </c>
      <c r="N24">
        <f>K24*0.96</f>
        <v>163.19999999999999</v>
      </c>
    </row>
    <row r="25" spans="3:14" ht="16.5" x14ac:dyDescent="0.25">
      <c r="C25" s="6"/>
      <c r="D25">
        <f>D24/100*5.6+D26</f>
        <v>150.2784</v>
      </c>
      <c r="E25">
        <f>E24/100*5.6+E26</f>
        <v>177.84616</v>
      </c>
      <c r="F25">
        <f>F24/100*5.6+F26</f>
        <v>196.78296</v>
      </c>
      <c r="G25">
        <f>G24/100*5.6+G26</f>
        <v>217.64</v>
      </c>
      <c r="K25">
        <v>185</v>
      </c>
      <c r="L25">
        <v>1750</v>
      </c>
      <c r="M25">
        <f>K25*0.95*0.96</f>
        <v>168.72</v>
      </c>
      <c r="N25">
        <f>K25*0.96</f>
        <v>177.6</v>
      </c>
    </row>
    <row r="26" spans="3:14" x14ac:dyDescent="0.25">
      <c r="C26" t="s">
        <v>67</v>
      </c>
      <c r="D26">
        <v>146</v>
      </c>
      <c r="E26">
        <v>170</v>
      </c>
      <c r="F26">
        <v>185</v>
      </c>
      <c r="G26">
        <v>207</v>
      </c>
      <c r="K26">
        <v>207</v>
      </c>
      <c r="L26">
        <v>2100</v>
      </c>
      <c r="M26">
        <f>K26*0.95*0.96</f>
        <v>188.78399999999996</v>
      </c>
      <c r="N26">
        <f>K26*0.96</f>
        <v>198.72</v>
      </c>
    </row>
    <row r="27" spans="3:14" ht="16.5" x14ac:dyDescent="0.25">
      <c r="C27" s="6" t="s">
        <v>68</v>
      </c>
      <c r="D27">
        <v>137.5</v>
      </c>
      <c r="E27">
        <v>163.5</v>
      </c>
      <c r="F27">
        <v>181.4</v>
      </c>
    </row>
    <row r="28" spans="3:14" ht="16.5" x14ac:dyDescent="0.25">
      <c r="C28" s="6" t="s">
        <v>69</v>
      </c>
      <c r="D28">
        <f>D27/0.96/0.95</f>
        <v>150.76754385964915</v>
      </c>
      <c r="E28">
        <f>E27/0.96/0.95</f>
        <v>179.2763157894737</v>
      </c>
      <c r="F28">
        <f>F27/0.96/0.95</f>
        <v>198.90350877192984</v>
      </c>
      <c r="G28">
        <f>G27/0.96/0.95</f>
        <v>0</v>
      </c>
    </row>
    <row r="29" spans="3:14" ht="15.75" thickBot="1" x14ac:dyDescent="0.3"/>
    <row r="30" spans="3:14" ht="17.25" thickBot="1" x14ac:dyDescent="0.3">
      <c r="C30" s="24" t="s">
        <v>102</v>
      </c>
      <c r="D30" s="25">
        <f>(D22*0.0556+71.84)/0.96</f>
        <v>142.9665</v>
      </c>
      <c r="E30" s="25">
        <f>(E22*0.0556+71.84)/0.96</f>
        <v>169.82303750000003</v>
      </c>
      <c r="F30" s="25">
        <f>(F22*0.0556+71.84)/0.96</f>
        <v>188.37374583333334</v>
      </c>
      <c r="G30" s="25">
        <f>(G22*0.0556+71.84)/0.96</f>
        <v>207.46250000000001</v>
      </c>
    </row>
    <row r="34" spans="2:7" x14ac:dyDescent="0.25">
      <c r="B34" s="7" t="s">
        <v>73</v>
      </c>
      <c r="C34" s="8" t="s">
        <v>70</v>
      </c>
    </row>
    <row r="35" spans="2:7" x14ac:dyDescent="0.25">
      <c r="B35" s="9"/>
      <c r="C35" s="10" t="s">
        <v>71</v>
      </c>
    </row>
    <row r="36" spans="2:7" x14ac:dyDescent="0.25">
      <c r="B36" s="11"/>
      <c r="C36" s="12" t="s">
        <v>72</v>
      </c>
    </row>
    <row r="38" spans="2:7" x14ac:dyDescent="0.25">
      <c r="C38" t="s">
        <v>124</v>
      </c>
      <c r="D38">
        <v>124</v>
      </c>
      <c r="E38">
        <v>149</v>
      </c>
      <c r="F38">
        <v>166</v>
      </c>
      <c r="G38">
        <v>205</v>
      </c>
    </row>
  </sheetData>
  <conditionalFormatting sqref="I14:L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Q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: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7782-BF57-4824-8476-C70F981D092F}">
  <sheetPr>
    <tabColor theme="9" tint="0.59999389629810485"/>
  </sheetPr>
  <dimension ref="A2:AB26"/>
  <sheetViews>
    <sheetView workbookViewId="0">
      <selection activeCell="F34" sqref="F34:F35"/>
    </sheetView>
  </sheetViews>
  <sheetFormatPr defaultRowHeight="15" x14ac:dyDescent="0.25"/>
  <cols>
    <col min="13" max="13" width="15.85546875" customWidth="1"/>
    <col min="30" max="30" width="26.85546875" customWidth="1"/>
    <col min="31" max="31" width="40.140625" bestFit="1" customWidth="1"/>
  </cols>
  <sheetData>
    <row r="2" spans="1:25" ht="15.75" thickBot="1" x14ac:dyDescent="0.3"/>
    <row r="3" spans="1:25" x14ac:dyDescent="0.25">
      <c r="A3" s="36"/>
      <c r="B3" s="39"/>
      <c r="C3" s="39"/>
      <c r="D3" s="39" t="s">
        <v>152</v>
      </c>
      <c r="E3" s="39" t="s">
        <v>153</v>
      </c>
      <c r="F3" s="39" t="s">
        <v>156</v>
      </c>
      <c r="G3" s="35"/>
      <c r="Y3" s="45"/>
    </row>
    <row r="4" spans="1:25" x14ac:dyDescent="0.25">
      <c r="A4" s="74" t="s">
        <v>157</v>
      </c>
      <c r="B4" s="45"/>
      <c r="C4" s="75" t="s">
        <v>115</v>
      </c>
      <c r="D4" s="75">
        <v>73.2</v>
      </c>
      <c r="E4" s="75">
        <v>73.400000000000006</v>
      </c>
      <c r="F4" s="45" t="s">
        <v>223</v>
      </c>
      <c r="G4" s="32"/>
      <c r="Y4" s="46"/>
    </row>
    <row r="5" spans="1:25" x14ac:dyDescent="0.25">
      <c r="A5" s="31" t="s">
        <v>118</v>
      </c>
      <c r="B5" s="45"/>
      <c r="C5" s="45" t="s">
        <v>115</v>
      </c>
      <c r="D5" s="45">
        <v>15.4</v>
      </c>
      <c r="E5" s="45">
        <v>13.8</v>
      </c>
      <c r="F5" s="45" t="s">
        <v>119</v>
      </c>
      <c r="G5" s="32"/>
      <c r="Y5" s="46"/>
    </row>
    <row r="6" spans="1:25" ht="15.75" thickBot="1" x14ac:dyDescent="0.3">
      <c r="A6" s="76" t="s">
        <v>158</v>
      </c>
      <c r="B6" s="54"/>
      <c r="C6" s="77" t="s">
        <v>115</v>
      </c>
      <c r="D6" s="77">
        <f>SUM(D4:D5)</f>
        <v>88.600000000000009</v>
      </c>
      <c r="E6" s="77">
        <f>SUM(E4:E5)</f>
        <v>87.2</v>
      </c>
      <c r="F6" s="54"/>
      <c r="G6" s="34"/>
      <c r="Y6" s="46"/>
    </row>
    <row r="7" spans="1:25" x14ac:dyDescent="0.25">
      <c r="Y7" s="46"/>
    </row>
    <row r="8" spans="1:25" x14ac:dyDescent="0.25">
      <c r="Y8" s="46"/>
    </row>
    <row r="9" spans="1:25" x14ac:dyDescent="0.25">
      <c r="Y9" s="46"/>
    </row>
    <row r="10" spans="1:25" ht="15.75" thickBot="1" x14ac:dyDescent="0.3"/>
    <row r="11" spans="1:25" ht="15.75" thickBot="1" x14ac:dyDescent="0.3">
      <c r="B11" s="58" t="s">
        <v>153</v>
      </c>
      <c r="C11" s="59"/>
      <c r="D11" s="59"/>
      <c r="E11" s="59"/>
      <c r="F11" s="60"/>
      <c r="G11" s="58" t="s">
        <v>152</v>
      </c>
      <c r="H11" s="59"/>
      <c r="I11" s="59"/>
      <c r="J11" s="59"/>
      <c r="K11" s="60"/>
    </row>
    <row r="12" spans="1:25" ht="15.75" thickBot="1" x14ac:dyDescent="0.3">
      <c r="A12" t="s">
        <v>114</v>
      </c>
      <c r="B12" s="36" t="s">
        <v>220</v>
      </c>
      <c r="C12" s="39" t="s">
        <v>116</v>
      </c>
      <c r="D12" s="39" t="s">
        <v>170</v>
      </c>
      <c r="E12" s="39" t="s">
        <v>169</v>
      </c>
      <c r="F12" s="35" t="s">
        <v>159</v>
      </c>
      <c r="G12" s="56" t="s">
        <v>220</v>
      </c>
      <c r="H12" s="56" t="s">
        <v>116</v>
      </c>
      <c r="I12" s="56" t="s">
        <v>170</v>
      </c>
      <c r="J12" s="56" t="s">
        <v>169</v>
      </c>
      <c r="K12" s="55" t="s">
        <v>159</v>
      </c>
    </row>
    <row r="13" spans="1:25" x14ac:dyDescent="0.25">
      <c r="A13" t="str">
        <f>[1]Sheet1!Q4</f>
        <v>A</v>
      </c>
      <c r="B13" s="64">
        <f>[3]median!$G$4</f>
        <v>111</v>
      </c>
      <c r="C13" s="57">
        <f>B13/$E$4</f>
        <v>1.5122615803814712</v>
      </c>
      <c r="D13" s="61">
        <f>C13/3.6*1000</f>
        <v>420.07266121707534</v>
      </c>
      <c r="E13" s="61">
        <f>C13*($E$6)</f>
        <v>131.86920980926431</v>
      </c>
      <c r="F13" s="69">
        <f>E13*180000/1000000</f>
        <v>23.736457765667577</v>
      </c>
      <c r="G13" s="51"/>
      <c r="H13" s="50">
        <f>G13/$D$4</f>
        <v>0</v>
      </c>
      <c r="I13" s="50">
        <f>H13/3.6*1000</f>
        <v>0</v>
      </c>
      <c r="J13" s="50">
        <f>H13*($D$6)</f>
        <v>0</v>
      </c>
      <c r="K13" s="52">
        <f>J13*180000/1000000</f>
        <v>0</v>
      </c>
    </row>
    <row r="14" spans="1:25" x14ac:dyDescent="0.25">
      <c r="A14" t="str">
        <f>[1]Sheet1!Q5</f>
        <v>B</v>
      </c>
      <c r="B14" s="65">
        <f>[3]median!$G$7</f>
        <v>135.5</v>
      </c>
      <c r="C14" s="50">
        <f>B14/$E$4</f>
        <v>1.8460490463215258</v>
      </c>
      <c r="D14" s="62">
        <f t="shared" ref="D14:D18" si="0">C14/3.6*1000</f>
        <v>512.79140175597934</v>
      </c>
      <c r="E14" s="62">
        <f>C14*($E$6)</f>
        <v>160.97547683923705</v>
      </c>
      <c r="F14" s="70">
        <f>E14*180000/1000000</f>
        <v>28.975585831062666</v>
      </c>
      <c r="G14" s="45">
        <f>[3]median!$G$5</f>
        <v>135</v>
      </c>
      <c r="H14" s="50">
        <f>G14/$D$4</f>
        <v>1.8442622950819672</v>
      </c>
      <c r="I14" s="62">
        <f t="shared" ref="I14:I18" si="1">H14/3.6*1000</f>
        <v>512.29508196721304</v>
      </c>
      <c r="J14" s="62">
        <f>H14*($D$6)</f>
        <v>163.40163934426229</v>
      </c>
      <c r="K14" s="67">
        <f>J14*180000/1000000</f>
        <v>29.412295081967212</v>
      </c>
    </row>
    <row r="15" spans="1:25" x14ac:dyDescent="0.25">
      <c r="A15" t="str">
        <f>[1]Sheet1!Q6</f>
        <v>C</v>
      </c>
      <c r="B15" s="65">
        <f>[3]median!$G$10</f>
        <v>151.25</v>
      </c>
      <c r="C15" s="50">
        <f>B15/$E$4</f>
        <v>2.0606267029972751</v>
      </c>
      <c r="D15" s="62">
        <f t="shared" si="0"/>
        <v>572.39630638813196</v>
      </c>
      <c r="E15" s="62">
        <f>C15*($E$6)</f>
        <v>179.68664850136238</v>
      </c>
      <c r="F15" s="70">
        <f>E15*180000/1000000</f>
        <v>32.343596730245231</v>
      </c>
      <c r="G15" s="45">
        <f>[3]median!$G$8</f>
        <v>136</v>
      </c>
      <c r="H15" s="50">
        <f>G15/$D$4</f>
        <v>1.8579234972677594</v>
      </c>
      <c r="I15" s="62">
        <f t="shared" si="1"/>
        <v>516.08986035215548</v>
      </c>
      <c r="J15" s="62">
        <f>H15*($D$6)</f>
        <v>164.61202185792351</v>
      </c>
      <c r="K15" s="67">
        <f>J15*180000/1000000</f>
        <v>29.630163934426232</v>
      </c>
    </row>
    <row r="16" spans="1:25" x14ac:dyDescent="0.25">
      <c r="A16" t="str">
        <f>[1]Sheet1!Q7</f>
        <v>D</v>
      </c>
      <c r="B16" s="65">
        <f>[3]median!$G$14</f>
        <v>176.75</v>
      </c>
      <c r="C16" s="50">
        <f>B16/$E$4</f>
        <v>2.4080381471389645</v>
      </c>
      <c r="D16" s="62">
        <f t="shared" si="0"/>
        <v>668.89948531637901</v>
      </c>
      <c r="E16" s="62">
        <f>C16*($E$6)</f>
        <v>209.98092643051771</v>
      </c>
      <c r="F16" s="70">
        <f>E16*180000/1000000</f>
        <v>37.796566757493189</v>
      </c>
      <c r="G16" s="45">
        <f>[3]median!$G$12</f>
        <v>148.25</v>
      </c>
      <c r="H16" s="50">
        <f>G16/$D$4</f>
        <v>2.0252732240437159</v>
      </c>
      <c r="I16" s="62">
        <f t="shared" si="1"/>
        <v>562.57589556769881</v>
      </c>
      <c r="J16" s="62">
        <f>H16*($D$6)</f>
        <v>179.43920765027323</v>
      </c>
      <c r="K16" s="67">
        <f>J16*180000/1000000</f>
        <v>32.299057377049181</v>
      </c>
    </row>
    <row r="17" spans="1:12" x14ac:dyDescent="0.25">
      <c r="A17" t="str">
        <f>[1]Sheet1!Q8</f>
        <v>E</v>
      </c>
      <c r="B17" s="65">
        <f>[3]median!$G$18</f>
        <v>188.75</v>
      </c>
      <c r="C17" s="50">
        <f>B17/$E$4</f>
        <v>2.5715258855585827</v>
      </c>
      <c r="D17" s="62">
        <f t="shared" si="0"/>
        <v>714.31274598849518</v>
      </c>
      <c r="E17" s="62">
        <f>C17*($E$6)</f>
        <v>224.23705722070844</v>
      </c>
      <c r="F17" s="70">
        <f>E17*180000/1000000</f>
        <v>40.362670299727519</v>
      </c>
      <c r="G17" s="45">
        <f>[3]median!$G$16</f>
        <v>169</v>
      </c>
      <c r="H17" s="50">
        <f>G17/$D$4</f>
        <v>2.3087431693989071</v>
      </c>
      <c r="I17" s="62">
        <f t="shared" si="1"/>
        <v>641.31754705525202</v>
      </c>
      <c r="J17" s="62">
        <f>H17*($D$6)</f>
        <v>204.55464480874318</v>
      </c>
      <c r="K17" s="67">
        <f>J17*180000/1000000</f>
        <v>36.819836065573774</v>
      </c>
    </row>
    <row r="18" spans="1:12" ht="15.75" thickBot="1" x14ac:dyDescent="0.3">
      <c r="A18" t="str">
        <f>[1]Sheet1!Q9</f>
        <v>F</v>
      </c>
      <c r="B18" s="66">
        <f>[3]median!$G$21</f>
        <v>239</v>
      </c>
      <c r="C18" s="53">
        <f>B18/$E$4</f>
        <v>3.2561307901907353</v>
      </c>
      <c r="D18" s="63">
        <f t="shared" si="0"/>
        <v>904.48077505298193</v>
      </c>
      <c r="E18" s="63">
        <f>C18*($E$6)</f>
        <v>283.93460490463212</v>
      </c>
      <c r="F18" s="71">
        <f>E18*180000/1000000</f>
        <v>51.108228882833778</v>
      </c>
      <c r="G18" s="54">
        <f>[3]median!$G$20</f>
        <v>185.75</v>
      </c>
      <c r="H18" s="53">
        <f>G18/$D$4</f>
        <v>2.5375683060109289</v>
      </c>
      <c r="I18" s="63">
        <f t="shared" si="1"/>
        <v>704.88008500303579</v>
      </c>
      <c r="J18" s="63">
        <f>H18*($D$6)</f>
        <v>224.82855191256832</v>
      </c>
      <c r="K18" s="68">
        <f>J18*180000/1000000</f>
        <v>40.469139344262295</v>
      </c>
    </row>
    <row r="19" spans="1:12" x14ac:dyDescent="0.25">
      <c r="H19" s="49"/>
      <c r="I19" s="49"/>
      <c r="J19" s="49"/>
      <c r="K19" s="49"/>
      <c r="L19" s="49"/>
    </row>
    <row r="20" spans="1:12" x14ac:dyDescent="0.25">
      <c r="B20" t="s">
        <v>221</v>
      </c>
      <c r="D20" t="s">
        <v>222</v>
      </c>
      <c r="H20" s="49"/>
      <c r="I20" s="49"/>
      <c r="J20" s="49"/>
      <c r="K20" s="49"/>
      <c r="L20" s="49"/>
    </row>
    <row r="21" spans="1:12" x14ac:dyDescent="0.25">
      <c r="A21" t="s">
        <v>0</v>
      </c>
      <c r="B21">
        <f>F13</f>
        <v>23.736457765667577</v>
      </c>
      <c r="C21" s="82">
        <f>D13</f>
        <v>420.07266121707534</v>
      </c>
      <c r="F21" s="44"/>
      <c r="G21" s="44"/>
      <c r="H21" s="44"/>
      <c r="I21" s="44"/>
      <c r="J21" s="44"/>
      <c r="K21" s="44"/>
      <c r="L21" s="44"/>
    </row>
    <row r="22" spans="1:12" x14ac:dyDescent="0.25">
      <c r="A22" t="s">
        <v>126</v>
      </c>
      <c r="B22">
        <f>AVERAGE(F14,K14)</f>
        <v>29.193940456514937</v>
      </c>
      <c r="C22" s="44">
        <f>AVERAGE(D14,I14)</f>
        <v>512.54324186159624</v>
      </c>
      <c r="D22">
        <f>0.58*F14+0.42*K14</f>
        <v>29.159003716442577</v>
      </c>
      <c r="E22" s="44">
        <f>0.58*D14+0.42*I14</f>
        <v>512.58294744469742</v>
      </c>
      <c r="G22" s="44"/>
      <c r="H22" s="44"/>
      <c r="I22" s="44"/>
      <c r="J22" s="44"/>
      <c r="K22" s="44"/>
      <c r="L22" s="44"/>
    </row>
    <row r="23" spans="1:12" x14ac:dyDescent="0.25">
      <c r="A23" t="s">
        <v>1</v>
      </c>
      <c r="B23">
        <f>AVERAGE(F15,K15)</f>
        <v>30.98688033233573</v>
      </c>
      <c r="C23" s="44">
        <f>AVERAGE(D15,I15)</f>
        <v>544.24308337014372</v>
      </c>
      <c r="D23">
        <f>0.58*F15+0.42*K15</f>
        <v>31.203954956001251</v>
      </c>
      <c r="E23" s="44">
        <f>0.58*D15+0.42*I15</f>
        <v>548.74759905302176</v>
      </c>
      <c r="G23" s="44"/>
      <c r="H23" s="44"/>
      <c r="I23" s="44"/>
      <c r="J23" s="44"/>
      <c r="K23" s="44"/>
      <c r="L23" s="44"/>
    </row>
    <row r="24" spans="1:12" x14ac:dyDescent="0.25">
      <c r="A24" t="s">
        <v>2</v>
      </c>
      <c r="B24">
        <f>AVERAGE(F16,K16)</f>
        <v>35.047812067271181</v>
      </c>
      <c r="C24" s="44">
        <f>AVERAGE(D16,I16)</f>
        <v>615.73769044203891</v>
      </c>
      <c r="D24">
        <f>0.58*F16+0.42*K16</f>
        <v>35.487612817706705</v>
      </c>
      <c r="E24" s="44">
        <f>0.58*D16+0.42*I16</f>
        <v>624.24357762193324</v>
      </c>
      <c r="G24" s="44"/>
      <c r="H24" s="44"/>
      <c r="I24" s="44"/>
      <c r="J24" s="44"/>
      <c r="K24" s="44"/>
      <c r="L24" s="44"/>
    </row>
    <row r="25" spans="1:12" x14ac:dyDescent="0.25">
      <c r="A25" t="s">
        <v>127</v>
      </c>
      <c r="B25">
        <f>AVERAGE(F17,K17)</f>
        <v>38.591253182650647</v>
      </c>
      <c r="C25" s="44">
        <f>AVERAGE(D17,I17)</f>
        <v>677.81514652187366</v>
      </c>
      <c r="D25">
        <f>0.58*F17+0.42*K17</f>
        <v>38.874679921382949</v>
      </c>
      <c r="E25" s="44">
        <f>0.58*D17+0.42*I17</f>
        <v>683.65476243653302</v>
      </c>
      <c r="G25" s="44"/>
      <c r="H25" s="44"/>
      <c r="I25" s="44"/>
      <c r="J25" s="44"/>
      <c r="K25" s="44"/>
      <c r="L25" s="44"/>
    </row>
    <row r="26" spans="1:12" x14ac:dyDescent="0.25">
      <c r="A26" t="s">
        <v>3</v>
      </c>
      <c r="B26">
        <f>AVERAGE(F18,K18)</f>
        <v>45.788684113548037</v>
      </c>
      <c r="C26" s="44">
        <f>AVERAGE(D18,I18)</f>
        <v>804.68043002800891</v>
      </c>
      <c r="D26">
        <f>0.58*F18+0.42*K18</f>
        <v>46.63981127663375</v>
      </c>
      <c r="E26" s="44">
        <f>0.58*D18+0.42*I18</f>
        <v>820.64848523200453</v>
      </c>
      <c r="G26" s="44"/>
      <c r="H26" s="44"/>
      <c r="I26" s="44"/>
      <c r="J26" s="44"/>
      <c r="K26" s="44"/>
      <c r="L26" s="44"/>
    </row>
  </sheetData>
  <mergeCells count="2">
    <mergeCell ref="G11:K11"/>
    <mergeCell ref="B11:F1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F7D1-97DC-4586-A554-9D2D03D05CD0}">
  <dimension ref="A1:X75"/>
  <sheetViews>
    <sheetView workbookViewId="0">
      <selection activeCell="I23" sqref="I23"/>
    </sheetView>
  </sheetViews>
  <sheetFormatPr defaultRowHeight="15" x14ac:dyDescent="0.25"/>
  <cols>
    <col min="13" max="13" width="15.85546875" customWidth="1"/>
    <col min="27" max="27" width="26.85546875" customWidth="1"/>
    <col min="28" max="28" width="40.140625" bestFit="1" customWidth="1"/>
  </cols>
  <sheetData>
    <row r="1" spans="1:23" ht="15.75" thickBot="1" x14ac:dyDescent="0.3">
      <c r="C1" t="s">
        <v>114</v>
      </c>
      <c r="D1">
        <v>95</v>
      </c>
      <c r="N1" t="s">
        <v>144</v>
      </c>
      <c r="P1" t="s">
        <v>147</v>
      </c>
      <c r="R1" t="s">
        <v>161</v>
      </c>
      <c r="S1" t="s">
        <v>147</v>
      </c>
      <c r="W1" t="s">
        <v>151</v>
      </c>
    </row>
    <row r="2" spans="1:23" x14ac:dyDescent="0.25">
      <c r="D2" t="s">
        <v>152</v>
      </c>
      <c r="E2" t="s">
        <v>153</v>
      </c>
      <c r="G2" t="s">
        <v>156</v>
      </c>
      <c r="M2" t="s">
        <v>114</v>
      </c>
      <c r="N2" t="s">
        <v>145</v>
      </c>
      <c r="O2" t="s">
        <v>146</v>
      </c>
      <c r="P2" t="s">
        <v>145</v>
      </c>
      <c r="Q2" t="s">
        <v>146</v>
      </c>
      <c r="R2" t="s">
        <v>162</v>
      </c>
      <c r="S2" t="s">
        <v>162</v>
      </c>
      <c r="T2" s="39" t="s">
        <v>163</v>
      </c>
      <c r="U2" s="35" t="s">
        <v>164</v>
      </c>
      <c r="V2" s="45"/>
      <c r="W2" t="s">
        <v>160</v>
      </c>
    </row>
    <row r="3" spans="1:23" x14ac:dyDescent="0.25">
      <c r="B3" t="s">
        <v>149</v>
      </c>
      <c r="C3" t="s">
        <v>111</v>
      </c>
      <c r="D3">
        <v>3.7</v>
      </c>
      <c r="E3">
        <v>4</v>
      </c>
      <c r="G3" s="27" t="s">
        <v>117</v>
      </c>
      <c r="M3" t="str">
        <f>[1]Sheet1!Q4</f>
        <v>A</v>
      </c>
      <c r="P3">
        <f>'[2]median by segment'!D4</f>
        <v>113.5</v>
      </c>
      <c r="Q3">
        <f>'[2]median by segment'!E4</f>
        <v>108.5</v>
      </c>
      <c r="S3">
        <f>AVERAGE(P3:Q3)</f>
        <v>111</v>
      </c>
      <c r="T3" s="40">
        <v>111</v>
      </c>
      <c r="U3" s="41">
        <v>111</v>
      </c>
      <c r="V3" s="46"/>
      <c r="W3">
        <v>108.5</v>
      </c>
    </row>
    <row r="4" spans="1:23" x14ac:dyDescent="0.25">
      <c r="B4" t="s">
        <v>150</v>
      </c>
      <c r="C4" t="s">
        <v>112</v>
      </c>
      <c r="D4">
        <v>38.6</v>
      </c>
      <c r="E4">
        <v>34.200000000000003</v>
      </c>
      <c r="F4" t="s">
        <v>155</v>
      </c>
      <c r="M4" t="str">
        <f>[1]Sheet1!Q5</f>
        <v>B</v>
      </c>
      <c r="P4">
        <f>'[2]median by segment'!D5</f>
        <v>139</v>
      </c>
      <c r="Q4">
        <f>'[2]median by segment'!E5</f>
        <v>130</v>
      </c>
      <c r="S4">
        <f t="shared" ref="S4:S7" si="0">AVERAGE(P4:Q4)</f>
        <v>134.5</v>
      </c>
      <c r="T4" s="40">
        <v>134.5</v>
      </c>
      <c r="U4" s="41">
        <v>133.94999999999999</v>
      </c>
      <c r="V4" s="46"/>
      <c r="W4">
        <v>114</v>
      </c>
    </row>
    <row r="5" spans="1:23" x14ac:dyDescent="0.25">
      <c r="C5" t="s">
        <v>113</v>
      </c>
      <c r="D5">
        <f>D4*D3</f>
        <v>142.82000000000002</v>
      </c>
      <c r="E5">
        <f>E3*E4</f>
        <v>136.80000000000001</v>
      </c>
      <c r="M5" t="str">
        <f>[1]Sheet1!Q6</f>
        <v>C</v>
      </c>
      <c r="N5">
        <f>[1]Sheet1!R6</f>
        <v>152.19512195121951</v>
      </c>
      <c r="O5">
        <f>[1]Sheet1!S6</f>
        <v>134.1219512195122</v>
      </c>
      <c r="P5">
        <f>'[2]median by segment'!D6</f>
        <v>147.5</v>
      </c>
      <c r="Q5">
        <f>'[2]median by segment'!E6</f>
        <v>136.5</v>
      </c>
      <c r="R5">
        <f t="shared" ref="R5:R8" si="1">AVERAGE(N5:O5)</f>
        <v>143.15853658536585</v>
      </c>
      <c r="S5">
        <f>AVERAGE(P5:Q5)</f>
        <v>142</v>
      </c>
      <c r="T5" s="40">
        <v>142</v>
      </c>
      <c r="U5" s="41">
        <v>144.60447761194001</v>
      </c>
      <c r="V5" s="46"/>
      <c r="W5">
        <v>118</v>
      </c>
    </row>
    <row r="6" spans="1:23" x14ac:dyDescent="0.25">
      <c r="B6" s="37" t="s">
        <v>157</v>
      </c>
      <c r="C6" s="37" t="s">
        <v>115</v>
      </c>
      <c r="D6" s="78">
        <f>D1/(D5/100)</f>
        <v>66.517294496569107</v>
      </c>
      <c r="E6" s="78">
        <f>D1/(E5/100)</f>
        <v>69.444444444444443</v>
      </c>
      <c r="F6">
        <f>5.98*E4*E6/100</f>
        <v>142.02500000000001</v>
      </c>
      <c r="M6" t="str">
        <f>[1]Sheet1!Q7</f>
        <v>D</v>
      </c>
      <c r="N6">
        <f>[1]Sheet1!R7</f>
        <v>175.7816091954023</v>
      </c>
      <c r="O6">
        <f>[1]Sheet1!S7</f>
        <v>157.64367816091954</v>
      </c>
      <c r="P6">
        <f>'[2]median by segment'!D7</f>
        <v>178</v>
      </c>
      <c r="Q6">
        <f>'[2]median by segment'!E7</f>
        <v>167</v>
      </c>
      <c r="R6">
        <f t="shared" si="1"/>
        <v>166.71264367816093</v>
      </c>
      <c r="S6">
        <f>AVERAGE(P6:Q6)</f>
        <v>172.5</v>
      </c>
      <c r="T6" s="40">
        <v>166.5</v>
      </c>
      <c r="U6" s="41">
        <v>167.575757575757</v>
      </c>
      <c r="V6" s="46"/>
      <c r="W6">
        <v>134</v>
      </c>
    </row>
    <row r="7" spans="1:23" x14ac:dyDescent="0.25">
      <c r="B7" t="s">
        <v>118</v>
      </c>
      <c r="C7" t="s">
        <v>115</v>
      </c>
      <c r="D7">
        <v>15.4</v>
      </c>
      <c r="E7">
        <v>13.8</v>
      </c>
      <c r="G7" t="s">
        <v>119</v>
      </c>
      <c r="M7" t="str">
        <f>[1]Sheet1!Q8</f>
        <v>E</v>
      </c>
      <c r="N7">
        <f>[1]Sheet1!R8</f>
        <v>190.75409836065575</v>
      </c>
      <c r="O7">
        <f>[1]Sheet1!S8</f>
        <v>170</v>
      </c>
      <c r="P7">
        <f>'[2]median by segment'!D8</f>
        <v>181</v>
      </c>
      <c r="Q7">
        <f>'[2]median by segment'!E8</f>
        <v>169</v>
      </c>
      <c r="R7">
        <f t="shared" si="1"/>
        <v>180.37704918032787</v>
      </c>
      <c r="S7">
        <f>AVERAGE(P7:Q7)</f>
        <v>175</v>
      </c>
      <c r="T7" s="40">
        <v>179.5</v>
      </c>
      <c r="U7" s="41">
        <v>179.97727272727201</v>
      </c>
      <c r="V7" s="46"/>
      <c r="W7">
        <v>145</v>
      </c>
    </row>
    <row r="8" spans="1:23" ht="15.75" thickBot="1" x14ac:dyDescent="0.3">
      <c r="B8" s="37" t="s">
        <v>158</v>
      </c>
      <c r="C8" s="37" t="s">
        <v>115</v>
      </c>
      <c r="D8" s="37">
        <f>SUM(D6:D7)</f>
        <v>81.917294496569113</v>
      </c>
      <c r="E8" s="37">
        <f>SUM(E6:E7)</f>
        <v>83.24444444444444</v>
      </c>
      <c r="M8" t="str">
        <f>[1]Sheet1!Q9</f>
        <v>F</v>
      </c>
      <c r="N8">
        <f>[1]Sheet1!R9</f>
        <v>231.73333333333332</v>
      </c>
      <c r="O8">
        <f>[1]Sheet1!S9</f>
        <v>209.53333333333333</v>
      </c>
      <c r="R8">
        <f t="shared" si="1"/>
        <v>220.63333333333333</v>
      </c>
      <c r="T8" s="42">
        <v>215.75</v>
      </c>
      <c r="U8" s="43">
        <v>220.63333333333301</v>
      </c>
      <c r="V8" s="46"/>
      <c r="W8">
        <v>168</v>
      </c>
    </row>
    <row r="10" spans="1:23" x14ac:dyDescent="0.25">
      <c r="M10" t="s">
        <v>116</v>
      </c>
      <c r="U10" t="s">
        <v>170</v>
      </c>
    </row>
    <row r="11" spans="1:23" x14ac:dyDescent="0.25">
      <c r="A11" t="s">
        <v>154</v>
      </c>
      <c r="B11" t="s">
        <v>149</v>
      </c>
      <c r="M11" t="s">
        <v>0</v>
      </c>
      <c r="N11">
        <f>N3/$D$6</f>
        <v>0</v>
      </c>
      <c r="O11">
        <f t="shared" ref="O11:Q11" si="2">O3/$D$6</f>
        <v>0</v>
      </c>
      <c r="P11">
        <f t="shared" si="2"/>
        <v>1.7063231578947369</v>
      </c>
      <c r="Q11">
        <f t="shared" si="2"/>
        <v>1.6311547368421053</v>
      </c>
      <c r="S11">
        <f t="shared" ref="S11:S13" si="3">AVERAGE(P11:Q11)</f>
        <v>1.6687389473684211</v>
      </c>
      <c r="T11" s="44">
        <f>T3/$E$6</f>
        <v>1.5984</v>
      </c>
      <c r="U11" s="44">
        <f>T11/3.6*1000</f>
        <v>444</v>
      </c>
      <c r="W11">
        <f>W3/$D$6</f>
        <v>1.6311547368421053</v>
      </c>
    </row>
    <row r="12" spans="1:23" x14ac:dyDescent="0.25">
      <c r="B12" t="s">
        <v>150</v>
      </c>
      <c r="C12" t="s">
        <v>112</v>
      </c>
      <c r="D12">
        <f>38.6*0.93+33*0.07</f>
        <v>38.208000000000006</v>
      </c>
      <c r="E12">
        <f>34.2*0.9+0.1*24</f>
        <v>33.180000000000007</v>
      </c>
      <c r="M12" t="s">
        <v>126</v>
      </c>
      <c r="N12">
        <f t="shared" ref="N12:W12" si="4">N4/$D$6</f>
        <v>0</v>
      </c>
      <c r="O12">
        <f t="shared" si="4"/>
        <v>0</v>
      </c>
      <c r="P12">
        <f t="shared" si="4"/>
        <v>2.089682105263158</v>
      </c>
      <c r="Q12">
        <f t="shared" si="4"/>
        <v>1.954378947368421</v>
      </c>
      <c r="S12">
        <f t="shared" si="3"/>
        <v>2.0220305263157896</v>
      </c>
      <c r="T12" s="44">
        <f>T4/$D$6</f>
        <v>2.0220305263157896</v>
      </c>
      <c r="U12" s="44">
        <f t="shared" ref="U12:U16" si="5">T12/3.6*1000</f>
        <v>561.67514619883036</v>
      </c>
      <c r="W12">
        <f t="shared" si="4"/>
        <v>1.71384</v>
      </c>
    </row>
    <row r="13" spans="1:23" x14ac:dyDescent="0.25">
      <c r="M13" t="s">
        <v>1</v>
      </c>
      <c r="N13">
        <f t="shared" ref="N13:W13" si="6">N5/$D$6</f>
        <v>2.2880534017971756</v>
      </c>
      <c r="O13">
        <f t="shared" si="6"/>
        <v>2.0163470603337612</v>
      </c>
      <c r="P13">
        <f t="shared" si="6"/>
        <v>2.2174684210526316</v>
      </c>
      <c r="Q13">
        <f t="shared" si="6"/>
        <v>2.0520978947368422</v>
      </c>
      <c r="R13">
        <f t="shared" ref="R13:R14" si="7">AVERAGE(N13:O13)</f>
        <v>2.1522002310654686</v>
      </c>
      <c r="S13">
        <f t="shared" si="3"/>
        <v>2.1347831578947369</v>
      </c>
      <c r="T13">
        <f t="shared" ref="T13" si="8">T5/$D$6</f>
        <v>2.1347831578947369</v>
      </c>
      <c r="U13" s="44">
        <f t="shared" si="5"/>
        <v>592.99532163742697</v>
      </c>
      <c r="W13">
        <f t="shared" si="6"/>
        <v>1.7739747368421053</v>
      </c>
    </row>
    <row r="14" spans="1:23" x14ac:dyDescent="0.25">
      <c r="B14" t="s">
        <v>118</v>
      </c>
      <c r="M14" t="s">
        <v>2</v>
      </c>
      <c r="N14">
        <f t="shared" ref="N14:W14" si="9">N6/$D$6</f>
        <v>2.6426452026618268</v>
      </c>
      <c r="O14">
        <f t="shared" si="9"/>
        <v>2.3699652752571083</v>
      </c>
      <c r="P14">
        <f t="shared" si="9"/>
        <v>2.6759957894736841</v>
      </c>
      <c r="Q14">
        <f t="shared" si="9"/>
        <v>2.5106252631578947</v>
      </c>
      <c r="R14">
        <f t="shared" si="7"/>
        <v>2.5063052389594676</v>
      </c>
      <c r="T14">
        <f t="shared" ref="T14" si="10">T6/$D$6</f>
        <v>2.5031084210526315</v>
      </c>
      <c r="U14" s="44">
        <f t="shared" si="5"/>
        <v>695.30789473684206</v>
      </c>
      <c r="W14">
        <f t="shared" si="9"/>
        <v>2.0145136842105265</v>
      </c>
    </row>
    <row r="15" spans="1:23" x14ac:dyDescent="0.25">
      <c r="B15" t="s">
        <v>148</v>
      </c>
      <c r="E15" t="s">
        <v>122</v>
      </c>
      <c r="F15">
        <f>88.6</f>
        <v>88.6</v>
      </c>
      <c r="G15" t="s">
        <v>115</v>
      </c>
      <c r="M15" t="s">
        <v>127</v>
      </c>
      <c r="N15">
        <f t="shared" ref="N15:W15" si="11">N7/$D$6</f>
        <v>2.8677368766177742</v>
      </c>
      <c r="O15">
        <f t="shared" si="11"/>
        <v>2.5557263157894736</v>
      </c>
      <c r="P15">
        <f t="shared" si="11"/>
        <v>2.721096842105263</v>
      </c>
      <c r="Q15">
        <f t="shared" si="11"/>
        <v>2.5406926315789473</v>
      </c>
      <c r="S15">
        <f t="shared" ref="S15:S20" si="12">AVERAGE(P15:Q15)</f>
        <v>2.6308947368421052</v>
      </c>
      <c r="T15">
        <f t="shared" ref="T15" si="13">T7/$D$6</f>
        <v>2.6985463157894736</v>
      </c>
      <c r="U15" s="44">
        <f t="shared" si="5"/>
        <v>749.59619883040932</v>
      </c>
      <c r="W15">
        <f t="shared" si="11"/>
        <v>2.1798842105263159</v>
      </c>
    </row>
    <row r="16" spans="1:23" x14ac:dyDescent="0.25">
      <c r="F16" s="28">
        <f>15.4/F15</f>
        <v>0.17381489841986458</v>
      </c>
      <c r="G16" t="s">
        <v>123</v>
      </c>
      <c r="M16" t="s">
        <v>3</v>
      </c>
      <c r="N16">
        <f t="shared" ref="N16:W16" si="14">N8/$D$6</f>
        <v>3.4838057543859646</v>
      </c>
      <c r="O16">
        <f t="shared" si="14"/>
        <v>3.1500579649122806</v>
      </c>
      <c r="P16">
        <f t="shared" si="14"/>
        <v>0</v>
      </c>
      <c r="Q16">
        <f t="shared" si="14"/>
        <v>0</v>
      </c>
      <c r="T16">
        <f t="shared" ref="T16" si="15">T8/$D$6</f>
        <v>3.2435173684210525</v>
      </c>
      <c r="U16" s="44">
        <f t="shared" si="5"/>
        <v>900.97704678362572</v>
      </c>
      <c r="W16">
        <f t="shared" si="14"/>
        <v>2.525658947368421</v>
      </c>
    </row>
    <row r="17" spans="2:23" x14ac:dyDescent="0.25">
      <c r="B17">
        <f>95/3.7</f>
        <v>25.675675675675674</v>
      </c>
      <c r="D17">
        <v>114</v>
      </c>
      <c r="E17" t="s">
        <v>114</v>
      </c>
    </row>
    <row r="18" spans="2:23" x14ac:dyDescent="0.25">
      <c r="B18">
        <f>3.7/95</f>
        <v>3.8947368421052633E-2</v>
      </c>
      <c r="D18">
        <f>D17/E6</f>
        <v>1.6415999999999999</v>
      </c>
      <c r="E18" t="s">
        <v>116</v>
      </c>
      <c r="M18" t="s">
        <v>169</v>
      </c>
    </row>
    <row r="19" spans="2:23" x14ac:dyDescent="0.25">
      <c r="B19" t="s">
        <v>128</v>
      </c>
      <c r="D19">
        <f>D17*180000/1000000</f>
        <v>20.52</v>
      </c>
      <c r="E19" t="s">
        <v>120</v>
      </c>
      <c r="M19" t="s">
        <v>0</v>
      </c>
      <c r="N19">
        <f>N11*($D$8)</f>
        <v>0</v>
      </c>
      <c r="O19">
        <f t="shared" ref="O19:W19" si="16">O11*($D$8)</f>
        <v>0</v>
      </c>
      <c r="P19">
        <f t="shared" si="16"/>
        <v>139.77737663157896</v>
      </c>
      <c r="Q19">
        <f t="shared" si="16"/>
        <v>133.61978294736844</v>
      </c>
      <c r="S19">
        <f t="shared" si="12"/>
        <v>136.69857978947368</v>
      </c>
      <c r="T19" s="44">
        <f>T11*($D$8)</f>
        <v>130.93660352331608</v>
      </c>
      <c r="W19">
        <f t="shared" si="16"/>
        <v>133.61978294736844</v>
      </c>
    </row>
    <row r="20" spans="2:23" x14ac:dyDescent="0.25">
      <c r="D20">
        <f>(15.4*D18*180000)/1000000</f>
        <v>4.5505151999999995</v>
      </c>
      <c r="E20" t="s">
        <v>121</v>
      </c>
      <c r="M20" t="s">
        <v>126</v>
      </c>
      <c r="N20">
        <f t="shared" ref="N20:W20" si="17">N12*($D$8)</f>
        <v>0</v>
      </c>
      <c r="O20">
        <f t="shared" si="17"/>
        <v>0</v>
      </c>
      <c r="P20">
        <f t="shared" si="17"/>
        <v>171.18110442105265</v>
      </c>
      <c r="Q20">
        <f t="shared" si="17"/>
        <v>160.09743578947368</v>
      </c>
      <c r="S20">
        <f t="shared" si="12"/>
        <v>165.63927010526317</v>
      </c>
      <c r="T20" s="44">
        <f>T12*($D$8)</f>
        <v>165.63927010526319</v>
      </c>
      <c r="W20">
        <f t="shared" si="17"/>
        <v>140.393136</v>
      </c>
    </row>
    <row r="21" spans="2:23" x14ac:dyDescent="0.25">
      <c r="D21">
        <f>SUM(D19:D20)*1000000/180000</f>
        <v>139.28064000000001</v>
      </c>
      <c r="M21" t="s">
        <v>1</v>
      </c>
      <c r="N21">
        <f t="shared" ref="N21:W21" si="18">N13*($D$8)</f>
        <v>187.43114433889602</v>
      </c>
      <c r="O21">
        <f t="shared" si="18"/>
        <v>165.17369594865212</v>
      </c>
      <c r="P21">
        <f t="shared" si="18"/>
        <v>181.64901368421053</v>
      </c>
      <c r="Q21">
        <f t="shared" si="18"/>
        <v>168.10230757894738</v>
      </c>
      <c r="R21">
        <f t="shared" ref="R21:R22" si="19">AVERAGE(N21:O21)</f>
        <v>176.30242014377407</v>
      </c>
      <c r="S21">
        <f t="shared" ref="S21:S23" si="20">AVERAGE(P21:Q21)</f>
        <v>174.87566063157897</v>
      </c>
      <c r="T21">
        <f t="shared" ref="T21" si="21">T13*($D$8)</f>
        <v>174.87566063157897</v>
      </c>
      <c r="W21">
        <f t="shared" si="18"/>
        <v>145.31921094736842</v>
      </c>
    </row>
    <row r="22" spans="2:23" x14ac:dyDescent="0.25">
      <c r="D22">
        <f>D20/SUM(D19:D20)</f>
        <v>0.18150864326872707</v>
      </c>
      <c r="M22" t="s">
        <v>2</v>
      </c>
      <c r="N22">
        <f t="shared" ref="N22:W22" si="22">N14*($D$8)</f>
        <v>216.47834531639444</v>
      </c>
      <c r="O22">
        <f t="shared" si="22"/>
        <v>194.14114339987901</v>
      </c>
      <c r="P22">
        <f t="shared" si="22"/>
        <v>219.21033515789475</v>
      </c>
      <c r="Q22">
        <f t="shared" si="22"/>
        <v>205.66362905263159</v>
      </c>
      <c r="R22">
        <f t="shared" si="19"/>
        <v>205.30974435813673</v>
      </c>
      <c r="S22">
        <f t="shared" si="20"/>
        <v>212.43698210526316</v>
      </c>
      <c r="T22">
        <f t="shared" ref="T22" si="23">T14*($D$8)</f>
        <v>205.04786968421053</v>
      </c>
      <c r="W22">
        <f t="shared" si="22"/>
        <v>165.02351073684213</v>
      </c>
    </row>
    <row r="23" spans="2:23" x14ac:dyDescent="0.25">
      <c r="B23">
        <v>34.200000000000003</v>
      </c>
      <c r="M23" t="s">
        <v>127</v>
      </c>
      <c r="N23">
        <f t="shared" ref="N23:W23" si="24">N15*($D$8)</f>
        <v>234.9172462605695</v>
      </c>
      <c r="O23">
        <f t="shared" si="24"/>
        <v>209.35818526315791</v>
      </c>
      <c r="P23">
        <f t="shared" si="24"/>
        <v>222.90489136842106</v>
      </c>
      <c r="Q23">
        <f t="shared" si="24"/>
        <v>208.1266665263158</v>
      </c>
      <c r="R23">
        <f t="shared" ref="R23:R24" si="25">AVERAGE(N23:O23)</f>
        <v>222.13771576186372</v>
      </c>
      <c r="S23">
        <f t="shared" si="20"/>
        <v>215.51577894736843</v>
      </c>
      <c r="T23">
        <f t="shared" ref="T23" si="26">T15*($D$8)</f>
        <v>221.05761326315789</v>
      </c>
      <c r="W23">
        <f t="shared" si="24"/>
        <v>178.57021684210528</v>
      </c>
    </row>
    <row r="24" spans="2:23" x14ac:dyDescent="0.25">
      <c r="B24">
        <v>38.6</v>
      </c>
      <c r="M24" t="s">
        <v>3</v>
      </c>
      <c r="N24">
        <f t="shared" ref="N24:W24" si="27">N16*($D$8)</f>
        <v>285.38394195087722</v>
      </c>
      <c r="O24">
        <f t="shared" si="27"/>
        <v>258.04422599298249</v>
      </c>
      <c r="P24">
        <f t="shared" si="27"/>
        <v>0</v>
      </c>
      <c r="Q24">
        <f t="shared" si="27"/>
        <v>0</v>
      </c>
      <c r="R24">
        <f t="shared" si="25"/>
        <v>271.71408397192988</v>
      </c>
      <c r="T24">
        <f t="shared" ref="T24" si="28">T16*($D$8)</f>
        <v>265.70016747368425</v>
      </c>
      <c r="W24">
        <f t="shared" si="27"/>
        <v>206.8951477894737</v>
      </c>
    </row>
    <row r="26" spans="2:23" x14ac:dyDescent="0.25">
      <c r="M26" t="s">
        <v>159</v>
      </c>
    </row>
    <row r="27" spans="2:23" x14ac:dyDescent="0.25">
      <c r="M27" t="s">
        <v>0</v>
      </c>
      <c r="N27">
        <f>N19*180000/1000000</f>
        <v>0</v>
      </c>
      <c r="O27">
        <f t="shared" ref="O27:W27" si="29">O19*180000/1000000</f>
        <v>0</v>
      </c>
      <c r="P27">
        <f t="shared" si="29"/>
        <v>25.159927793684215</v>
      </c>
      <c r="Q27">
        <f t="shared" si="29"/>
        <v>24.051560930526321</v>
      </c>
      <c r="S27">
        <f t="shared" ref="S27:S31" si="30">AVERAGE(P27:Q27)</f>
        <v>24.60574436210527</v>
      </c>
      <c r="T27" s="72">
        <f>T19*180000/1000000</f>
        <v>23.568588634196896</v>
      </c>
      <c r="W27">
        <f t="shared" si="29"/>
        <v>24.051560930526321</v>
      </c>
    </row>
    <row r="28" spans="2:23" x14ac:dyDescent="0.25">
      <c r="M28" t="s">
        <v>126</v>
      </c>
      <c r="N28">
        <f t="shared" ref="N28:W28" si="31">N20*180000/1000000</f>
        <v>0</v>
      </c>
      <c r="O28">
        <f t="shared" si="31"/>
        <v>0</v>
      </c>
      <c r="P28">
        <f t="shared" si="31"/>
        <v>30.812598795789476</v>
      </c>
      <c r="Q28">
        <f t="shared" si="31"/>
        <v>28.817538442105263</v>
      </c>
      <c r="S28">
        <f t="shared" si="30"/>
        <v>29.815068618947372</v>
      </c>
      <c r="T28" s="72">
        <f>T20*180000/1000000</f>
        <v>29.815068618947375</v>
      </c>
      <c r="W28">
        <f t="shared" si="31"/>
        <v>25.27076448</v>
      </c>
    </row>
    <row r="29" spans="2:23" x14ac:dyDescent="0.25">
      <c r="M29" t="s">
        <v>1</v>
      </c>
      <c r="N29">
        <f t="shared" ref="N29:W29" si="32">N21*180000/1000000</f>
        <v>33.73760598100128</v>
      </c>
      <c r="O29">
        <f t="shared" si="32"/>
        <v>29.73126527075738</v>
      </c>
      <c r="P29">
        <f t="shared" si="32"/>
        <v>32.696822463157893</v>
      </c>
      <c r="Q29">
        <f t="shared" si="32"/>
        <v>30.258415364210528</v>
      </c>
      <c r="R29">
        <f t="shared" ref="R29:R32" si="33">AVERAGE(N29:O29)</f>
        <v>31.734435625879328</v>
      </c>
      <c r="S29">
        <f t="shared" si="30"/>
        <v>31.477618913684211</v>
      </c>
      <c r="T29" s="38">
        <f t="shared" ref="T29" si="34">T21*180000/1000000</f>
        <v>31.477618913684214</v>
      </c>
      <c r="W29">
        <f t="shared" si="32"/>
        <v>26.157457970526316</v>
      </c>
    </row>
    <row r="30" spans="2:23" x14ac:dyDescent="0.25">
      <c r="M30" t="s">
        <v>2</v>
      </c>
      <c r="N30">
        <f t="shared" ref="N30:W30" si="35">N22*180000/1000000</f>
        <v>38.966102156950996</v>
      </c>
      <c r="O30">
        <f t="shared" si="35"/>
        <v>34.945405811978219</v>
      </c>
      <c r="P30">
        <f t="shared" si="35"/>
        <v>39.457860328421056</v>
      </c>
      <c r="Q30">
        <f t="shared" si="35"/>
        <v>37.01945322947369</v>
      </c>
      <c r="R30">
        <f t="shared" si="33"/>
        <v>36.955753984464607</v>
      </c>
      <c r="S30">
        <f t="shared" si="30"/>
        <v>38.238656778947373</v>
      </c>
      <c r="T30" s="38">
        <f t="shared" ref="T30" si="36">T22*180000/1000000</f>
        <v>36.908616543157898</v>
      </c>
      <c r="W30">
        <f t="shared" si="35"/>
        <v>29.704231932631583</v>
      </c>
    </row>
    <row r="31" spans="2:23" x14ac:dyDescent="0.25">
      <c r="M31" t="s">
        <v>127</v>
      </c>
      <c r="N31">
        <f t="shared" ref="N31:W31" si="37">N23*180000/1000000</f>
        <v>42.285104326902506</v>
      </c>
      <c r="O31">
        <f t="shared" si="37"/>
        <v>37.684473347368424</v>
      </c>
      <c r="P31">
        <f t="shared" si="37"/>
        <v>40.12288044631579</v>
      </c>
      <c r="Q31">
        <f t="shared" si="37"/>
        <v>37.462799974736846</v>
      </c>
      <c r="R31">
        <f t="shared" si="33"/>
        <v>39.984788837135468</v>
      </c>
      <c r="S31">
        <f t="shared" si="30"/>
        <v>38.792840210526322</v>
      </c>
      <c r="T31" s="38">
        <f t="shared" ref="T31" si="38">T23*180000/1000000</f>
        <v>39.790370387368419</v>
      </c>
      <c r="W31">
        <f t="shared" si="37"/>
        <v>32.142639031578952</v>
      </c>
    </row>
    <row r="32" spans="2:23" x14ac:dyDescent="0.25">
      <c r="M32" t="s">
        <v>3</v>
      </c>
      <c r="N32">
        <f t="shared" ref="N32:W32" si="39">N24*180000/1000000</f>
        <v>51.369109551157898</v>
      </c>
      <c r="O32">
        <f t="shared" si="39"/>
        <v>46.447960678736848</v>
      </c>
      <c r="P32">
        <f t="shared" si="39"/>
        <v>0</v>
      </c>
      <c r="Q32">
        <f t="shared" si="39"/>
        <v>0</v>
      </c>
      <c r="R32">
        <f t="shared" si="33"/>
        <v>48.908535114947369</v>
      </c>
      <c r="T32" s="38">
        <f t="shared" ref="T32" si="40">T24*180000/1000000</f>
        <v>47.826030145263168</v>
      </c>
      <c r="W32">
        <f t="shared" si="39"/>
        <v>37.241126602105268</v>
      </c>
    </row>
    <row r="36" spans="2:24" ht="15.75" thickBot="1" x14ac:dyDescent="0.3"/>
    <row r="37" spans="2:24" ht="45" x14ac:dyDescent="0.25">
      <c r="B37" t="s">
        <v>125</v>
      </c>
      <c r="C37" t="s">
        <v>143</v>
      </c>
      <c r="D37" s="29" t="s">
        <v>129</v>
      </c>
      <c r="E37" s="30" t="s">
        <v>130</v>
      </c>
      <c r="F37" s="29" t="s">
        <v>132</v>
      </c>
      <c r="G37" s="30" t="s">
        <v>131</v>
      </c>
      <c r="H37" s="29" t="s">
        <v>142</v>
      </c>
      <c r="I37" s="35"/>
      <c r="J37" s="36"/>
      <c r="K37" s="35"/>
    </row>
    <row r="38" spans="2:24" x14ac:dyDescent="0.25">
      <c r="B38" t="s">
        <v>0</v>
      </c>
      <c r="D38" s="31">
        <f t="shared" ref="D38:D43" si="41">W3*$B$18</f>
        <v>4.2257894736842108</v>
      </c>
      <c r="E38" s="32">
        <f t="shared" ref="E38:E43" si="42">$E$3/$D$1*W3</f>
        <v>4.5684210526315789</v>
      </c>
      <c r="F38" s="31">
        <f t="shared" ref="F38:F43" si="43">D38/100*$D$4*$D$7</f>
        <v>25.119782947368421</v>
      </c>
      <c r="G38" s="32">
        <f t="shared" ref="G38:G43" si="44">E38/100*$E$4*$E$7</f>
        <v>21.561120000000006</v>
      </c>
      <c r="H38" s="31">
        <f t="shared" ref="H38:H43" si="45">F38+W3</f>
        <v>133.61978294736844</v>
      </c>
      <c r="I38" s="32">
        <f t="shared" ref="I38:I43" si="46">W3+G38</f>
        <v>130.06112000000002</v>
      </c>
      <c r="J38" s="31">
        <f t="shared" ref="J38:K43" si="47">H38*180000/1000000</f>
        <v>24.051560930526321</v>
      </c>
      <c r="K38" s="32">
        <f t="shared" si="47"/>
        <v>23.411001600000002</v>
      </c>
      <c r="M38">
        <v>22.3</v>
      </c>
    </row>
    <row r="39" spans="2:24" x14ac:dyDescent="0.25">
      <c r="B39" t="s">
        <v>126</v>
      </c>
      <c r="D39" s="31">
        <f t="shared" si="41"/>
        <v>4.4400000000000004</v>
      </c>
      <c r="E39" s="32">
        <f t="shared" si="42"/>
        <v>4.8</v>
      </c>
      <c r="F39" s="31">
        <f t="shared" si="43"/>
        <v>26.393136000000002</v>
      </c>
      <c r="G39" s="32">
        <f t="shared" si="44"/>
        <v>22.654080000000004</v>
      </c>
      <c r="H39" s="31">
        <f t="shared" si="45"/>
        <v>140.393136</v>
      </c>
      <c r="I39" s="32">
        <f t="shared" si="46"/>
        <v>136.65407999999999</v>
      </c>
      <c r="J39" s="31">
        <f t="shared" si="47"/>
        <v>25.27076448</v>
      </c>
      <c r="K39" s="32">
        <f t="shared" si="47"/>
        <v>24.5977344</v>
      </c>
      <c r="U39" t="s">
        <v>171</v>
      </c>
      <c r="V39" t="s">
        <v>172</v>
      </c>
      <c r="W39" t="s">
        <v>173</v>
      </c>
      <c r="X39" t="s">
        <v>174</v>
      </c>
    </row>
    <row r="40" spans="2:24" x14ac:dyDescent="0.25">
      <c r="B40" t="s">
        <v>1</v>
      </c>
      <c r="D40" s="31">
        <f t="shared" si="41"/>
        <v>4.5957894736842109</v>
      </c>
      <c r="E40" s="32">
        <f t="shared" si="42"/>
        <v>4.9684210526315784</v>
      </c>
      <c r="F40" s="31">
        <f t="shared" si="43"/>
        <v>27.319210947368425</v>
      </c>
      <c r="G40" s="32">
        <f t="shared" si="44"/>
        <v>23.44896</v>
      </c>
      <c r="H40" s="31">
        <f t="shared" si="45"/>
        <v>145.31921094736842</v>
      </c>
      <c r="I40" s="32">
        <f t="shared" si="46"/>
        <v>141.44896</v>
      </c>
      <c r="J40" s="31">
        <f t="shared" si="47"/>
        <v>26.157457970526316</v>
      </c>
      <c r="K40" s="32">
        <f t="shared" si="47"/>
        <v>25.460812799999999</v>
      </c>
      <c r="M40">
        <v>26.9</v>
      </c>
      <c r="U40" t="s">
        <v>175</v>
      </c>
    </row>
    <row r="41" spans="2:24" x14ac:dyDescent="0.25">
      <c r="B41" t="s">
        <v>2</v>
      </c>
      <c r="D41" s="31">
        <f t="shared" si="41"/>
        <v>5.2189473684210528</v>
      </c>
      <c r="E41" s="32">
        <f t="shared" si="42"/>
        <v>5.6421052631578945</v>
      </c>
      <c r="F41" s="31">
        <f t="shared" si="43"/>
        <v>31.023510736842109</v>
      </c>
      <c r="G41" s="32">
        <f t="shared" si="44"/>
        <v>26.628480000000003</v>
      </c>
      <c r="H41" s="31">
        <f t="shared" si="45"/>
        <v>165.0235107368421</v>
      </c>
      <c r="I41" s="32">
        <f t="shared" si="46"/>
        <v>160.62848</v>
      </c>
      <c r="J41" s="31">
        <f t="shared" si="47"/>
        <v>29.704231932631579</v>
      </c>
      <c r="K41" s="32">
        <f t="shared" si="47"/>
        <v>28.913126399999999</v>
      </c>
      <c r="M41">
        <v>29.8</v>
      </c>
      <c r="U41" t="s">
        <v>176</v>
      </c>
    </row>
    <row r="42" spans="2:24" x14ac:dyDescent="0.25">
      <c r="B42" t="s">
        <v>127</v>
      </c>
      <c r="D42" s="31">
        <f t="shared" si="41"/>
        <v>5.647368421052632</v>
      </c>
      <c r="E42" s="32">
        <f t="shared" si="42"/>
        <v>6.1052631578947363</v>
      </c>
      <c r="F42" s="31">
        <f t="shared" si="43"/>
        <v>33.570216842105275</v>
      </c>
      <c r="G42" s="32">
        <f t="shared" si="44"/>
        <v>28.814400000000003</v>
      </c>
      <c r="H42" s="31">
        <f t="shared" si="45"/>
        <v>178.57021684210528</v>
      </c>
      <c r="I42" s="32">
        <f t="shared" si="46"/>
        <v>173.81440000000001</v>
      </c>
      <c r="J42" s="31">
        <f t="shared" si="47"/>
        <v>32.142639031578952</v>
      </c>
      <c r="K42" s="32">
        <f t="shared" si="47"/>
        <v>31.286591999999999</v>
      </c>
      <c r="U42" t="s">
        <v>177</v>
      </c>
      <c r="V42" t="s">
        <v>178</v>
      </c>
    </row>
    <row r="43" spans="2:24" ht="15.75" thickBot="1" x14ac:dyDescent="0.3">
      <c r="B43" t="s">
        <v>3</v>
      </c>
      <c r="D43" s="33">
        <f t="shared" si="41"/>
        <v>6.5431578947368427</v>
      </c>
      <c r="E43" s="34">
        <f t="shared" si="42"/>
        <v>7.0736842105263156</v>
      </c>
      <c r="F43" s="33">
        <f t="shared" si="43"/>
        <v>38.89514778947369</v>
      </c>
      <c r="G43" s="34">
        <f t="shared" si="44"/>
        <v>33.38496</v>
      </c>
      <c r="H43" s="33">
        <f t="shared" si="45"/>
        <v>206.8951477894737</v>
      </c>
      <c r="I43" s="34">
        <f t="shared" si="46"/>
        <v>201.38496000000001</v>
      </c>
      <c r="J43" s="33">
        <f t="shared" si="47"/>
        <v>37.241126602105268</v>
      </c>
      <c r="K43" s="34">
        <f t="shared" si="47"/>
        <v>36.249292800000006</v>
      </c>
      <c r="M43">
        <v>37</v>
      </c>
      <c r="U43" t="s">
        <v>179</v>
      </c>
    </row>
    <row r="44" spans="2:24" x14ac:dyDescent="0.25">
      <c r="B44" t="s">
        <v>133</v>
      </c>
      <c r="C44">
        <v>124</v>
      </c>
      <c r="U44" t="s">
        <v>180</v>
      </c>
    </row>
    <row r="45" spans="2:24" x14ac:dyDescent="0.25">
      <c r="B45" t="s">
        <v>134</v>
      </c>
      <c r="C45">
        <v>146</v>
      </c>
      <c r="U45" t="s">
        <v>181</v>
      </c>
      <c r="V45" t="s">
        <v>182</v>
      </c>
    </row>
    <row r="46" spans="2:24" x14ac:dyDescent="0.25">
      <c r="B46" t="s">
        <v>135</v>
      </c>
      <c r="C46">
        <v>200</v>
      </c>
      <c r="U46" t="s">
        <v>183</v>
      </c>
    </row>
    <row r="47" spans="2:24" x14ac:dyDescent="0.25">
      <c r="B47" t="s">
        <v>136</v>
      </c>
      <c r="C47">
        <v>123.5</v>
      </c>
      <c r="U47" t="s">
        <v>184</v>
      </c>
      <c r="V47" t="s">
        <v>185</v>
      </c>
    </row>
    <row r="48" spans="2:24" x14ac:dyDescent="0.25">
      <c r="B48" t="s">
        <v>137</v>
      </c>
      <c r="C48">
        <v>154</v>
      </c>
      <c r="U48" t="s">
        <v>186</v>
      </c>
    </row>
    <row r="49" spans="2:22" x14ac:dyDescent="0.25">
      <c r="B49" t="s">
        <v>138</v>
      </c>
      <c r="C49">
        <v>199</v>
      </c>
      <c r="U49" t="s">
        <v>187</v>
      </c>
      <c r="V49" t="s">
        <v>188</v>
      </c>
    </row>
    <row r="50" spans="2:22" x14ac:dyDescent="0.25">
      <c r="B50" t="s">
        <v>139</v>
      </c>
      <c r="C50">
        <v>201</v>
      </c>
      <c r="U50" t="s">
        <v>189</v>
      </c>
    </row>
    <row r="51" spans="2:22" x14ac:dyDescent="0.25">
      <c r="B51" t="s">
        <v>140</v>
      </c>
      <c r="C51">
        <v>157</v>
      </c>
      <c r="U51" t="s">
        <v>190</v>
      </c>
      <c r="V51" t="s">
        <v>191</v>
      </c>
    </row>
    <row r="52" spans="2:22" x14ac:dyDescent="0.25">
      <c r="B52" t="s">
        <v>141</v>
      </c>
      <c r="C52">
        <v>183</v>
      </c>
      <c r="U52" t="s">
        <v>192</v>
      </c>
    </row>
    <row r="53" spans="2:22" x14ac:dyDescent="0.25">
      <c r="U53" t="s">
        <v>193</v>
      </c>
      <c r="V53" t="s">
        <v>194</v>
      </c>
    </row>
    <row r="54" spans="2:22" x14ac:dyDescent="0.25">
      <c r="U54" t="s">
        <v>195</v>
      </c>
    </row>
    <row r="55" spans="2:22" x14ac:dyDescent="0.25">
      <c r="U55" t="s">
        <v>196</v>
      </c>
      <c r="V55" t="s">
        <v>191</v>
      </c>
    </row>
    <row r="56" spans="2:22" x14ac:dyDescent="0.25">
      <c r="U56" t="s">
        <v>197</v>
      </c>
    </row>
    <row r="57" spans="2:22" x14ac:dyDescent="0.25">
      <c r="U57" t="s">
        <v>198</v>
      </c>
    </row>
    <row r="58" spans="2:22" x14ac:dyDescent="0.25">
      <c r="U58" t="s">
        <v>199</v>
      </c>
      <c r="V58" t="s">
        <v>200</v>
      </c>
    </row>
    <row r="59" spans="2:22" x14ac:dyDescent="0.25">
      <c r="U59" t="s">
        <v>201</v>
      </c>
    </row>
    <row r="60" spans="2:22" x14ac:dyDescent="0.25">
      <c r="U60" t="s">
        <v>202</v>
      </c>
    </row>
    <row r="61" spans="2:22" x14ac:dyDescent="0.25">
      <c r="U61" t="s">
        <v>203</v>
      </c>
    </row>
    <row r="62" spans="2:22" x14ac:dyDescent="0.25">
      <c r="U62" t="s">
        <v>204</v>
      </c>
    </row>
    <row r="63" spans="2:22" x14ac:dyDescent="0.25">
      <c r="U63" t="s">
        <v>205</v>
      </c>
    </row>
    <row r="64" spans="2:22" x14ac:dyDescent="0.25">
      <c r="U64" t="s">
        <v>206</v>
      </c>
    </row>
    <row r="65" spans="21:22" x14ac:dyDescent="0.25">
      <c r="U65" t="s">
        <v>207</v>
      </c>
      <c r="V65" t="s">
        <v>208</v>
      </c>
    </row>
    <row r="66" spans="21:22" x14ac:dyDescent="0.25">
      <c r="U66" t="s">
        <v>209</v>
      </c>
    </row>
    <row r="67" spans="21:22" x14ac:dyDescent="0.25">
      <c r="U67" t="s">
        <v>210</v>
      </c>
      <c r="V67" t="s">
        <v>211</v>
      </c>
    </row>
    <row r="68" spans="21:22" x14ac:dyDescent="0.25">
      <c r="U68" t="s">
        <v>212</v>
      </c>
    </row>
    <row r="69" spans="21:22" x14ac:dyDescent="0.25">
      <c r="U69" t="s">
        <v>213</v>
      </c>
    </row>
    <row r="70" spans="21:22" x14ac:dyDescent="0.25">
      <c r="U70" t="s">
        <v>214</v>
      </c>
    </row>
    <row r="71" spans="21:22" x14ac:dyDescent="0.25">
      <c r="U71" t="s">
        <v>215</v>
      </c>
    </row>
    <row r="72" spans="21:22" x14ac:dyDescent="0.25">
      <c r="U72" t="s">
        <v>216</v>
      </c>
    </row>
    <row r="73" spans="21:22" x14ac:dyDescent="0.25">
      <c r="U73" t="s">
        <v>217</v>
      </c>
    </row>
    <row r="74" spans="21:22" x14ac:dyDescent="0.25">
      <c r="U74" t="s">
        <v>218</v>
      </c>
    </row>
    <row r="75" spans="21:22" x14ac:dyDescent="0.25">
      <c r="U75" t="s">
        <v>219</v>
      </c>
    </row>
  </sheetData>
  <hyperlinks>
    <hyperlink ref="G3" r:id="rId1" xr:uid="{E51F8E37-8ABE-4E30-BDB5-BD3E6DBA4668}"/>
  </hyperlinks>
  <pageMargins left="0.7" right="0.7" top="0.75" bottom="0.75" header="0.3" footer="0.3"/>
  <pageSetup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300E-B1B0-4AC8-93E2-8D876DAC4BE8}">
  <dimension ref="A1:E4"/>
  <sheetViews>
    <sheetView workbookViewId="0">
      <selection activeCell="B4" sqref="B4:E4"/>
    </sheetView>
  </sheetViews>
  <sheetFormatPr defaultRowHeight="15" x14ac:dyDescent="0.25"/>
  <cols>
    <col min="1" max="1" width="24.5703125" bestFit="1" customWidth="1"/>
  </cols>
  <sheetData>
    <row r="1" spans="1:5" x14ac:dyDescent="0.25">
      <c r="A1" t="s">
        <v>165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167</v>
      </c>
      <c r="B2">
        <v>143</v>
      </c>
      <c r="C2">
        <v>170</v>
      </c>
      <c r="D2">
        <v>188</v>
      </c>
      <c r="E2">
        <v>207</v>
      </c>
    </row>
    <row r="3" spans="1:5" x14ac:dyDescent="0.25">
      <c r="A3" t="s">
        <v>166</v>
      </c>
      <c r="B3">
        <v>154</v>
      </c>
      <c r="C3">
        <v>180</v>
      </c>
      <c r="D3">
        <v>188.37374583333334</v>
      </c>
      <c r="E3">
        <v>220</v>
      </c>
    </row>
    <row r="4" spans="1:5" x14ac:dyDescent="0.25">
      <c r="A4" t="s">
        <v>168</v>
      </c>
      <c r="B4">
        <v>161.1</v>
      </c>
      <c r="C4">
        <v>179.2</v>
      </c>
      <c r="D4">
        <v>172.7</v>
      </c>
      <c r="E4">
        <v>211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5"/>
  <sheetViews>
    <sheetView workbookViewId="0">
      <selection activeCell="G22" sqref="D22:G22"/>
    </sheetView>
  </sheetViews>
  <sheetFormatPr defaultRowHeight="15" x14ac:dyDescent="0.25"/>
  <sheetData>
    <row r="1" spans="1:35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</row>
    <row r="2" spans="1:35" x14ac:dyDescent="0.25">
      <c r="A2" s="1" t="s">
        <v>57</v>
      </c>
      <c r="B2">
        <v>282.74283930234247</v>
      </c>
      <c r="C2">
        <v>171.47265741619839</v>
      </c>
      <c r="D2">
        <v>545.59086833412312</v>
      </c>
      <c r="E2">
        <v>301.33244393187891</v>
      </c>
      <c r="F2">
        <v>340.98107843970212</v>
      </c>
      <c r="G2">
        <v>17.082271473491069</v>
      </c>
      <c r="H2">
        <v>460.13426649792979</v>
      </c>
      <c r="I2">
        <v>440.86091865342081</v>
      </c>
      <c r="J2">
        <v>324.22150239222083</v>
      </c>
      <c r="K2">
        <v>221.89966525487279</v>
      </c>
      <c r="L2">
        <v>346.20297080402833</v>
      </c>
      <c r="M2">
        <v>323.07802826605172</v>
      </c>
      <c r="N2">
        <v>25.653308049267011</v>
      </c>
      <c r="O2">
        <v>669.9782185781919</v>
      </c>
      <c r="P2">
        <v>373.31726028136382</v>
      </c>
      <c r="Q2">
        <v>381.30784968899383</v>
      </c>
      <c r="R2">
        <v>576.54738382777839</v>
      </c>
      <c r="S2">
        <v>445.63426632722229</v>
      </c>
      <c r="T2">
        <v>380.11637485414502</v>
      </c>
      <c r="U2">
        <v>303.37817210484161</v>
      </c>
      <c r="V2">
        <v>198.18279400639909</v>
      </c>
      <c r="W2">
        <v>425.29673132095439</v>
      </c>
      <c r="X2">
        <v>486.94384968422639</v>
      </c>
      <c r="Y2">
        <v>314.76382160817059</v>
      </c>
      <c r="Z2">
        <v>655.99011750979707</v>
      </c>
      <c r="AA2">
        <v>9.735729383030419</v>
      </c>
      <c r="AB2">
        <v>861.04880513583691</v>
      </c>
      <c r="AC2">
        <v>211.64935168271521</v>
      </c>
      <c r="AD2">
        <v>296.26185239314248</v>
      </c>
      <c r="AE2">
        <v>677.1373092473159</v>
      </c>
      <c r="AF2">
        <v>19.00360410925045</v>
      </c>
      <c r="AG2">
        <v>304.88800098338328</v>
      </c>
      <c r="AH2">
        <v>282.22999060915362</v>
      </c>
      <c r="AI2">
        <v>520.16807694475233</v>
      </c>
    </row>
    <row r="7" spans="1:35" x14ac:dyDescent="0.25">
      <c r="A7" t="s">
        <v>0</v>
      </c>
      <c r="B7" t="s">
        <v>1</v>
      </c>
      <c r="C7" t="s">
        <v>2</v>
      </c>
      <c r="D7" t="s">
        <v>3</v>
      </c>
    </row>
    <row r="8" spans="1:35" x14ac:dyDescent="0.25">
      <c r="A8">
        <v>146</v>
      </c>
      <c r="B8">
        <v>170</v>
      </c>
      <c r="C8">
        <v>185</v>
      </c>
      <c r="D8">
        <v>207</v>
      </c>
    </row>
    <row r="10" spans="1:35" x14ac:dyDescent="0.25">
      <c r="A10">
        <f>A8*B2</f>
        <v>41280.454538142003</v>
      </c>
    </row>
    <row r="22" spans="1:7" ht="36" x14ac:dyDescent="0.25">
      <c r="A22" s="14" t="s">
        <v>57</v>
      </c>
      <c r="B22" s="13"/>
      <c r="D22">
        <f>20*0.601*253.4</f>
        <v>3045.8679999999999</v>
      </c>
      <c r="E22">
        <f>20*0.61344*393.11</f>
        <v>4822.9879679999995</v>
      </c>
      <c r="F22">
        <f>20*0.61922*553.41</f>
        <v>6853.650803999999</v>
      </c>
      <c r="G22">
        <f>20*0.614958*743</f>
        <v>9138.2758800000011</v>
      </c>
    </row>
    <row r="23" spans="1:7" x14ac:dyDescent="0.25">
      <c r="A23" s="15" t="s">
        <v>75</v>
      </c>
      <c r="B23" s="15"/>
    </row>
    <row r="24" spans="1:7" x14ac:dyDescent="0.25">
      <c r="A24" s="16" t="s">
        <v>23</v>
      </c>
      <c r="B24" s="17">
        <v>356.01189599999998</v>
      </c>
    </row>
    <row r="25" spans="1:7" x14ac:dyDescent="0.25">
      <c r="A25" s="18" t="s">
        <v>24</v>
      </c>
      <c r="B25" s="19">
        <v>278.46182700000003</v>
      </c>
    </row>
    <row r="26" spans="1:7" x14ac:dyDescent="0.25">
      <c r="A26" s="16" t="s">
        <v>25</v>
      </c>
      <c r="B26" s="17">
        <v>528.85758799999996</v>
      </c>
    </row>
    <row r="27" spans="1:7" x14ac:dyDescent="0.25">
      <c r="A27" s="18" t="s">
        <v>26</v>
      </c>
      <c r="B27" s="19">
        <v>509.85128700000001</v>
      </c>
    </row>
    <row r="28" spans="1:7" x14ac:dyDescent="0.25">
      <c r="A28" s="16" t="s">
        <v>27</v>
      </c>
      <c r="B28" s="17">
        <v>454.12883299999999</v>
      </c>
    </row>
    <row r="29" spans="1:7" x14ac:dyDescent="0.25">
      <c r="A29" s="18" t="s">
        <v>28</v>
      </c>
      <c r="B29" s="19">
        <v>26.810618000000002</v>
      </c>
    </row>
    <row r="30" spans="1:7" x14ac:dyDescent="0.25">
      <c r="A30" s="16" t="s">
        <v>29</v>
      </c>
      <c r="B30" s="17">
        <v>429.09646800000002</v>
      </c>
    </row>
    <row r="31" spans="1:7" x14ac:dyDescent="0.25">
      <c r="A31" s="18" t="s">
        <v>30</v>
      </c>
      <c r="B31" s="19">
        <v>541.45993699999997</v>
      </c>
    </row>
    <row r="32" spans="1:7" x14ac:dyDescent="0.25">
      <c r="A32" s="16" t="s">
        <v>76</v>
      </c>
      <c r="B32" s="17">
        <v>749.09588099999996</v>
      </c>
    </row>
    <row r="33" spans="1:2" x14ac:dyDescent="0.25">
      <c r="A33" s="18" t="s">
        <v>77</v>
      </c>
      <c r="B33" s="19">
        <v>916.43664699999999</v>
      </c>
    </row>
    <row r="34" spans="1:2" x14ac:dyDescent="0.25">
      <c r="A34" s="16" t="s">
        <v>32</v>
      </c>
      <c r="B34" s="17">
        <v>489.3177</v>
      </c>
    </row>
    <row r="35" spans="1:2" x14ac:dyDescent="0.25">
      <c r="A35" s="18" t="s">
        <v>33</v>
      </c>
      <c r="B35" s="19">
        <v>401.58576399999998</v>
      </c>
    </row>
    <row r="36" spans="1:2" x14ac:dyDescent="0.25">
      <c r="A36" s="16" t="s">
        <v>34</v>
      </c>
      <c r="B36" s="17">
        <v>414.05807199999998</v>
      </c>
    </row>
    <row r="37" spans="1:2" x14ac:dyDescent="0.25">
      <c r="A37" s="18" t="s">
        <v>35</v>
      </c>
      <c r="B37" s="19">
        <v>21.258371</v>
      </c>
    </row>
    <row r="38" spans="1:2" x14ac:dyDescent="0.25">
      <c r="A38" s="16" t="s">
        <v>36</v>
      </c>
      <c r="B38" s="17">
        <v>1269.5583939999999</v>
      </c>
    </row>
    <row r="39" spans="1:2" x14ac:dyDescent="0.25">
      <c r="A39" s="18" t="s">
        <v>37</v>
      </c>
      <c r="B39" s="19">
        <v>662.68221200000005</v>
      </c>
    </row>
    <row r="40" spans="1:2" x14ac:dyDescent="0.25">
      <c r="A40" s="16" t="s">
        <v>38</v>
      </c>
      <c r="B40" s="17">
        <v>949.56664599999999</v>
      </c>
    </row>
    <row r="41" spans="1:2" x14ac:dyDescent="0.25">
      <c r="A41" s="18" t="s">
        <v>39</v>
      </c>
      <c r="B41" s="19">
        <v>648.84876399999996</v>
      </c>
    </row>
    <row r="42" spans="1:2" x14ac:dyDescent="0.25">
      <c r="A42" s="16" t="s">
        <v>40</v>
      </c>
      <c r="B42" s="17">
        <v>680.04319699999996</v>
      </c>
    </row>
    <row r="43" spans="1:2" x14ac:dyDescent="0.25">
      <c r="A43" s="18" t="s">
        <v>41</v>
      </c>
      <c r="B43" s="19">
        <v>750.58869100000004</v>
      </c>
    </row>
    <row r="44" spans="1:2" x14ac:dyDescent="0.25">
      <c r="A44" s="16" t="s">
        <v>42</v>
      </c>
      <c r="B44" s="17">
        <v>162.73556300000001</v>
      </c>
    </row>
    <row r="45" spans="1:2" x14ac:dyDescent="0.25">
      <c r="A45" s="18" t="s">
        <v>43</v>
      </c>
      <c r="B45" s="19">
        <v>174.70065099999999</v>
      </c>
    </row>
    <row r="46" spans="1:2" x14ac:dyDescent="0.25">
      <c r="A46" s="16" t="s">
        <v>44</v>
      </c>
      <c r="B46" s="17">
        <v>940.57148199999995</v>
      </c>
    </row>
    <row r="47" spans="1:2" x14ac:dyDescent="0.25">
      <c r="A47" s="18" t="s">
        <v>45</v>
      </c>
      <c r="B47" s="19">
        <v>1143.7425539999999</v>
      </c>
    </row>
    <row r="48" spans="1:2" x14ac:dyDescent="0.25">
      <c r="A48" s="16" t="s">
        <v>46</v>
      </c>
      <c r="B48" s="17">
        <v>1110.301003</v>
      </c>
    </row>
    <row r="49" spans="1:2" x14ac:dyDescent="0.25">
      <c r="A49" s="18" t="s">
        <v>47</v>
      </c>
      <c r="B49" s="19">
        <v>762.17557099999999</v>
      </c>
    </row>
    <row r="50" spans="1:2" x14ac:dyDescent="0.25">
      <c r="A50" s="16" t="s">
        <v>78</v>
      </c>
      <c r="B50" s="17">
        <v>13.724399</v>
      </c>
    </row>
    <row r="51" spans="1:2" x14ac:dyDescent="0.25">
      <c r="A51" s="18" t="s">
        <v>79</v>
      </c>
      <c r="B51" s="19">
        <v>2.020775</v>
      </c>
    </row>
    <row r="52" spans="1:2" x14ac:dyDescent="0.25">
      <c r="A52" s="16" t="s">
        <v>80</v>
      </c>
      <c r="B52" s="17">
        <v>15.990213000000001</v>
      </c>
    </row>
    <row r="53" spans="1:2" x14ac:dyDescent="0.25">
      <c r="A53" s="18" t="s">
        <v>81</v>
      </c>
      <c r="B53" s="19">
        <v>5.6573000000000002</v>
      </c>
    </row>
    <row r="54" spans="1:2" x14ac:dyDescent="0.25">
      <c r="A54" s="16" t="s">
        <v>82</v>
      </c>
      <c r="B54" s="17">
        <v>4.4346329999999998</v>
      </c>
    </row>
    <row r="55" spans="1:2" x14ac:dyDescent="0.25">
      <c r="A55" s="18" t="s">
        <v>49</v>
      </c>
      <c r="B55" s="19">
        <v>1191.9416819999999</v>
      </c>
    </row>
    <row r="56" spans="1:2" x14ac:dyDescent="0.25">
      <c r="A56" s="16" t="s">
        <v>50</v>
      </c>
      <c r="B56" s="17">
        <v>168.53925799999999</v>
      </c>
    </row>
    <row r="57" spans="1:2" x14ac:dyDescent="0.25">
      <c r="A57" s="18" t="s">
        <v>51</v>
      </c>
      <c r="B57" s="19">
        <v>404.43430499999999</v>
      </c>
    </row>
    <row r="58" spans="1:2" x14ac:dyDescent="0.25">
      <c r="A58" s="16" t="s">
        <v>52</v>
      </c>
      <c r="B58" s="17">
        <v>883.46458500000006</v>
      </c>
    </row>
    <row r="59" spans="1:2" x14ac:dyDescent="0.25">
      <c r="A59" s="18" t="s">
        <v>83</v>
      </c>
      <c r="B59" s="19">
        <v>4.2223199999999999</v>
      </c>
    </row>
    <row r="60" spans="1:2" x14ac:dyDescent="0.25">
      <c r="A60" s="16" t="s">
        <v>84</v>
      </c>
      <c r="B60" s="17">
        <v>3.7984079999999998</v>
      </c>
    </row>
    <row r="61" spans="1:2" x14ac:dyDescent="0.25">
      <c r="A61" s="18" t="s">
        <v>85</v>
      </c>
      <c r="B61" s="19">
        <v>26.176241000000001</v>
      </c>
    </row>
    <row r="62" spans="1:2" x14ac:dyDescent="0.25">
      <c r="A62" s="16" t="s">
        <v>86</v>
      </c>
      <c r="B62" s="17">
        <v>26.469384999999999</v>
      </c>
    </row>
    <row r="63" spans="1:2" x14ac:dyDescent="0.25">
      <c r="A63" s="18" t="s">
        <v>54</v>
      </c>
      <c r="B63" s="19">
        <v>307.18852399999997</v>
      </c>
    </row>
    <row r="64" spans="1:2" x14ac:dyDescent="0.25">
      <c r="A64" s="16" t="s">
        <v>55</v>
      </c>
      <c r="B64" s="17">
        <v>367.79683199999999</v>
      </c>
    </row>
    <row r="65" spans="1:2" x14ac:dyDescent="0.25">
      <c r="A65" s="18" t="s">
        <v>56</v>
      </c>
      <c r="B65" s="19">
        <v>1745.0671279999999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88"/>
  <sheetViews>
    <sheetView topLeftCell="H37" zoomScale="85" zoomScaleNormal="85" workbookViewId="0">
      <selection activeCell="Q66" sqref="Q66"/>
    </sheetView>
  </sheetViews>
  <sheetFormatPr defaultRowHeight="15" x14ac:dyDescent="0.25"/>
  <sheetData>
    <row r="1" spans="1:14" ht="24" x14ac:dyDescent="0.25">
      <c r="A1" t="s">
        <v>100</v>
      </c>
      <c r="B1" s="15" t="s">
        <v>88</v>
      </c>
      <c r="C1" s="15" t="s">
        <v>89</v>
      </c>
      <c r="D1" s="15" t="s">
        <v>90</v>
      </c>
      <c r="E1" s="15" t="s">
        <v>91</v>
      </c>
      <c r="F1" s="15" t="s">
        <v>92</v>
      </c>
      <c r="G1" s="15" t="s">
        <v>93</v>
      </c>
      <c r="H1" s="15" t="s">
        <v>94</v>
      </c>
      <c r="I1" s="15" t="s">
        <v>95</v>
      </c>
      <c r="J1" s="15" t="s">
        <v>96</v>
      </c>
      <c r="K1" s="15" t="s">
        <v>97</v>
      </c>
      <c r="L1" s="15" t="s">
        <v>98</v>
      </c>
      <c r="M1" s="15" t="s">
        <v>99</v>
      </c>
      <c r="N1" s="13"/>
    </row>
    <row r="2" spans="1:14" x14ac:dyDescent="0.25">
      <c r="A2" s="22" t="s">
        <v>23</v>
      </c>
      <c r="B2" s="23">
        <v>0</v>
      </c>
      <c r="C2" s="23">
        <v>0</v>
      </c>
      <c r="D2" s="23">
        <v>0</v>
      </c>
      <c r="E2" s="23">
        <v>0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>
        <v>0</v>
      </c>
      <c r="M2" s="23">
        <v>207.81008800000001</v>
      </c>
      <c r="N2" s="23">
        <v>0</v>
      </c>
    </row>
    <row r="3" spans="1:14" x14ac:dyDescent="0.25">
      <c r="A3" s="18" t="s">
        <v>24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1156.6674290000001</v>
      </c>
      <c r="I3" s="19">
        <v>353.47698000000003</v>
      </c>
      <c r="J3" s="19">
        <v>0</v>
      </c>
      <c r="K3" s="19">
        <v>0</v>
      </c>
      <c r="L3" s="19">
        <v>0</v>
      </c>
      <c r="M3" s="19">
        <v>153.90052600000001</v>
      </c>
      <c r="N3" s="19">
        <v>166.05018100000001</v>
      </c>
    </row>
    <row r="4" spans="1:14" x14ac:dyDescent="0.25">
      <c r="A4" s="16" t="s">
        <v>25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1585.0325399999999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181.75668300000001</v>
      </c>
      <c r="N4" s="17">
        <v>229.96048200000001</v>
      </c>
    </row>
    <row r="5" spans="1:14" x14ac:dyDescent="0.25">
      <c r="A5" s="18" t="s">
        <v>26</v>
      </c>
      <c r="B5" s="19">
        <v>547.58407699999998</v>
      </c>
      <c r="C5" s="19">
        <v>438.42492700000003</v>
      </c>
      <c r="D5" s="19">
        <v>525.61973999999998</v>
      </c>
      <c r="E5" s="19">
        <v>0</v>
      </c>
      <c r="F5" s="19">
        <v>0</v>
      </c>
      <c r="G5" s="19">
        <v>0</v>
      </c>
      <c r="H5" s="19">
        <v>1370.6455129999999</v>
      </c>
      <c r="I5" s="19">
        <v>48.704645999999997</v>
      </c>
      <c r="J5" s="19">
        <v>21.952314000000001</v>
      </c>
      <c r="K5" s="19">
        <v>0</v>
      </c>
      <c r="L5" s="19">
        <v>0</v>
      </c>
      <c r="M5" s="19">
        <v>30.601237000000001</v>
      </c>
      <c r="N5" s="19">
        <v>30.956029999999998</v>
      </c>
    </row>
    <row r="6" spans="1:14" x14ac:dyDescent="0.25">
      <c r="A6" s="16" t="s">
        <v>27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1963.9898270000001</v>
      </c>
      <c r="H6" s="17">
        <v>0</v>
      </c>
      <c r="I6" s="17">
        <v>267.11241899999999</v>
      </c>
      <c r="J6" s="17">
        <v>106.517493</v>
      </c>
      <c r="K6" s="17">
        <v>0</v>
      </c>
      <c r="L6" s="17">
        <v>0</v>
      </c>
      <c r="M6" s="17">
        <v>123.292885</v>
      </c>
      <c r="N6" s="17">
        <v>121.96034400000001</v>
      </c>
    </row>
    <row r="7" spans="1:14" x14ac:dyDescent="0.25">
      <c r="A7" s="18" t="s">
        <v>28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28.487817</v>
      </c>
      <c r="K7" s="19">
        <v>0</v>
      </c>
      <c r="L7" s="19">
        <v>0</v>
      </c>
      <c r="M7" s="19">
        <v>40.109122999999997</v>
      </c>
      <c r="N7" s="19">
        <v>39.303432999999998</v>
      </c>
    </row>
    <row r="8" spans="1:14" x14ac:dyDescent="0.25">
      <c r="A8" s="16" t="s">
        <v>29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1550.6731380000001</v>
      </c>
      <c r="H8" s="17">
        <v>1129.1389799999999</v>
      </c>
      <c r="I8" s="17">
        <v>248.513204</v>
      </c>
      <c r="J8" s="17">
        <v>61.891125000000002</v>
      </c>
      <c r="K8" s="17">
        <v>0</v>
      </c>
      <c r="L8" s="17">
        <v>0</v>
      </c>
      <c r="M8" s="17">
        <v>67.948759999999993</v>
      </c>
      <c r="N8" s="17">
        <v>66.279916999999998</v>
      </c>
    </row>
    <row r="9" spans="1:14" x14ac:dyDescent="0.25">
      <c r="A9" s="18" t="s">
        <v>30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1451.403689</v>
      </c>
      <c r="H9" s="19">
        <v>993.29375700000003</v>
      </c>
      <c r="I9" s="19">
        <v>33.360778000000003</v>
      </c>
      <c r="J9" s="19">
        <v>21.306106</v>
      </c>
      <c r="K9" s="19">
        <v>0</v>
      </c>
      <c r="L9" s="19">
        <v>0</v>
      </c>
      <c r="M9" s="19">
        <v>23.927091999999998</v>
      </c>
      <c r="N9" s="19">
        <v>24.399816999999999</v>
      </c>
    </row>
    <row r="10" spans="1:14" x14ac:dyDescent="0.25">
      <c r="A10" s="16" t="s">
        <v>76</v>
      </c>
      <c r="B10" s="17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940.04846699999996</v>
      </c>
      <c r="I10" s="17">
        <v>47.700180000000003</v>
      </c>
      <c r="J10" s="17">
        <v>0</v>
      </c>
      <c r="K10" s="17">
        <v>0</v>
      </c>
      <c r="L10" s="17">
        <v>0</v>
      </c>
      <c r="M10" s="17">
        <v>28.034648000000001</v>
      </c>
      <c r="N10" s="17">
        <v>27.809141</v>
      </c>
    </row>
    <row r="11" spans="1:14" x14ac:dyDescent="0.25">
      <c r="A11" s="18" t="s">
        <v>77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938.99181899999996</v>
      </c>
      <c r="I11" s="19">
        <v>47.700180000000003</v>
      </c>
      <c r="J11" s="19">
        <v>0</v>
      </c>
      <c r="K11" s="19">
        <v>0</v>
      </c>
      <c r="L11" s="19">
        <v>0</v>
      </c>
      <c r="M11" s="19">
        <v>28.034648000000001</v>
      </c>
      <c r="N11" s="19">
        <v>27.809141</v>
      </c>
    </row>
    <row r="12" spans="1:14" x14ac:dyDescent="0.25">
      <c r="A12" s="16" t="s">
        <v>32</v>
      </c>
      <c r="B12" s="17">
        <v>0</v>
      </c>
      <c r="C12" s="17">
        <v>1025.253234</v>
      </c>
      <c r="D12" s="17">
        <v>1142.9662450000001</v>
      </c>
      <c r="E12" s="17">
        <v>0</v>
      </c>
      <c r="F12" s="17">
        <v>0</v>
      </c>
      <c r="G12" s="17">
        <v>0</v>
      </c>
      <c r="H12" s="17">
        <v>0</v>
      </c>
      <c r="I12" s="17">
        <v>509.018846</v>
      </c>
      <c r="J12" s="17">
        <v>0</v>
      </c>
      <c r="K12" s="17">
        <v>0</v>
      </c>
      <c r="L12" s="17">
        <v>0</v>
      </c>
      <c r="M12" s="17">
        <v>131.659505</v>
      </c>
      <c r="N12" s="17">
        <v>131.73621800000001</v>
      </c>
    </row>
    <row r="13" spans="1:14" x14ac:dyDescent="0.25">
      <c r="A13" s="18" t="s">
        <v>33</v>
      </c>
      <c r="B13" s="19">
        <v>0</v>
      </c>
      <c r="C13" s="19">
        <v>460.34159799999998</v>
      </c>
      <c r="D13" s="19">
        <v>0</v>
      </c>
      <c r="E13" s="19">
        <v>0</v>
      </c>
      <c r="F13" s="19">
        <v>0</v>
      </c>
      <c r="G13" s="19">
        <v>0</v>
      </c>
      <c r="H13" s="19">
        <v>1255.3754610000001</v>
      </c>
      <c r="I13" s="19">
        <v>96.581047999999996</v>
      </c>
      <c r="J13" s="19">
        <v>53.351669999999999</v>
      </c>
      <c r="K13" s="19">
        <v>0</v>
      </c>
      <c r="L13" s="19">
        <v>0</v>
      </c>
      <c r="M13" s="19">
        <v>65.332274999999996</v>
      </c>
      <c r="N13" s="19">
        <v>66.649075999999994</v>
      </c>
    </row>
    <row r="14" spans="1:14" x14ac:dyDescent="0.25">
      <c r="A14" s="16" t="s">
        <v>34</v>
      </c>
      <c r="B14" s="17">
        <v>0</v>
      </c>
      <c r="C14" s="17">
        <v>440.13367</v>
      </c>
      <c r="D14" s="17">
        <v>0</v>
      </c>
      <c r="E14" s="17">
        <v>0</v>
      </c>
      <c r="F14" s="17">
        <v>0</v>
      </c>
      <c r="G14" s="17">
        <v>1418.1392189999999</v>
      </c>
      <c r="H14" s="17">
        <v>0</v>
      </c>
      <c r="I14" s="17">
        <v>50.571975000000002</v>
      </c>
      <c r="J14" s="17">
        <v>26.078738000000001</v>
      </c>
      <c r="K14" s="17">
        <v>0</v>
      </c>
      <c r="L14" s="17">
        <v>0</v>
      </c>
      <c r="M14" s="17">
        <v>32.708320999999998</v>
      </c>
      <c r="N14" s="17">
        <v>38.627594000000002</v>
      </c>
    </row>
    <row r="15" spans="1:14" x14ac:dyDescent="0.25">
      <c r="A15" s="18" t="s">
        <v>35</v>
      </c>
      <c r="B15" s="19">
        <v>0</v>
      </c>
      <c r="C15" s="19">
        <v>0</v>
      </c>
      <c r="D15" s="19">
        <v>0</v>
      </c>
      <c r="E15" s="19">
        <v>0</v>
      </c>
      <c r="F15" s="19">
        <v>0</v>
      </c>
      <c r="G15" s="19">
        <v>0</v>
      </c>
      <c r="H15" s="19">
        <v>995.703619</v>
      </c>
      <c r="I15" s="19">
        <v>69.686042999999998</v>
      </c>
      <c r="J15" s="19">
        <v>17.095613</v>
      </c>
      <c r="K15" s="19">
        <v>0</v>
      </c>
      <c r="L15" s="19">
        <v>0</v>
      </c>
      <c r="M15" s="19">
        <v>22.200375999999999</v>
      </c>
      <c r="N15" s="19">
        <v>22.783777000000001</v>
      </c>
    </row>
    <row r="16" spans="1:14" x14ac:dyDescent="0.25">
      <c r="A16" s="16" t="s">
        <v>36</v>
      </c>
      <c r="B16" s="17">
        <v>0</v>
      </c>
      <c r="C16" s="17">
        <v>398.71171800000002</v>
      </c>
      <c r="D16" s="17">
        <v>0</v>
      </c>
      <c r="E16" s="17">
        <v>0</v>
      </c>
      <c r="F16" s="17">
        <v>0</v>
      </c>
      <c r="G16" s="17">
        <v>1879.729124</v>
      </c>
      <c r="H16" s="17">
        <v>0</v>
      </c>
      <c r="I16" s="17">
        <v>24.797844000000001</v>
      </c>
      <c r="J16" s="17">
        <v>0</v>
      </c>
      <c r="K16" s="17">
        <v>0</v>
      </c>
      <c r="L16" s="17">
        <v>0</v>
      </c>
      <c r="M16" s="17">
        <v>9.4468040000000002</v>
      </c>
      <c r="N16" s="17">
        <v>7.8317959999999998</v>
      </c>
    </row>
    <row r="17" spans="1:14" x14ac:dyDescent="0.25">
      <c r="A17" s="18" t="s">
        <v>37</v>
      </c>
      <c r="B17" s="19">
        <v>0</v>
      </c>
      <c r="C17" s="19">
        <v>0</v>
      </c>
      <c r="D17" s="19">
        <v>0</v>
      </c>
      <c r="E17" s="19">
        <v>0</v>
      </c>
      <c r="F17" s="19">
        <v>0</v>
      </c>
      <c r="G17" s="19">
        <v>0</v>
      </c>
      <c r="H17" s="19">
        <v>1224.0710509999999</v>
      </c>
      <c r="I17" s="19">
        <v>236.07046199999999</v>
      </c>
      <c r="J17" s="19">
        <v>0</v>
      </c>
      <c r="K17" s="19">
        <v>0</v>
      </c>
      <c r="L17" s="19">
        <v>0</v>
      </c>
      <c r="M17" s="19">
        <v>190.07028299999999</v>
      </c>
      <c r="N17" s="19">
        <v>240.478937</v>
      </c>
    </row>
    <row r="18" spans="1:14" x14ac:dyDescent="0.25">
      <c r="A18" s="16" t="s">
        <v>38</v>
      </c>
      <c r="B18" s="17">
        <v>0</v>
      </c>
      <c r="C18" s="17">
        <v>0</v>
      </c>
      <c r="D18" s="17">
        <v>0</v>
      </c>
      <c r="E18" s="17">
        <v>0</v>
      </c>
      <c r="F18" s="17">
        <v>0</v>
      </c>
      <c r="G18" s="17">
        <v>1614.447784</v>
      </c>
      <c r="H18" s="17">
        <v>0</v>
      </c>
      <c r="I18" s="17">
        <v>107.553962</v>
      </c>
      <c r="J18" s="17">
        <v>39.815627999999997</v>
      </c>
      <c r="K18" s="17">
        <v>0</v>
      </c>
      <c r="L18" s="17">
        <v>0</v>
      </c>
      <c r="M18" s="17">
        <v>46.523116000000002</v>
      </c>
      <c r="N18" s="17">
        <v>45.653784000000002</v>
      </c>
    </row>
    <row r="19" spans="1:14" x14ac:dyDescent="0.25">
      <c r="A19" s="18" t="s">
        <v>39</v>
      </c>
      <c r="B19" s="19">
        <v>0</v>
      </c>
      <c r="C19" s="19">
        <v>424.64952099999999</v>
      </c>
      <c r="D19" s="19">
        <v>529.35071200000004</v>
      </c>
      <c r="E19" s="19">
        <v>0</v>
      </c>
      <c r="F19" s="19">
        <v>0</v>
      </c>
      <c r="G19" s="19">
        <v>0</v>
      </c>
      <c r="H19" s="19">
        <v>1058.993682</v>
      </c>
      <c r="I19" s="19">
        <v>10.686755</v>
      </c>
      <c r="J19" s="19">
        <v>0</v>
      </c>
      <c r="K19" s="19">
        <v>0</v>
      </c>
      <c r="L19" s="19">
        <v>0</v>
      </c>
      <c r="M19" s="19">
        <v>6.4770219999999998</v>
      </c>
      <c r="N19" s="19">
        <v>6.3766100000000003</v>
      </c>
    </row>
    <row r="20" spans="1:14" x14ac:dyDescent="0.25">
      <c r="A20" s="16" t="s">
        <v>40</v>
      </c>
      <c r="B20" s="17">
        <v>0</v>
      </c>
      <c r="C20" s="17">
        <v>544.73224800000003</v>
      </c>
      <c r="D20" s="17">
        <v>0</v>
      </c>
      <c r="E20" s="17">
        <v>0</v>
      </c>
      <c r="F20" s="17">
        <v>0</v>
      </c>
      <c r="G20" s="17">
        <v>0</v>
      </c>
      <c r="H20" s="17">
        <v>1364.7000539999999</v>
      </c>
      <c r="I20" s="17">
        <v>81.857907999999995</v>
      </c>
      <c r="J20" s="17">
        <v>0</v>
      </c>
      <c r="K20" s="17">
        <v>0</v>
      </c>
      <c r="L20" s="17">
        <v>0</v>
      </c>
      <c r="M20" s="17">
        <v>47.433680000000003</v>
      </c>
      <c r="N20" s="17">
        <v>44.754702000000002</v>
      </c>
    </row>
    <row r="21" spans="1:14" x14ac:dyDescent="0.25">
      <c r="A21" s="18" t="s">
        <v>41</v>
      </c>
      <c r="B21" s="19">
        <v>759.95669499999997</v>
      </c>
      <c r="C21" s="19">
        <v>631.18186300000002</v>
      </c>
      <c r="D21" s="19">
        <v>733.55423099999996</v>
      </c>
      <c r="E21" s="19">
        <v>0</v>
      </c>
      <c r="F21" s="19">
        <v>0</v>
      </c>
      <c r="G21" s="19">
        <v>0</v>
      </c>
      <c r="H21" s="19">
        <v>0</v>
      </c>
      <c r="I21" s="19">
        <v>165.99197899999999</v>
      </c>
      <c r="J21" s="19">
        <v>0</v>
      </c>
      <c r="K21" s="19">
        <v>0</v>
      </c>
      <c r="L21" s="19">
        <v>0</v>
      </c>
      <c r="M21" s="19">
        <v>45.151473000000003</v>
      </c>
      <c r="N21" s="19">
        <v>43.894931999999997</v>
      </c>
    </row>
    <row r="22" spans="1:14" x14ac:dyDescent="0.25">
      <c r="A22" s="16" t="s">
        <v>42</v>
      </c>
      <c r="B22" s="17">
        <v>661.57338600000003</v>
      </c>
      <c r="C22" s="17">
        <v>530.96283800000003</v>
      </c>
      <c r="D22" s="17">
        <v>638.56563700000004</v>
      </c>
      <c r="E22" s="17">
        <v>0</v>
      </c>
      <c r="F22" s="17">
        <v>0</v>
      </c>
      <c r="G22" s="17">
        <v>0</v>
      </c>
      <c r="H22" s="17">
        <v>0</v>
      </c>
      <c r="I22" s="17">
        <v>33.532693999999999</v>
      </c>
      <c r="J22" s="17">
        <v>0</v>
      </c>
      <c r="K22" s="17">
        <v>0</v>
      </c>
      <c r="L22" s="17">
        <v>0</v>
      </c>
      <c r="M22" s="17">
        <v>20.327883</v>
      </c>
      <c r="N22" s="17">
        <v>20.397711000000001</v>
      </c>
    </row>
    <row r="23" spans="1:14" x14ac:dyDescent="0.25">
      <c r="A23" s="18" t="s">
        <v>43</v>
      </c>
      <c r="B23" s="19">
        <v>0</v>
      </c>
      <c r="C23" s="19">
        <v>553.76626999999996</v>
      </c>
      <c r="D23" s="19">
        <v>662.63033299999995</v>
      </c>
      <c r="E23" s="19">
        <v>0</v>
      </c>
      <c r="F23" s="19">
        <v>0</v>
      </c>
      <c r="G23" s="19">
        <v>0</v>
      </c>
      <c r="H23" s="19">
        <v>1118.9984219999999</v>
      </c>
      <c r="I23" s="19">
        <v>60.123344000000003</v>
      </c>
      <c r="J23" s="19">
        <v>0</v>
      </c>
      <c r="K23" s="19">
        <v>0</v>
      </c>
      <c r="L23" s="19">
        <v>0</v>
      </c>
      <c r="M23" s="19">
        <v>38.600853999999998</v>
      </c>
      <c r="N23" s="19">
        <v>39.172432999999998</v>
      </c>
    </row>
    <row r="24" spans="1:14" x14ac:dyDescent="0.25">
      <c r="A24" s="16" t="s">
        <v>44</v>
      </c>
      <c r="B24" s="17">
        <v>0</v>
      </c>
      <c r="C24" s="17">
        <v>0</v>
      </c>
      <c r="D24" s="17">
        <v>0</v>
      </c>
      <c r="E24" s="17">
        <v>0</v>
      </c>
      <c r="F24" s="17">
        <v>0</v>
      </c>
      <c r="G24" s="17">
        <v>1724.8537120000001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197.496296</v>
      </c>
      <c r="N24" s="17">
        <v>249.87440799999999</v>
      </c>
    </row>
    <row r="25" spans="1:14" x14ac:dyDescent="0.25">
      <c r="A25" s="18" t="s">
        <v>45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19">
        <v>1862.8462480000001</v>
      </c>
      <c r="H25" s="19">
        <v>1301.429355</v>
      </c>
      <c r="I25" s="19">
        <v>0</v>
      </c>
      <c r="J25" s="19">
        <v>0</v>
      </c>
      <c r="K25" s="19">
        <v>0</v>
      </c>
      <c r="L25" s="19">
        <v>0</v>
      </c>
      <c r="M25" s="19">
        <v>201.433221</v>
      </c>
      <c r="N25" s="19">
        <v>254.855447</v>
      </c>
    </row>
    <row r="26" spans="1:14" x14ac:dyDescent="0.25">
      <c r="A26" s="16" t="s">
        <v>46</v>
      </c>
      <c r="B26" s="17">
        <v>0</v>
      </c>
      <c r="C26" s="17">
        <v>479.87119899999999</v>
      </c>
      <c r="D26" s="17">
        <v>582.61871699999995</v>
      </c>
      <c r="E26" s="17">
        <v>0</v>
      </c>
      <c r="F26" s="17">
        <v>0</v>
      </c>
      <c r="G26" s="17">
        <v>0</v>
      </c>
      <c r="H26" s="17">
        <v>1302.5325150000001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61.360928000000001</v>
      </c>
    </row>
    <row r="27" spans="1:14" x14ac:dyDescent="0.25">
      <c r="A27" s="18" t="s">
        <v>47</v>
      </c>
      <c r="B27" s="19">
        <v>0</v>
      </c>
      <c r="C27" s="19">
        <v>426.07967500000001</v>
      </c>
      <c r="D27" s="19">
        <v>0</v>
      </c>
      <c r="E27" s="19">
        <v>0</v>
      </c>
      <c r="F27" s="19">
        <v>0</v>
      </c>
      <c r="G27" s="19">
        <v>0</v>
      </c>
      <c r="H27" s="19">
        <v>1127.726269</v>
      </c>
      <c r="I27" s="19">
        <v>71.768921000000006</v>
      </c>
      <c r="J27" s="19">
        <v>39.888809000000002</v>
      </c>
      <c r="K27" s="19">
        <v>0</v>
      </c>
      <c r="L27" s="19">
        <v>0</v>
      </c>
      <c r="M27" s="19">
        <v>44.905199000000003</v>
      </c>
      <c r="N27" s="19">
        <v>44.019677000000001</v>
      </c>
    </row>
    <row r="28" spans="1:14" x14ac:dyDescent="0.25">
      <c r="A28" s="16" t="s">
        <v>78</v>
      </c>
      <c r="B28" s="17">
        <v>0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7">
        <v>3.4898039999999999</v>
      </c>
      <c r="N28" s="17">
        <v>0</v>
      </c>
    </row>
    <row r="29" spans="1:14" x14ac:dyDescent="0.25">
      <c r="A29" s="18" t="s">
        <v>79</v>
      </c>
      <c r="B29" s="19">
        <v>0</v>
      </c>
      <c r="C29" s="19">
        <v>0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3.4898039999999999</v>
      </c>
      <c r="N29" s="19">
        <v>3.549356</v>
      </c>
    </row>
    <row r="30" spans="1:14" x14ac:dyDescent="0.25">
      <c r="A30" s="16" t="s">
        <v>80</v>
      </c>
      <c r="B30" s="17">
        <v>632.70034599999997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3.4898039999999999</v>
      </c>
      <c r="N30" s="17">
        <v>3.549356</v>
      </c>
    </row>
    <row r="31" spans="1:14" x14ac:dyDescent="0.25">
      <c r="A31" s="18" t="s">
        <v>81</v>
      </c>
      <c r="B31" s="19">
        <v>632.70034599999997</v>
      </c>
      <c r="C31" s="19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3.4898039999999999</v>
      </c>
      <c r="N31" s="19">
        <v>3.549356</v>
      </c>
    </row>
    <row r="32" spans="1:14" x14ac:dyDescent="0.25">
      <c r="A32" s="16" t="s">
        <v>82</v>
      </c>
      <c r="B32" s="17">
        <v>0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3.4898039999999999</v>
      </c>
      <c r="N32" s="17">
        <v>3.549356</v>
      </c>
    </row>
    <row r="33" spans="1:29" x14ac:dyDescent="0.25">
      <c r="A33" s="18" t="s">
        <v>49</v>
      </c>
      <c r="B33" s="19">
        <v>0</v>
      </c>
      <c r="C33" s="19">
        <v>0</v>
      </c>
      <c r="D33" s="19">
        <v>0</v>
      </c>
      <c r="E33" s="19">
        <v>0</v>
      </c>
      <c r="F33" s="19">
        <v>0</v>
      </c>
      <c r="G33" s="19">
        <v>1407.8827610000001</v>
      </c>
      <c r="H33" s="19">
        <v>982.76560099999995</v>
      </c>
      <c r="I33" s="19">
        <v>66.387074999999996</v>
      </c>
      <c r="J33" s="19">
        <v>0</v>
      </c>
      <c r="K33" s="19">
        <v>0</v>
      </c>
      <c r="L33" s="19">
        <v>0</v>
      </c>
      <c r="M33" s="19">
        <v>42.040120000000002</v>
      </c>
      <c r="N33" s="19">
        <v>41.334569999999999</v>
      </c>
    </row>
    <row r="34" spans="1:29" x14ac:dyDescent="0.25">
      <c r="A34" s="16" t="s">
        <v>50</v>
      </c>
      <c r="B34" s="17">
        <v>0</v>
      </c>
      <c r="C34" s="17">
        <v>451.473479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31.673597000000001</v>
      </c>
      <c r="J34" s="17">
        <v>0</v>
      </c>
      <c r="K34" s="17">
        <v>0</v>
      </c>
      <c r="L34" s="17">
        <v>0</v>
      </c>
      <c r="M34" s="17">
        <v>17.557248000000001</v>
      </c>
      <c r="N34" s="17">
        <v>17.441381</v>
      </c>
    </row>
    <row r="35" spans="1:29" x14ac:dyDescent="0.25">
      <c r="A35" s="18" t="s">
        <v>51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1686.360038</v>
      </c>
      <c r="H35" s="19">
        <v>0</v>
      </c>
      <c r="I35" s="19">
        <v>295.42078400000003</v>
      </c>
      <c r="J35" s="19">
        <v>31.504128999999999</v>
      </c>
      <c r="K35" s="19">
        <v>0</v>
      </c>
      <c r="L35" s="19">
        <v>0</v>
      </c>
      <c r="M35" s="19">
        <v>40.845613</v>
      </c>
      <c r="N35" s="19">
        <v>39.710976000000002</v>
      </c>
    </row>
    <row r="36" spans="1:29" x14ac:dyDescent="0.25">
      <c r="A36" s="16" t="s">
        <v>52</v>
      </c>
      <c r="B36" s="17">
        <v>0</v>
      </c>
      <c r="C36" s="17">
        <v>0</v>
      </c>
      <c r="D36" s="17">
        <v>0</v>
      </c>
      <c r="E36" s="17">
        <v>0</v>
      </c>
      <c r="F36" s="17">
        <v>0</v>
      </c>
      <c r="G36" s="17">
        <v>1690.321972</v>
      </c>
      <c r="H36" s="17">
        <v>0</v>
      </c>
      <c r="I36" s="17">
        <v>0</v>
      </c>
      <c r="J36" s="17">
        <v>0</v>
      </c>
      <c r="K36" s="17">
        <v>0</v>
      </c>
      <c r="L36" s="17">
        <v>0</v>
      </c>
      <c r="M36" s="17">
        <v>193.94786199999999</v>
      </c>
      <c r="N36" s="17">
        <v>245.38489100000001</v>
      </c>
    </row>
    <row r="37" spans="1:29" x14ac:dyDescent="0.25">
      <c r="A37" s="18" t="s">
        <v>83</v>
      </c>
      <c r="B37" s="19">
        <v>0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12.758931</v>
      </c>
      <c r="N37" s="19">
        <v>9.5720969999999994</v>
      </c>
    </row>
    <row r="38" spans="1:29" x14ac:dyDescent="0.25">
      <c r="A38" s="16" t="s">
        <v>84</v>
      </c>
      <c r="B38" s="17">
        <v>0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7">
        <v>12.758931</v>
      </c>
      <c r="N38" s="17">
        <v>9.5720969999999994</v>
      </c>
    </row>
    <row r="39" spans="1:29" x14ac:dyDescent="0.25">
      <c r="A39" s="18" t="s">
        <v>85</v>
      </c>
      <c r="B39" s="19">
        <v>0</v>
      </c>
      <c r="C39" s="19">
        <v>428.76847800000002</v>
      </c>
      <c r="D39" s="19">
        <v>0</v>
      </c>
      <c r="E39" s="19">
        <v>0</v>
      </c>
      <c r="F39" s="19">
        <v>0</v>
      </c>
      <c r="G39" s="19">
        <v>0</v>
      </c>
      <c r="H39" s="19">
        <v>887.25603599999999</v>
      </c>
      <c r="I39" s="19">
        <v>35.015611</v>
      </c>
      <c r="J39" s="19">
        <v>9.1367030000000007</v>
      </c>
      <c r="K39" s="19">
        <v>0</v>
      </c>
      <c r="L39" s="19">
        <v>0</v>
      </c>
      <c r="M39" s="19">
        <v>12.758931</v>
      </c>
      <c r="N39" s="19">
        <v>9.5720969999999994</v>
      </c>
    </row>
    <row r="40" spans="1:29" x14ac:dyDescent="0.25">
      <c r="A40" s="16" t="s">
        <v>86</v>
      </c>
      <c r="B40" s="17">
        <v>0</v>
      </c>
      <c r="C40" s="17">
        <v>404.30076300000002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>
        <v>0</v>
      </c>
      <c r="M40" s="17">
        <v>12.758931</v>
      </c>
      <c r="N40" s="17">
        <v>9.5720969999999994</v>
      </c>
    </row>
    <row r="41" spans="1:29" x14ac:dyDescent="0.25">
      <c r="A41" s="18" t="s">
        <v>54</v>
      </c>
      <c r="B41" s="19">
        <v>0</v>
      </c>
      <c r="C41" s="19">
        <v>0</v>
      </c>
      <c r="D41" s="19">
        <v>0</v>
      </c>
      <c r="E41" s="19">
        <v>0</v>
      </c>
      <c r="F41" s="19">
        <v>0</v>
      </c>
      <c r="G41" s="19">
        <v>1575.337211</v>
      </c>
      <c r="H41" s="19">
        <v>0</v>
      </c>
      <c r="I41" s="19">
        <v>75.727535000000003</v>
      </c>
      <c r="J41" s="19">
        <v>24.928985000000001</v>
      </c>
      <c r="K41" s="19">
        <v>0</v>
      </c>
      <c r="L41" s="19">
        <v>0</v>
      </c>
      <c r="M41" s="19">
        <v>34.414059999999999</v>
      </c>
      <c r="N41" s="19">
        <v>0</v>
      </c>
    </row>
    <row r="42" spans="1:29" x14ac:dyDescent="0.25">
      <c r="A42" s="16" t="s">
        <v>55</v>
      </c>
      <c r="B42" s="17">
        <v>0</v>
      </c>
      <c r="C42" s="17">
        <v>0</v>
      </c>
      <c r="D42" s="17">
        <v>0</v>
      </c>
      <c r="E42" s="17">
        <v>0</v>
      </c>
      <c r="F42" s="17">
        <v>0</v>
      </c>
      <c r="G42" s="17">
        <v>1486.727762</v>
      </c>
      <c r="H42" s="17">
        <v>0</v>
      </c>
      <c r="I42" s="17">
        <v>171.64636100000001</v>
      </c>
      <c r="J42" s="17">
        <v>111.11054799999999</v>
      </c>
      <c r="K42" s="17">
        <v>0</v>
      </c>
      <c r="L42" s="17">
        <v>0</v>
      </c>
      <c r="M42" s="17">
        <v>111.06374700000001</v>
      </c>
      <c r="N42" s="17">
        <v>111.42462999999999</v>
      </c>
    </row>
    <row r="43" spans="1:29" x14ac:dyDescent="0.25">
      <c r="A43" s="18" t="s">
        <v>56</v>
      </c>
      <c r="B43" s="19">
        <v>0</v>
      </c>
      <c r="C43" s="19">
        <v>468.33331500000003</v>
      </c>
      <c r="D43" s="19">
        <v>582.61871699999995</v>
      </c>
      <c r="E43" s="19">
        <v>0</v>
      </c>
      <c r="F43" s="19">
        <v>0</v>
      </c>
      <c r="G43" s="19">
        <v>0</v>
      </c>
      <c r="H43" s="19">
        <v>1304.1773310000001</v>
      </c>
      <c r="I43" s="19">
        <v>91.360776999999999</v>
      </c>
      <c r="J43" s="19">
        <v>47.265920999999999</v>
      </c>
      <c r="K43" s="19">
        <v>0</v>
      </c>
      <c r="L43" s="19">
        <v>0</v>
      </c>
      <c r="M43" s="19">
        <v>56.528759000000001</v>
      </c>
      <c r="N43" s="19">
        <v>61.360928000000001</v>
      </c>
    </row>
    <row r="46" spans="1:29" ht="24" x14ac:dyDescent="0.25">
      <c r="A46" s="15" t="s">
        <v>87</v>
      </c>
      <c r="B46" s="15" t="s">
        <v>88</v>
      </c>
      <c r="C46" s="15" t="s">
        <v>89</v>
      </c>
      <c r="D46" s="15" t="s">
        <v>90</v>
      </c>
      <c r="E46" s="15" t="s">
        <v>91</v>
      </c>
      <c r="F46" s="15" t="s">
        <v>92</v>
      </c>
      <c r="G46" s="15" t="s">
        <v>93</v>
      </c>
      <c r="H46" s="15" t="s">
        <v>94</v>
      </c>
      <c r="I46" s="15" t="s">
        <v>95</v>
      </c>
      <c r="J46" s="15" t="s">
        <v>96</v>
      </c>
      <c r="K46" s="15" t="s">
        <v>97</v>
      </c>
      <c r="L46" s="15" t="s">
        <v>98</v>
      </c>
      <c r="M46" s="15" t="s">
        <v>99</v>
      </c>
      <c r="N46" s="13"/>
      <c r="Q46" s="15" t="s">
        <v>87</v>
      </c>
      <c r="R46" s="15" t="s">
        <v>88</v>
      </c>
      <c r="S46" s="15" t="s">
        <v>89</v>
      </c>
      <c r="T46" s="15" t="s">
        <v>90</v>
      </c>
      <c r="U46" s="15" t="s">
        <v>91</v>
      </c>
      <c r="V46" s="15" t="s">
        <v>92</v>
      </c>
      <c r="W46" s="15" t="s">
        <v>93</v>
      </c>
      <c r="X46" s="15" t="s">
        <v>94</v>
      </c>
      <c r="Y46" s="15" t="s">
        <v>95</v>
      </c>
      <c r="Z46" s="15" t="s">
        <v>96</v>
      </c>
      <c r="AA46" s="15" t="s">
        <v>97</v>
      </c>
      <c r="AB46" s="15" t="s">
        <v>98</v>
      </c>
      <c r="AC46" s="15" t="s">
        <v>99</v>
      </c>
    </row>
    <row r="47" spans="1:29" x14ac:dyDescent="0.25">
      <c r="A47" s="16" t="s">
        <v>23</v>
      </c>
      <c r="B47" s="17">
        <v>0</v>
      </c>
      <c r="C47" s="17">
        <v>0</v>
      </c>
      <c r="D47" s="17">
        <v>0</v>
      </c>
      <c r="E47" s="17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168.01212699999999</v>
      </c>
      <c r="N47" s="17">
        <v>0</v>
      </c>
      <c r="Q47" t="e">
        <f>(B2/B47)</f>
        <v>#DIV/0!</v>
      </c>
      <c r="R47" t="e">
        <f t="shared" ref="R47:AC47" si="0">(C2/C47)</f>
        <v>#DIV/0!</v>
      </c>
      <c r="S47" t="e">
        <f t="shared" si="0"/>
        <v>#DIV/0!</v>
      </c>
      <c r="T47" t="e">
        <f t="shared" si="0"/>
        <v>#DIV/0!</v>
      </c>
      <c r="U47" t="e">
        <f t="shared" si="0"/>
        <v>#DIV/0!</v>
      </c>
      <c r="V47" t="e">
        <f t="shared" si="0"/>
        <v>#DIV/0!</v>
      </c>
      <c r="W47" t="e">
        <f t="shared" si="0"/>
        <v>#DIV/0!</v>
      </c>
      <c r="X47" t="e">
        <f t="shared" si="0"/>
        <v>#DIV/0!</v>
      </c>
      <c r="Y47" t="e">
        <f t="shared" si="0"/>
        <v>#DIV/0!</v>
      </c>
      <c r="Z47" t="e">
        <f t="shared" si="0"/>
        <v>#DIV/0!</v>
      </c>
      <c r="AA47" t="e">
        <f t="shared" si="0"/>
        <v>#DIV/0!</v>
      </c>
      <c r="AB47">
        <f t="shared" si="0"/>
        <v>1.2368755262529354</v>
      </c>
      <c r="AC47" t="e">
        <f t="shared" si="0"/>
        <v>#DIV/0!</v>
      </c>
    </row>
    <row r="48" spans="1:29" x14ac:dyDescent="0.25">
      <c r="A48" s="18" t="s">
        <v>24</v>
      </c>
      <c r="B48" s="19">
        <v>0</v>
      </c>
      <c r="C48" s="19">
        <v>0</v>
      </c>
      <c r="D48" s="19">
        <v>0</v>
      </c>
      <c r="E48" s="19">
        <v>0</v>
      </c>
      <c r="F48" s="19">
        <v>0</v>
      </c>
      <c r="G48" s="19">
        <v>0</v>
      </c>
      <c r="H48" s="19">
        <v>1098.1200429999999</v>
      </c>
      <c r="I48" s="19">
        <v>335.58492799999999</v>
      </c>
      <c r="J48" s="19">
        <v>0</v>
      </c>
      <c r="K48" s="19">
        <v>0</v>
      </c>
      <c r="L48" s="19">
        <v>0</v>
      </c>
      <c r="M48" s="19">
        <v>146.11049700000001</v>
      </c>
      <c r="N48" s="19">
        <v>157.64516900000001</v>
      </c>
      <c r="Q48" t="e">
        <f t="shared" ref="Q48:Q88" si="1">(B3/B48)</f>
        <v>#DIV/0!</v>
      </c>
      <c r="R48" t="e">
        <f t="shared" ref="R48:R88" si="2">(C3/C48)</f>
        <v>#DIV/0!</v>
      </c>
      <c r="S48" t="e">
        <f t="shared" ref="S48:S88" si="3">(D3/D48)</f>
        <v>#DIV/0!</v>
      </c>
      <c r="T48" t="e">
        <f t="shared" ref="T48:T88" si="4">(E3/E48)</f>
        <v>#DIV/0!</v>
      </c>
      <c r="U48" t="e">
        <f t="shared" ref="U48:U88" si="5">(F3/F48)</f>
        <v>#DIV/0!</v>
      </c>
      <c r="V48" t="e">
        <f t="shared" ref="V48:V88" si="6">(G3/G48)</f>
        <v>#DIV/0!</v>
      </c>
      <c r="W48">
        <f t="shared" ref="W48:W88" si="7">(H3/H48)</f>
        <v>1.0533160161980581</v>
      </c>
      <c r="X48">
        <f t="shared" ref="X48:X88" si="8">(I3/I48)</f>
        <v>1.0533160178159136</v>
      </c>
      <c r="Y48" t="e">
        <f t="shared" ref="Y48:Y88" si="9">(J3/J48)</f>
        <v>#DIV/0!</v>
      </c>
      <c r="Z48" t="e">
        <f t="shared" ref="Z48:Z88" si="10">(K3/K48)</f>
        <v>#DIV/0!</v>
      </c>
      <c r="AA48" t="e">
        <f t="shared" ref="AA48:AA88" si="11">(L3/L48)</f>
        <v>#DIV/0!</v>
      </c>
      <c r="AB48">
        <f t="shared" ref="AB48:AB88" si="12">(M3/M48)</f>
        <v>1.0533160119221276</v>
      </c>
      <c r="AC48">
        <f t="shared" ref="AC48:AC88" si="13">(N3/N48)</f>
        <v>1.0533160137625277</v>
      </c>
    </row>
    <row r="49" spans="1:29" x14ac:dyDescent="0.25">
      <c r="A49" s="16" t="s">
        <v>25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1465.1713669999999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168.01212699999999</v>
      </c>
      <c r="N49" s="17">
        <v>212.57072400000001</v>
      </c>
      <c r="Q49" t="e">
        <f t="shared" si="1"/>
        <v>#DIV/0!</v>
      </c>
      <c r="R49" t="e">
        <f t="shared" si="2"/>
        <v>#DIV/0!</v>
      </c>
      <c r="S49" t="e">
        <f t="shared" si="3"/>
        <v>#DIV/0!</v>
      </c>
      <c r="T49" t="e">
        <f t="shared" si="4"/>
        <v>#DIV/0!</v>
      </c>
      <c r="U49" t="e">
        <f t="shared" si="5"/>
        <v>#DIV/0!</v>
      </c>
      <c r="V49">
        <f t="shared" si="6"/>
        <v>1.0818069310523184</v>
      </c>
      <c r="W49" t="e">
        <f t="shared" si="7"/>
        <v>#DIV/0!</v>
      </c>
      <c r="X49" t="e">
        <f t="shared" si="8"/>
        <v>#DIV/0!</v>
      </c>
      <c r="Y49" t="e">
        <f t="shared" si="9"/>
        <v>#DIV/0!</v>
      </c>
      <c r="Z49" t="e">
        <f t="shared" si="10"/>
        <v>#DIV/0!</v>
      </c>
      <c r="AA49" t="e">
        <f t="shared" si="11"/>
        <v>#DIV/0!</v>
      </c>
      <c r="AB49">
        <f t="shared" si="12"/>
        <v>1.0818069281391813</v>
      </c>
      <c r="AC49">
        <f t="shared" si="13"/>
        <v>1.0818069284084482</v>
      </c>
    </row>
    <row r="50" spans="1:29" x14ac:dyDescent="0.25">
      <c r="A50" s="18" t="s">
        <v>26</v>
      </c>
      <c r="B50" s="19">
        <v>519.38859300000001</v>
      </c>
      <c r="C50" s="19">
        <v>415.850123</v>
      </c>
      <c r="D50" s="19">
        <v>498.55521399999998</v>
      </c>
      <c r="E50" s="19">
        <v>0</v>
      </c>
      <c r="F50" s="19">
        <v>0</v>
      </c>
      <c r="G50" s="19">
        <v>0</v>
      </c>
      <c r="H50" s="19">
        <v>1300.070023</v>
      </c>
      <c r="I50" s="19">
        <v>46.196809999999999</v>
      </c>
      <c r="J50" s="19">
        <v>20.821974000000001</v>
      </c>
      <c r="K50" s="19">
        <v>0</v>
      </c>
      <c r="L50" s="19">
        <v>0</v>
      </c>
      <c r="M50" s="19">
        <v>29.025558</v>
      </c>
      <c r="N50" s="19">
        <v>29.362082999999998</v>
      </c>
      <c r="Q50">
        <f t="shared" si="1"/>
        <v>1.0542859130523876</v>
      </c>
      <c r="R50">
        <f t="shared" si="2"/>
        <v>1.054285913966172</v>
      </c>
      <c r="S50">
        <f t="shared" si="3"/>
        <v>1.0542859150601522</v>
      </c>
      <c r="T50" t="e">
        <f t="shared" si="4"/>
        <v>#DIV/0!</v>
      </c>
      <c r="U50" t="e">
        <f t="shared" si="5"/>
        <v>#DIV/0!</v>
      </c>
      <c r="V50" t="e">
        <f t="shared" si="6"/>
        <v>#DIV/0!</v>
      </c>
      <c r="W50">
        <f t="shared" si="7"/>
        <v>1.054285914413396</v>
      </c>
      <c r="X50">
        <f t="shared" si="8"/>
        <v>1.0542859128151922</v>
      </c>
      <c r="Y50">
        <f t="shared" si="9"/>
        <v>1.0542859192889205</v>
      </c>
      <c r="Z50" t="e">
        <f t="shared" si="10"/>
        <v>#DIV/0!</v>
      </c>
      <c r="AA50" t="e">
        <f t="shared" si="11"/>
        <v>#DIV/0!</v>
      </c>
      <c r="AB50">
        <f t="shared" si="12"/>
        <v>1.0542859158814448</v>
      </c>
      <c r="AC50">
        <f t="shared" si="13"/>
        <v>1.0542858965421493</v>
      </c>
    </row>
    <row r="51" spans="1:29" x14ac:dyDescent="0.25">
      <c r="A51" s="16" t="s">
        <v>27</v>
      </c>
      <c r="B51" s="17">
        <v>0</v>
      </c>
      <c r="C51" s="17">
        <v>0</v>
      </c>
      <c r="D51" s="17">
        <v>0</v>
      </c>
      <c r="E51" s="17">
        <v>0</v>
      </c>
      <c r="F51" s="17">
        <v>0</v>
      </c>
      <c r="G51" s="17">
        <v>1809.268759</v>
      </c>
      <c r="H51" s="17">
        <v>0</v>
      </c>
      <c r="I51" s="17">
        <v>246.069582</v>
      </c>
      <c r="J51" s="17">
        <v>98.126155999999995</v>
      </c>
      <c r="K51" s="17">
        <v>0</v>
      </c>
      <c r="L51" s="17">
        <v>0</v>
      </c>
      <c r="M51" s="17">
        <v>113.58</v>
      </c>
      <c r="N51" s="17">
        <v>112.352435</v>
      </c>
      <c r="Q51" t="e">
        <f t="shared" si="1"/>
        <v>#DIV/0!</v>
      </c>
      <c r="R51" t="e">
        <f t="shared" si="2"/>
        <v>#DIV/0!</v>
      </c>
      <c r="S51" t="e">
        <f t="shared" si="3"/>
        <v>#DIV/0!</v>
      </c>
      <c r="T51" t="e">
        <f t="shared" si="4"/>
        <v>#DIV/0!</v>
      </c>
      <c r="U51" t="e">
        <f t="shared" si="5"/>
        <v>#DIV/0!</v>
      </c>
      <c r="V51">
        <f t="shared" si="6"/>
        <v>1.0855158014697142</v>
      </c>
      <c r="W51" t="e">
        <f t="shared" si="7"/>
        <v>#DIV/0!</v>
      </c>
      <c r="X51">
        <f t="shared" si="8"/>
        <v>1.0855157993481697</v>
      </c>
      <c r="Y51">
        <f t="shared" si="9"/>
        <v>1.0855158027386704</v>
      </c>
      <c r="Z51" t="e">
        <f t="shared" si="10"/>
        <v>#DIV/0!</v>
      </c>
      <c r="AA51" t="e">
        <f t="shared" si="11"/>
        <v>#DIV/0!</v>
      </c>
      <c r="AB51">
        <f t="shared" si="12"/>
        <v>1.0855158038387041</v>
      </c>
      <c r="AC51">
        <f t="shared" si="13"/>
        <v>1.0855158056877006</v>
      </c>
    </row>
    <row r="52" spans="1:29" x14ac:dyDescent="0.25">
      <c r="A52" s="18" t="s">
        <v>28</v>
      </c>
      <c r="B52" s="19">
        <v>0</v>
      </c>
      <c r="C52" s="19">
        <v>0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26.699282</v>
      </c>
      <c r="K52" s="19">
        <v>0</v>
      </c>
      <c r="L52" s="19">
        <v>0</v>
      </c>
      <c r="M52" s="19">
        <v>37.590975</v>
      </c>
      <c r="N52" s="19">
        <v>36.835867999999998</v>
      </c>
      <c r="Q52" t="e">
        <f t="shared" si="1"/>
        <v>#DIV/0!</v>
      </c>
      <c r="R52" t="e">
        <f t="shared" si="2"/>
        <v>#DIV/0!</v>
      </c>
      <c r="S52" t="e">
        <f t="shared" si="3"/>
        <v>#DIV/0!</v>
      </c>
      <c r="T52" t="e">
        <f t="shared" si="4"/>
        <v>#DIV/0!</v>
      </c>
      <c r="U52" t="e">
        <f t="shared" si="5"/>
        <v>#DIV/0!</v>
      </c>
      <c r="V52" t="e">
        <f t="shared" si="6"/>
        <v>#DIV/0!</v>
      </c>
      <c r="W52" t="e">
        <f t="shared" si="7"/>
        <v>#DIV/0!</v>
      </c>
      <c r="X52" t="e">
        <f t="shared" si="8"/>
        <v>#DIV/0!</v>
      </c>
      <c r="Y52">
        <f t="shared" si="9"/>
        <v>1.0669881309916873</v>
      </c>
      <c r="Z52" t="e">
        <f t="shared" si="10"/>
        <v>#DIV/0!</v>
      </c>
      <c r="AA52" t="e">
        <f t="shared" si="11"/>
        <v>#DIV/0!</v>
      </c>
      <c r="AB52">
        <f t="shared" si="12"/>
        <v>1.0669881002022426</v>
      </c>
      <c r="AC52">
        <f t="shared" si="13"/>
        <v>1.0669881051805268</v>
      </c>
    </row>
    <row r="53" spans="1:29" x14ac:dyDescent="0.25">
      <c r="A53" s="16" t="s">
        <v>29</v>
      </c>
      <c r="B53" s="17">
        <v>0</v>
      </c>
      <c r="C53" s="17">
        <v>0</v>
      </c>
      <c r="D53" s="17">
        <v>0</v>
      </c>
      <c r="E53" s="17">
        <v>0</v>
      </c>
      <c r="F53" s="17">
        <v>0</v>
      </c>
      <c r="G53" s="17">
        <v>1483.509135</v>
      </c>
      <c r="H53" s="17">
        <v>1080.232804</v>
      </c>
      <c r="I53" s="17">
        <v>237.74940000000001</v>
      </c>
      <c r="J53" s="17">
        <v>59.210445999999997</v>
      </c>
      <c r="K53" s="17">
        <v>0</v>
      </c>
      <c r="L53" s="17">
        <v>0</v>
      </c>
      <c r="M53" s="17">
        <v>65.005708999999996</v>
      </c>
      <c r="N53" s="17">
        <v>63.409148000000002</v>
      </c>
      <c r="Q53" t="e">
        <f t="shared" si="1"/>
        <v>#DIV/0!</v>
      </c>
      <c r="R53" t="e">
        <f t="shared" si="2"/>
        <v>#DIV/0!</v>
      </c>
      <c r="S53" t="e">
        <f t="shared" si="3"/>
        <v>#DIV/0!</v>
      </c>
      <c r="T53" t="e">
        <f t="shared" si="4"/>
        <v>#DIV/0!</v>
      </c>
      <c r="U53" t="e">
        <f t="shared" si="5"/>
        <v>#DIV/0!</v>
      </c>
      <c r="V53">
        <f t="shared" si="6"/>
        <v>1.0452737373942764</v>
      </c>
      <c r="W53">
        <f t="shared" si="7"/>
        <v>1.045273737123058</v>
      </c>
      <c r="X53">
        <f t="shared" si="8"/>
        <v>1.0452737378096433</v>
      </c>
      <c r="Y53">
        <f t="shared" si="9"/>
        <v>1.0452737511891061</v>
      </c>
      <c r="Z53" t="e">
        <f t="shared" si="10"/>
        <v>#DIV/0!</v>
      </c>
      <c r="AA53" t="e">
        <f t="shared" si="11"/>
        <v>#DIV/0!</v>
      </c>
      <c r="AB53">
        <f t="shared" si="12"/>
        <v>1.0452737312656646</v>
      </c>
      <c r="AC53">
        <f t="shared" si="13"/>
        <v>1.0452737355814967</v>
      </c>
    </row>
    <row r="54" spans="1:29" x14ac:dyDescent="0.25">
      <c r="A54" s="18" t="s">
        <v>30</v>
      </c>
      <c r="B54" s="19">
        <v>0</v>
      </c>
      <c r="C54" s="19">
        <v>0</v>
      </c>
      <c r="D54" s="19">
        <v>0</v>
      </c>
      <c r="E54" s="19">
        <v>0</v>
      </c>
      <c r="F54" s="19">
        <v>0</v>
      </c>
      <c r="G54" s="19">
        <v>1397.1324850000001</v>
      </c>
      <c r="H54" s="19">
        <v>956.15229999999997</v>
      </c>
      <c r="I54" s="19">
        <v>32.113343999999998</v>
      </c>
      <c r="J54" s="19">
        <v>20.509423999999999</v>
      </c>
      <c r="K54" s="19">
        <v>0</v>
      </c>
      <c r="L54" s="19">
        <v>0</v>
      </c>
      <c r="M54" s="19">
        <v>23.032405000000001</v>
      </c>
      <c r="N54" s="19">
        <v>23.487452999999999</v>
      </c>
      <c r="Q54" t="e">
        <f t="shared" si="1"/>
        <v>#DIV/0!</v>
      </c>
      <c r="R54" t="e">
        <f t="shared" si="2"/>
        <v>#DIV/0!</v>
      </c>
      <c r="S54" t="e">
        <f t="shared" si="3"/>
        <v>#DIV/0!</v>
      </c>
      <c r="T54" t="e">
        <f t="shared" si="4"/>
        <v>#DIV/0!</v>
      </c>
      <c r="U54" t="e">
        <f t="shared" si="5"/>
        <v>#DIV/0!</v>
      </c>
      <c r="V54">
        <f t="shared" si="6"/>
        <v>1.0388447084171835</v>
      </c>
      <c r="W54">
        <f t="shared" si="7"/>
        <v>1.0388447081076937</v>
      </c>
      <c r="X54">
        <f t="shared" si="8"/>
        <v>1.0388447244858712</v>
      </c>
      <c r="Y54">
        <f t="shared" si="9"/>
        <v>1.0388446794020154</v>
      </c>
      <c r="Z54" t="e">
        <f t="shared" si="10"/>
        <v>#DIV/0!</v>
      </c>
      <c r="AA54" t="e">
        <f t="shared" si="11"/>
        <v>#DIV/0!</v>
      </c>
      <c r="AB54">
        <f t="shared" si="12"/>
        <v>1.0388447059696979</v>
      </c>
      <c r="AC54">
        <f t="shared" si="13"/>
        <v>1.0388447397851099</v>
      </c>
    </row>
    <row r="55" spans="1:29" x14ac:dyDescent="0.25">
      <c r="A55" s="16" t="s">
        <v>76</v>
      </c>
      <c r="B55" s="17">
        <v>0</v>
      </c>
      <c r="C55" s="17">
        <v>0</v>
      </c>
      <c r="D55" s="17">
        <v>0</v>
      </c>
      <c r="E55" s="17">
        <v>0</v>
      </c>
      <c r="F55" s="17">
        <v>0</v>
      </c>
      <c r="G55" s="17">
        <v>0</v>
      </c>
      <c r="H55" s="17">
        <v>885.72122300000001</v>
      </c>
      <c r="I55" s="17">
        <v>44.943492999999997</v>
      </c>
      <c r="J55" s="17">
        <v>0</v>
      </c>
      <c r="K55" s="17">
        <v>0</v>
      </c>
      <c r="L55" s="17">
        <v>0</v>
      </c>
      <c r="M55" s="17">
        <v>26.414470999999999</v>
      </c>
      <c r="N55" s="17">
        <v>26.201996999999999</v>
      </c>
      <c r="Q55" t="e">
        <f t="shared" si="1"/>
        <v>#DIV/0!</v>
      </c>
      <c r="R55" t="e">
        <f t="shared" si="2"/>
        <v>#DIV/0!</v>
      </c>
      <c r="S55" t="e">
        <f t="shared" si="3"/>
        <v>#DIV/0!</v>
      </c>
      <c r="T55" t="e">
        <f t="shared" si="4"/>
        <v>#DIV/0!</v>
      </c>
      <c r="U55" t="e">
        <f t="shared" si="5"/>
        <v>#DIV/0!</v>
      </c>
      <c r="V55" t="e">
        <f t="shared" si="6"/>
        <v>#DIV/0!</v>
      </c>
      <c r="W55">
        <f t="shared" si="7"/>
        <v>1.0613367305527464</v>
      </c>
      <c r="X55">
        <f t="shared" si="8"/>
        <v>1.0613367323274141</v>
      </c>
      <c r="Y55" t="e">
        <f t="shared" si="9"/>
        <v>#DIV/0!</v>
      </c>
      <c r="Z55" t="e">
        <f t="shared" si="10"/>
        <v>#DIV/0!</v>
      </c>
      <c r="AA55" t="e">
        <f t="shared" si="11"/>
        <v>#DIV/0!</v>
      </c>
      <c r="AB55">
        <f t="shared" si="12"/>
        <v>1.061336719558003</v>
      </c>
      <c r="AC55">
        <f t="shared" si="13"/>
        <v>1.0613366988783337</v>
      </c>
    </row>
    <row r="56" spans="1:29" x14ac:dyDescent="0.25">
      <c r="A56" s="18" t="s">
        <v>77</v>
      </c>
      <c r="B56" s="19">
        <v>0</v>
      </c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884.725641</v>
      </c>
      <c r="I56" s="19">
        <v>44.943492999999997</v>
      </c>
      <c r="J56" s="19">
        <v>0</v>
      </c>
      <c r="K56" s="19">
        <v>0</v>
      </c>
      <c r="L56" s="19">
        <v>0</v>
      </c>
      <c r="M56" s="19">
        <v>26.414470999999999</v>
      </c>
      <c r="N56" s="19">
        <v>26.201996999999999</v>
      </c>
      <c r="Q56" t="e">
        <f t="shared" si="1"/>
        <v>#DIV/0!</v>
      </c>
      <c r="R56" t="e">
        <f t="shared" si="2"/>
        <v>#DIV/0!</v>
      </c>
      <c r="S56" t="e">
        <f t="shared" si="3"/>
        <v>#DIV/0!</v>
      </c>
      <c r="T56" t="e">
        <f t="shared" si="4"/>
        <v>#DIV/0!</v>
      </c>
      <c r="U56" t="e">
        <f t="shared" si="5"/>
        <v>#DIV/0!</v>
      </c>
      <c r="V56" t="e">
        <f t="shared" si="6"/>
        <v>#DIV/0!</v>
      </c>
      <c r="W56">
        <f t="shared" si="7"/>
        <v>1.0613367302643826</v>
      </c>
      <c r="X56">
        <f t="shared" si="8"/>
        <v>1.0613367323274141</v>
      </c>
      <c r="Y56" t="e">
        <f t="shared" si="9"/>
        <v>#DIV/0!</v>
      </c>
      <c r="Z56" t="e">
        <f t="shared" si="10"/>
        <v>#DIV/0!</v>
      </c>
      <c r="AA56" t="e">
        <f t="shared" si="11"/>
        <v>#DIV/0!</v>
      </c>
      <c r="AB56">
        <f t="shared" si="12"/>
        <v>1.061336719558003</v>
      </c>
      <c r="AC56">
        <f t="shared" si="13"/>
        <v>1.0613366988783337</v>
      </c>
    </row>
    <row r="57" spans="1:29" x14ac:dyDescent="0.25">
      <c r="A57" s="16" t="s">
        <v>32</v>
      </c>
      <c r="B57" s="17">
        <v>0</v>
      </c>
      <c r="C57" s="17">
        <v>960.28760899999997</v>
      </c>
      <c r="D57" s="17">
        <v>1070.5416829999999</v>
      </c>
      <c r="E57" s="17">
        <v>0</v>
      </c>
      <c r="F57" s="17">
        <v>0</v>
      </c>
      <c r="G57" s="17">
        <v>0</v>
      </c>
      <c r="H57" s="17">
        <v>0</v>
      </c>
      <c r="I57" s="17">
        <v>476.76464199999998</v>
      </c>
      <c r="J57" s="17">
        <v>0</v>
      </c>
      <c r="K57" s="17">
        <v>0</v>
      </c>
      <c r="L57" s="17">
        <v>0</v>
      </c>
      <c r="M57" s="17">
        <v>123.31684199999999</v>
      </c>
      <c r="N57" s="17">
        <v>123.388694</v>
      </c>
      <c r="Q57" t="e">
        <f t="shared" si="1"/>
        <v>#DIV/0!</v>
      </c>
      <c r="R57">
        <f t="shared" si="2"/>
        <v>1.0676522579184919</v>
      </c>
      <c r="S57">
        <f t="shared" si="3"/>
        <v>1.0676522578710279</v>
      </c>
      <c r="T57" t="e">
        <f t="shared" si="4"/>
        <v>#DIV/0!</v>
      </c>
      <c r="U57" t="e">
        <f t="shared" si="5"/>
        <v>#DIV/0!</v>
      </c>
      <c r="V57" t="e">
        <f t="shared" si="6"/>
        <v>#DIV/0!</v>
      </c>
      <c r="W57" t="e">
        <f t="shared" si="7"/>
        <v>#DIV/0!</v>
      </c>
      <c r="X57">
        <f t="shared" si="8"/>
        <v>1.0676522568131217</v>
      </c>
      <c r="Y57" t="e">
        <f t="shared" si="9"/>
        <v>#DIV/0!</v>
      </c>
      <c r="Z57" t="e">
        <f t="shared" si="10"/>
        <v>#DIV/0!</v>
      </c>
      <c r="AA57" t="e">
        <f t="shared" si="11"/>
        <v>#DIV/0!</v>
      </c>
      <c r="AB57">
        <f t="shared" si="12"/>
        <v>1.067652259534833</v>
      </c>
      <c r="AC57">
        <f t="shared" si="13"/>
        <v>1.0676522599388238</v>
      </c>
    </row>
    <row r="58" spans="1:29" x14ac:dyDescent="0.25">
      <c r="A58" s="18" t="s">
        <v>33</v>
      </c>
      <c r="B58" s="19">
        <v>0</v>
      </c>
      <c r="C58" s="19">
        <v>420.02263799999997</v>
      </c>
      <c r="D58" s="19">
        <v>0</v>
      </c>
      <c r="E58" s="19">
        <v>0</v>
      </c>
      <c r="F58" s="19">
        <v>0</v>
      </c>
      <c r="G58" s="19">
        <v>0</v>
      </c>
      <c r="H58" s="19">
        <v>1145.4235639999999</v>
      </c>
      <c r="I58" s="19">
        <v>88.122010000000003</v>
      </c>
      <c r="J58" s="19">
        <v>48.678871000000001</v>
      </c>
      <c r="K58" s="19">
        <v>0</v>
      </c>
      <c r="L58" s="19">
        <v>0</v>
      </c>
      <c r="M58" s="19">
        <v>59.610156000000003</v>
      </c>
      <c r="N58" s="19">
        <v>60.811624999999999</v>
      </c>
      <c r="Q58" t="e">
        <f t="shared" si="1"/>
        <v>#DIV/0!</v>
      </c>
      <c r="R58">
        <f t="shared" si="2"/>
        <v>1.0959923498218684</v>
      </c>
      <c r="S58" t="e">
        <f t="shared" si="3"/>
        <v>#DIV/0!</v>
      </c>
      <c r="T58" t="e">
        <f t="shared" si="4"/>
        <v>#DIV/0!</v>
      </c>
      <c r="U58" t="e">
        <f t="shared" si="5"/>
        <v>#DIV/0!</v>
      </c>
      <c r="V58" t="e">
        <f t="shared" si="6"/>
        <v>#DIV/0!</v>
      </c>
      <c r="W58">
        <f t="shared" si="7"/>
        <v>1.0959923476831843</v>
      </c>
      <c r="X58">
        <f t="shared" si="8"/>
        <v>1.0959923406195569</v>
      </c>
      <c r="Y58">
        <f t="shared" si="9"/>
        <v>1.0959923454264171</v>
      </c>
      <c r="Z58" t="e">
        <f t="shared" si="10"/>
        <v>#DIV/0!</v>
      </c>
      <c r="AA58" t="e">
        <f t="shared" si="11"/>
        <v>#DIV/0!</v>
      </c>
      <c r="AB58">
        <f t="shared" si="12"/>
        <v>1.0959923506994345</v>
      </c>
      <c r="AC58">
        <f t="shared" si="13"/>
        <v>1.0959923534357123</v>
      </c>
    </row>
    <row r="59" spans="1:29" x14ac:dyDescent="0.25">
      <c r="A59" s="16" t="s">
        <v>34</v>
      </c>
      <c r="B59" s="17">
        <v>0</v>
      </c>
      <c r="C59" s="17">
        <v>422.917124</v>
      </c>
      <c r="D59" s="17">
        <v>0</v>
      </c>
      <c r="E59" s="17">
        <v>0</v>
      </c>
      <c r="F59" s="17">
        <v>0</v>
      </c>
      <c r="G59" s="17">
        <v>1362.6663920000001</v>
      </c>
      <c r="H59" s="17">
        <v>0</v>
      </c>
      <c r="I59" s="17">
        <v>48.593769999999999</v>
      </c>
      <c r="J59" s="17">
        <v>25.058626</v>
      </c>
      <c r="K59" s="17">
        <v>0</v>
      </c>
      <c r="L59" s="17">
        <v>0</v>
      </c>
      <c r="M59" s="17">
        <v>31.428882000000002</v>
      </c>
      <c r="N59" s="17">
        <v>37.116613000000001</v>
      </c>
      <c r="Q59" t="e">
        <f t="shared" si="1"/>
        <v>#DIV/0!</v>
      </c>
      <c r="R59">
        <f t="shared" si="2"/>
        <v>1.0407090302638111</v>
      </c>
      <c r="S59" t="e">
        <f t="shared" si="3"/>
        <v>#DIV/0!</v>
      </c>
      <c r="T59" t="e">
        <f t="shared" si="4"/>
        <v>#DIV/0!</v>
      </c>
      <c r="U59" t="e">
        <f t="shared" si="5"/>
        <v>#DIV/0!</v>
      </c>
      <c r="V59">
        <f t="shared" si="6"/>
        <v>1.0407090299765753</v>
      </c>
      <c r="W59" t="e">
        <f t="shared" si="7"/>
        <v>#DIV/0!</v>
      </c>
      <c r="X59">
        <f t="shared" si="8"/>
        <v>1.0407090250458033</v>
      </c>
      <c r="Y59">
        <f t="shared" si="9"/>
        <v>1.0407090157297532</v>
      </c>
      <c r="Z59" t="e">
        <f t="shared" si="10"/>
        <v>#DIV/0!</v>
      </c>
      <c r="AA59" t="e">
        <f t="shared" si="11"/>
        <v>#DIV/0!</v>
      </c>
      <c r="AB59">
        <f t="shared" si="12"/>
        <v>1.0407090204481342</v>
      </c>
      <c r="AC59">
        <f t="shared" si="13"/>
        <v>1.0407090215909518</v>
      </c>
    </row>
    <row r="60" spans="1:29" x14ac:dyDescent="0.25">
      <c r="A60" s="18" t="s">
        <v>35</v>
      </c>
      <c r="B60" s="19">
        <v>0</v>
      </c>
      <c r="C60" s="19">
        <v>0</v>
      </c>
      <c r="D60" s="19">
        <v>0</v>
      </c>
      <c r="E60" s="19">
        <v>0</v>
      </c>
      <c r="F60" s="19">
        <v>0</v>
      </c>
      <c r="G60" s="19">
        <v>0</v>
      </c>
      <c r="H60" s="19">
        <v>936.22661400000004</v>
      </c>
      <c r="I60" s="19">
        <v>65.523442000000003</v>
      </c>
      <c r="J60" s="19">
        <v>16.07443</v>
      </c>
      <c r="K60" s="19">
        <v>0</v>
      </c>
      <c r="L60" s="19">
        <v>0</v>
      </c>
      <c r="M60" s="19">
        <v>20.874265999999999</v>
      </c>
      <c r="N60" s="19">
        <v>21.422819</v>
      </c>
      <c r="Q60" t="e">
        <f t="shared" si="1"/>
        <v>#DIV/0!</v>
      </c>
      <c r="R60" t="e">
        <f t="shared" si="2"/>
        <v>#DIV/0!</v>
      </c>
      <c r="S60" t="e">
        <f t="shared" si="3"/>
        <v>#DIV/0!</v>
      </c>
      <c r="T60" t="e">
        <f t="shared" si="4"/>
        <v>#DIV/0!</v>
      </c>
      <c r="U60" t="e">
        <f t="shared" si="5"/>
        <v>#DIV/0!</v>
      </c>
      <c r="V60" t="e">
        <f t="shared" si="6"/>
        <v>#DIV/0!</v>
      </c>
      <c r="W60">
        <f t="shared" si="7"/>
        <v>1.0635284279581481</v>
      </c>
      <c r="X60">
        <f t="shared" si="8"/>
        <v>1.0635284239188776</v>
      </c>
      <c r="Y60">
        <f t="shared" si="9"/>
        <v>1.0635284112718149</v>
      </c>
      <c r="Z60" t="e">
        <f t="shared" si="10"/>
        <v>#DIV/0!</v>
      </c>
      <c r="AA60" t="e">
        <f t="shared" si="11"/>
        <v>#DIV/0!</v>
      </c>
      <c r="AB60">
        <f t="shared" si="12"/>
        <v>1.0635284613121248</v>
      </c>
      <c r="AC60">
        <f t="shared" si="13"/>
        <v>1.063528427327888</v>
      </c>
    </row>
    <row r="61" spans="1:29" x14ac:dyDescent="0.25">
      <c r="A61" s="16" t="s">
        <v>36</v>
      </c>
      <c r="B61" s="17">
        <v>0</v>
      </c>
      <c r="C61" s="17">
        <v>368.35396100000003</v>
      </c>
      <c r="D61" s="17">
        <v>0</v>
      </c>
      <c r="E61" s="17">
        <v>0</v>
      </c>
      <c r="F61" s="17">
        <v>0</v>
      </c>
      <c r="G61" s="17">
        <v>1736.6072690000001</v>
      </c>
      <c r="H61" s="17">
        <v>0</v>
      </c>
      <c r="I61" s="17">
        <v>22.909745999999998</v>
      </c>
      <c r="J61" s="17">
        <v>0</v>
      </c>
      <c r="K61" s="17">
        <v>0</v>
      </c>
      <c r="L61" s="17">
        <v>0</v>
      </c>
      <c r="M61" s="17">
        <v>8.7275279999999995</v>
      </c>
      <c r="N61" s="17">
        <v>7.2354859999999999</v>
      </c>
      <c r="Q61" t="e">
        <f t="shared" si="1"/>
        <v>#DIV/0!</v>
      </c>
      <c r="R61">
        <f t="shared" si="2"/>
        <v>1.082414634330483</v>
      </c>
      <c r="S61" t="e">
        <f t="shared" si="3"/>
        <v>#DIV/0!</v>
      </c>
      <c r="T61" t="e">
        <f t="shared" si="4"/>
        <v>#DIV/0!</v>
      </c>
      <c r="U61" t="e">
        <f t="shared" si="5"/>
        <v>#DIV/0!</v>
      </c>
      <c r="V61">
        <f t="shared" si="6"/>
        <v>1.0824146354531929</v>
      </c>
      <c r="W61" t="e">
        <f t="shared" si="7"/>
        <v>#DIV/0!</v>
      </c>
      <c r="X61">
        <f t="shared" si="8"/>
        <v>1.0824146195248086</v>
      </c>
      <c r="Y61" t="e">
        <f t="shared" si="9"/>
        <v>#DIV/0!</v>
      </c>
      <c r="Z61" t="e">
        <f t="shared" si="10"/>
        <v>#DIV/0!</v>
      </c>
      <c r="AA61" t="e">
        <f t="shared" si="11"/>
        <v>#DIV/0!</v>
      </c>
      <c r="AB61">
        <f t="shared" si="12"/>
        <v>1.0824146310387088</v>
      </c>
      <c r="AC61">
        <f t="shared" si="13"/>
        <v>1.0824146436051427</v>
      </c>
    </row>
    <row r="62" spans="1:29" x14ac:dyDescent="0.25">
      <c r="A62" s="18" t="s">
        <v>37</v>
      </c>
      <c r="B62" s="19">
        <v>0</v>
      </c>
      <c r="C62" s="19">
        <v>0</v>
      </c>
      <c r="D62" s="19">
        <v>0</v>
      </c>
      <c r="E62" s="19">
        <v>0</v>
      </c>
      <c r="F62" s="19">
        <v>0</v>
      </c>
      <c r="G62" s="19">
        <v>0</v>
      </c>
      <c r="H62" s="19">
        <v>1082.0143849999999</v>
      </c>
      <c r="I62" s="19">
        <v>208.67386400000001</v>
      </c>
      <c r="J62" s="19">
        <v>0</v>
      </c>
      <c r="K62" s="19">
        <v>0</v>
      </c>
      <c r="L62" s="19">
        <v>0</v>
      </c>
      <c r="M62" s="19">
        <v>168.01212699999999</v>
      </c>
      <c r="N62" s="19">
        <v>212.57072400000001</v>
      </c>
      <c r="Q62" t="e">
        <f t="shared" si="1"/>
        <v>#DIV/0!</v>
      </c>
      <c r="R62" t="e">
        <f t="shared" si="2"/>
        <v>#DIV/0!</v>
      </c>
      <c r="S62" t="e">
        <f t="shared" si="3"/>
        <v>#DIV/0!</v>
      </c>
      <c r="T62" t="e">
        <f t="shared" si="4"/>
        <v>#DIV/0!</v>
      </c>
      <c r="U62" t="e">
        <f t="shared" si="5"/>
        <v>#DIV/0!</v>
      </c>
      <c r="V62" t="e">
        <f t="shared" si="6"/>
        <v>#DIV/0!</v>
      </c>
      <c r="W62">
        <f t="shared" si="7"/>
        <v>1.1312890733887979</v>
      </c>
      <c r="X62">
        <f t="shared" si="8"/>
        <v>1.1312890722146209</v>
      </c>
      <c r="Y62" t="e">
        <f t="shared" si="9"/>
        <v>#DIV/0!</v>
      </c>
      <c r="Z62" t="e">
        <f t="shared" si="10"/>
        <v>#DIV/0!</v>
      </c>
      <c r="AA62" t="e">
        <f t="shared" si="11"/>
        <v>#DIV/0!</v>
      </c>
      <c r="AB62">
        <f t="shared" si="12"/>
        <v>1.1312890705800065</v>
      </c>
      <c r="AC62">
        <f t="shared" si="13"/>
        <v>1.1312890715844766</v>
      </c>
    </row>
    <row r="63" spans="1:29" x14ac:dyDescent="0.25">
      <c r="A63" s="16" t="s">
        <v>38</v>
      </c>
      <c r="B63" s="17">
        <v>0</v>
      </c>
      <c r="C63" s="17">
        <v>0</v>
      </c>
      <c r="D63" s="17">
        <v>0</v>
      </c>
      <c r="E63" s="17">
        <v>0</v>
      </c>
      <c r="F63" s="17">
        <v>0</v>
      </c>
      <c r="G63" s="17">
        <v>1436.820371</v>
      </c>
      <c r="H63" s="17">
        <v>0</v>
      </c>
      <c r="I63" s="17">
        <v>95.720483999999999</v>
      </c>
      <c r="J63" s="17">
        <v>35.434967999999998</v>
      </c>
      <c r="K63" s="17">
        <v>0</v>
      </c>
      <c r="L63" s="17">
        <v>0</v>
      </c>
      <c r="M63" s="17">
        <v>41.404473000000003</v>
      </c>
      <c r="N63" s="17">
        <v>40.630788000000003</v>
      </c>
      <c r="Q63" t="e">
        <f t="shared" si="1"/>
        <v>#DIV/0!</v>
      </c>
      <c r="R63" t="e">
        <f t="shared" si="2"/>
        <v>#DIV/0!</v>
      </c>
      <c r="S63" t="e">
        <f t="shared" si="3"/>
        <v>#DIV/0!</v>
      </c>
      <c r="T63" t="e">
        <f t="shared" si="4"/>
        <v>#DIV/0!</v>
      </c>
      <c r="U63" t="e">
        <f t="shared" si="5"/>
        <v>#DIV/0!</v>
      </c>
      <c r="V63">
        <f t="shared" si="6"/>
        <v>1.1236253442567594</v>
      </c>
      <c r="W63" t="e">
        <f t="shared" si="7"/>
        <v>#DIV/0!</v>
      </c>
      <c r="X63">
        <f t="shared" si="8"/>
        <v>1.1236253464827863</v>
      </c>
      <c r="Y63">
        <f t="shared" si="9"/>
        <v>1.1236253409344126</v>
      </c>
      <c r="Z63" t="e">
        <f t="shared" si="10"/>
        <v>#DIV/0!</v>
      </c>
      <c r="AA63" t="e">
        <f t="shared" si="11"/>
        <v>#DIV/0!</v>
      </c>
      <c r="AB63">
        <f t="shared" si="12"/>
        <v>1.123625362892555</v>
      </c>
      <c r="AC63">
        <f t="shared" si="13"/>
        <v>1.1236253650802932</v>
      </c>
    </row>
    <row r="64" spans="1:29" x14ac:dyDescent="0.25">
      <c r="A64" s="18" t="s">
        <v>39</v>
      </c>
      <c r="B64" s="19">
        <v>0</v>
      </c>
      <c r="C64" s="19">
        <v>393.737323</v>
      </c>
      <c r="D64" s="19">
        <v>490.81683099999998</v>
      </c>
      <c r="E64" s="19">
        <v>0</v>
      </c>
      <c r="F64" s="19">
        <v>0</v>
      </c>
      <c r="G64" s="19">
        <v>0</v>
      </c>
      <c r="H64" s="19">
        <v>981.90464399999996</v>
      </c>
      <c r="I64" s="19">
        <v>9.9088170000000009</v>
      </c>
      <c r="J64" s="19">
        <v>0</v>
      </c>
      <c r="K64" s="19">
        <v>0</v>
      </c>
      <c r="L64" s="19">
        <v>0</v>
      </c>
      <c r="M64" s="19">
        <v>6.0055290000000001</v>
      </c>
      <c r="N64" s="19">
        <v>5.9124280000000002</v>
      </c>
      <c r="Q64" t="e">
        <f t="shared" si="1"/>
        <v>#DIV/0!</v>
      </c>
      <c r="R64">
        <f t="shared" si="2"/>
        <v>1.0785096971871269</v>
      </c>
      <c r="S64">
        <f t="shared" si="3"/>
        <v>1.0785096976431927</v>
      </c>
      <c r="T64" t="e">
        <f t="shared" si="4"/>
        <v>#DIV/0!</v>
      </c>
      <c r="U64" t="e">
        <f t="shared" si="5"/>
        <v>#DIV/0!</v>
      </c>
      <c r="V64" t="e">
        <f t="shared" si="6"/>
        <v>#DIV/0!</v>
      </c>
      <c r="W64">
        <f t="shared" si="7"/>
        <v>1.0785096989519891</v>
      </c>
      <c r="X64">
        <f t="shared" si="8"/>
        <v>1.0785096747674316</v>
      </c>
      <c r="Y64" t="e">
        <f t="shared" si="9"/>
        <v>#DIV/0!</v>
      </c>
      <c r="Z64" t="e">
        <f t="shared" si="10"/>
        <v>#DIV/0!</v>
      </c>
      <c r="AA64" t="e">
        <f t="shared" si="11"/>
        <v>#DIV/0!</v>
      </c>
      <c r="AB64">
        <f t="shared" si="12"/>
        <v>1.0785098198676586</v>
      </c>
      <c r="AC64">
        <f t="shared" si="13"/>
        <v>1.0785095395664861</v>
      </c>
    </row>
    <row r="65" spans="1:29" x14ac:dyDescent="0.25">
      <c r="A65" s="16" t="s">
        <v>40</v>
      </c>
      <c r="B65" s="17">
        <v>0</v>
      </c>
      <c r="C65" s="17">
        <v>509.12484899999998</v>
      </c>
      <c r="D65" s="17">
        <v>0</v>
      </c>
      <c r="E65" s="17">
        <v>0</v>
      </c>
      <c r="F65" s="17">
        <v>0</v>
      </c>
      <c r="G65" s="17">
        <v>0</v>
      </c>
      <c r="H65" s="17">
        <v>1275.4939899999999</v>
      </c>
      <c r="I65" s="17">
        <v>76.507119000000003</v>
      </c>
      <c r="J65" s="17">
        <v>0</v>
      </c>
      <c r="K65" s="17">
        <v>0</v>
      </c>
      <c r="L65" s="17">
        <v>0</v>
      </c>
      <c r="M65" s="17">
        <v>44.333092000000001</v>
      </c>
      <c r="N65" s="17">
        <v>41.829231</v>
      </c>
      <c r="Q65" t="e">
        <f t="shared" si="1"/>
        <v>#DIV/0!</v>
      </c>
      <c r="R65">
        <f t="shared" si="2"/>
        <v>1.0699384425449641</v>
      </c>
      <c r="S65" t="e">
        <f t="shared" si="3"/>
        <v>#DIV/0!</v>
      </c>
      <c r="T65" t="e">
        <f t="shared" si="4"/>
        <v>#DIV/0!</v>
      </c>
      <c r="U65" t="e">
        <f t="shared" si="5"/>
        <v>#DIV/0!</v>
      </c>
      <c r="V65" t="e">
        <f t="shared" si="6"/>
        <v>#DIV/0!</v>
      </c>
      <c r="W65">
        <f t="shared" si="7"/>
        <v>1.0699384432223</v>
      </c>
      <c r="X65">
        <f t="shared" si="8"/>
        <v>1.0699384458588748</v>
      </c>
      <c r="Y65" t="e">
        <f t="shared" si="9"/>
        <v>#DIV/0!</v>
      </c>
      <c r="Z65" t="e">
        <f t="shared" si="10"/>
        <v>#DIV/0!</v>
      </c>
      <c r="AA65" t="e">
        <f t="shared" si="11"/>
        <v>#DIV/0!</v>
      </c>
      <c r="AB65">
        <f t="shared" si="12"/>
        <v>1.0699384559055796</v>
      </c>
      <c r="AC65">
        <f t="shared" si="13"/>
        <v>1.0699384361142092</v>
      </c>
    </row>
    <row r="66" spans="1:29" x14ac:dyDescent="0.25">
      <c r="A66" s="18" t="s">
        <v>41</v>
      </c>
      <c r="B66" s="19">
        <v>623.019992</v>
      </c>
      <c r="C66" s="19">
        <v>517.44911500000001</v>
      </c>
      <c r="D66" s="19">
        <v>601.37499200000002</v>
      </c>
      <c r="E66" s="19">
        <v>0</v>
      </c>
      <c r="F66" s="19">
        <v>0</v>
      </c>
      <c r="G66" s="19">
        <v>0</v>
      </c>
      <c r="H66" s="19">
        <v>0</v>
      </c>
      <c r="I66" s="19">
        <v>136.081861</v>
      </c>
      <c r="J66" s="19">
        <v>0</v>
      </c>
      <c r="K66" s="19">
        <v>0</v>
      </c>
      <c r="L66" s="19">
        <v>0</v>
      </c>
      <c r="M66" s="19">
        <v>37.015622999999998</v>
      </c>
      <c r="N66" s="19">
        <v>35.985498</v>
      </c>
      <c r="Q66">
        <f t="shared" si="1"/>
        <v>1.219795038294694</v>
      </c>
      <c r="R66">
        <f t="shared" si="2"/>
        <v>1.2197950382039016</v>
      </c>
      <c r="S66">
        <f t="shared" si="3"/>
        <v>1.2197950376360178</v>
      </c>
      <c r="T66" t="e">
        <f t="shared" si="4"/>
        <v>#DIV/0!</v>
      </c>
      <c r="U66" t="e">
        <f t="shared" si="5"/>
        <v>#DIV/0!</v>
      </c>
      <c r="V66" t="e">
        <f t="shared" si="6"/>
        <v>#DIV/0!</v>
      </c>
      <c r="W66" t="e">
        <f t="shared" si="7"/>
        <v>#DIV/0!</v>
      </c>
      <c r="X66">
        <f t="shared" si="8"/>
        <v>1.2197950393991157</v>
      </c>
      <c r="Y66" t="e">
        <f t="shared" si="9"/>
        <v>#DIV/0!</v>
      </c>
      <c r="Z66" t="e">
        <f t="shared" si="10"/>
        <v>#DIV/0!</v>
      </c>
      <c r="AA66" t="e">
        <f t="shared" si="11"/>
        <v>#DIV/0!</v>
      </c>
      <c r="AB66">
        <f t="shared" si="12"/>
        <v>1.2197950308711543</v>
      </c>
      <c r="AC66">
        <f t="shared" si="13"/>
        <v>1.2197950407689231</v>
      </c>
    </row>
    <row r="67" spans="1:29" x14ac:dyDescent="0.25">
      <c r="A67" s="16" t="s">
        <v>42</v>
      </c>
      <c r="B67" s="17">
        <v>622.38838799999996</v>
      </c>
      <c r="C67" s="17">
        <v>499.51390400000003</v>
      </c>
      <c r="D67" s="17">
        <v>600.74338799999998</v>
      </c>
      <c r="E67" s="17">
        <v>0</v>
      </c>
      <c r="F67" s="17">
        <v>0</v>
      </c>
      <c r="G67" s="17">
        <v>0</v>
      </c>
      <c r="H67" s="17">
        <v>0</v>
      </c>
      <c r="I67" s="17">
        <v>31.546551999999998</v>
      </c>
      <c r="J67" s="17">
        <v>0</v>
      </c>
      <c r="K67" s="17">
        <v>0</v>
      </c>
      <c r="L67" s="17">
        <v>0</v>
      </c>
      <c r="M67" s="17">
        <v>19.123863</v>
      </c>
      <c r="N67" s="17">
        <v>19.189554000000001</v>
      </c>
      <c r="Q67">
        <f t="shared" si="1"/>
        <v>1.0629590762866226</v>
      </c>
      <c r="R67">
        <f t="shared" si="2"/>
        <v>1.0629590763103163</v>
      </c>
      <c r="S67">
        <f t="shared" si="3"/>
        <v>1.0629590766299037</v>
      </c>
      <c r="T67" t="e">
        <f t="shared" si="4"/>
        <v>#DIV/0!</v>
      </c>
      <c r="U67" t="e">
        <f t="shared" si="5"/>
        <v>#DIV/0!</v>
      </c>
      <c r="V67" t="e">
        <f t="shared" si="6"/>
        <v>#DIV/0!</v>
      </c>
      <c r="W67" t="e">
        <f t="shared" si="7"/>
        <v>#DIV/0!</v>
      </c>
      <c r="X67">
        <f t="shared" si="8"/>
        <v>1.0629590834522897</v>
      </c>
      <c r="Y67" t="e">
        <f t="shared" si="9"/>
        <v>#DIV/0!</v>
      </c>
      <c r="Z67" t="e">
        <f t="shared" si="10"/>
        <v>#DIV/0!</v>
      </c>
      <c r="AA67" t="e">
        <f t="shared" si="11"/>
        <v>#DIV/0!</v>
      </c>
      <c r="AB67">
        <f t="shared" si="12"/>
        <v>1.0629590370941269</v>
      </c>
      <c r="AC67">
        <f t="shared" si="13"/>
        <v>1.0629590974339476</v>
      </c>
    </row>
    <row r="68" spans="1:29" x14ac:dyDescent="0.25">
      <c r="A68" s="18" t="s">
        <v>43</v>
      </c>
      <c r="B68" s="19">
        <v>0</v>
      </c>
      <c r="C68" s="19">
        <v>507.83310599999999</v>
      </c>
      <c r="D68" s="19">
        <v>607.667239</v>
      </c>
      <c r="E68" s="19">
        <v>0</v>
      </c>
      <c r="F68" s="19">
        <v>0</v>
      </c>
      <c r="G68" s="19">
        <v>0</v>
      </c>
      <c r="H68" s="19">
        <v>1026.1810359999999</v>
      </c>
      <c r="I68" s="19">
        <v>55.136302999999998</v>
      </c>
      <c r="J68" s="19">
        <v>0</v>
      </c>
      <c r="K68" s="19">
        <v>0</v>
      </c>
      <c r="L68" s="19">
        <v>0</v>
      </c>
      <c r="M68" s="19">
        <v>35.399034999999998</v>
      </c>
      <c r="N68" s="19">
        <v>35.923203000000001</v>
      </c>
      <c r="Q68" t="e">
        <f t="shared" si="1"/>
        <v>#DIV/0!</v>
      </c>
      <c r="R68">
        <f t="shared" si="2"/>
        <v>1.0904493296268085</v>
      </c>
      <c r="S68">
        <f t="shared" si="3"/>
        <v>1.0904493289624257</v>
      </c>
      <c r="T68" t="e">
        <f t="shared" si="4"/>
        <v>#DIV/0!</v>
      </c>
      <c r="U68" t="e">
        <f t="shared" si="5"/>
        <v>#DIV/0!</v>
      </c>
      <c r="V68" t="e">
        <f t="shared" si="6"/>
        <v>#DIV/0!</v>
      </c>
      <c r="W68">
        <f t="shared" si="7"/>
        <v>1.0904493288648145</v>
      </c>
      <c r="X68">
        <f t="shared" si="8"/>
        <v>1.0904493179384915</v>
      </c>
      <c r="Y68" t="e">
        <f t="shared" si="9"/>
        <v>#DIV/0!</v>
      </c>
      <c r="Z68" t="e">
        <f t="shared" si="10"/>
        <v>#DIV/0!</v>
      </c>
      <c r="AA68" t="e">
        <f t="shared" si="11"/>
        <v>#DIV/0!</v>
      </c>
      <c r="AB68">
        <f t="shared" si="12"/>
        <v>1.0904493300452964</v>
      </c>
      <c r="AC68">
        <f t="shared" si="13"/>
        <v>1.0904493399433228</v>
      </c>
    </row>
    <row r="69" spans="1:29" x14ac:dyDescent="0.25">
      <c r="A69" s="16" t="s">
        <v>44</v>
      </c>
      <c r="B69" s="17">
        <v>0</v>
      </c>
      <c r="C69" s="17">
        <v>0</v>
      </c>
      <c r="D69" s="17">
        <v>0</v>
      </c>
      <c r="E69" s="17">
        <v>0</v>
      </c>
      <c r="F69" s="17">
        <v>0</v>
      </c>
      <c r="G69" s="17">
        <v>1467.3507589999999</v>
      </c>
      <c r="H69" s="17">
        <v>0</v>
      </c>
      <c r="I69" s="17">
        <v>0</v>
      </c>
      <c r="J69" s="17">
        <v>0</v>
      </c>
      <c r="K69" s="17">
        <v>0</v>
      </c>
      <c r="L69" s="17">
        <v>0</v>
      </c>
      <c r="M69" s="17">
        <v>168.01212699999999</v>
      </c>
      <c r="N69" s="17">
        <v>212.57072400000001</v>
      </c>
      <c r="Q69" t="e">
        <f t="shared" si="1"/>
        <v>#DIV/0!</v>
      </c>
      <c r="R69" t="e">
        <f t="shared" si="2"/>
        <v>#DIV/0!</v>
      </c>
      <c r="S69" t="e">
        <f t="shared" si="3"/>
        <v>#DIV/0!</v>
      </c>
      <c r="T69" t="e">
        <f t="shared" si="4"/>
        <v>#DIV/0!</v>
      </c>
      <c r="U69" t="e">
        <f t="shared" si="5"/>
        <v>#DIV/0!</v>
      </c>
      <c r="V69">
        <f t="shared" si="6"/>
        <v>1.1754883427977973</v>
      </c>
      <c r="W69" t="e">
        <f t="shared" si="7"/>
        <v>#DIV/0!</v>
      </c>
      <c r="X69" t="e">
        <f t="shared" si="8"/>
        <v>#DIV/0!</v>
      </c>
      <c r="Y69" t="e">
        <f t="shared" si="9"/>
        <v>#DIV/0!</v>
      </c>
      <c r="Z69" t="e">
        <f t="shared" si="10"/>
        <v>#DIV/0!</v>
      </c>
      <c r="AA69" t="e">
        <f t="shared" si="11"/>
        <v>#DIV/0!</v>
      </c>
      <c r="AB69">
        <f t="shared" si="12"/>
        <v>1.1754883384102388</v>
      </c>
      <c r="AC69">
        <f t="shared" si="13"/>
        <v>1.1754883424116294</v>
      </c>
    </row>
    <row r="70" spans="1:29" x14ac:dyDescent="0.25">
      <c r="A70" s="18" t="s">
        <v>45</v>
      </c>
      <c r="B70" s="19">
        <v>0</v>
      </c>
      <c r="C70" s="19">
        <v>0</v>
      </c>
      <c r="D70" s="19">
        <v>0</v>
      </c>
      <c r="E70" s="19">
        <v>0</v>
      </c>
      <c r="F70" s="19">
        <v>0</v>
      </c>
      <c r="G70" s="19">
        <v>1553.769321</v>
      </c>
      <c r="H70" s="19">
        <v>1085.500753</v>
      </c>
      <c r="I70" s="19">
        <v>0</v>
      </c>
      <c r="J70" s="19">
        <v>0</v>
      </c>
      <c r="K70" s="19">
        <v>0</v>
      </c>
      <c r="L70" s="19">
        <v>0</v>
      </c>
      <c r="M70" s="19">
        <v>168.01212699999999</v>
      </c>
      <c r="N70" s="19">
        <v>212.57072400000001</v>
      </c>
      <c r="Q70" t="e">
        <f t="shared" si="1"/>
        <v>#DIV/0!</v>
      </c>
      <c r="R70" t="e">
        <f t="shared" si="2"/>
        <v>#DIV/0!</v>
      </c>
      <c r="S70" t="e">
        <f t="shared" si="3"/>
        <v>#DIV/0!</v>
      </c>
      <c r="T70" t="e">
        <f t="shared" si="4"/>
        <v>#DIV/0!</v>
      </c>
      <c r="U70" t="e">
        <f t="shared" si="5"/>
        <v>#DIV/0!</v>
      </c>
      <c r="V70">
        <f t="shared" si="6"/>
        <v>1.1989207296235449</v>
      </c>
      <c r="W70">
        <f t="shared" si="7"/>
        <v>1.1989207298136255</v>
      </c>
      <c r="X70" t="e">
        <f t="shared" si="8"/>
        <v>#DIV/0!</v>
      </c>
      <c r="Y70" t="e">
        <f t="shared" si="9"/>
        <v>#DIV/0!</v>
      </c>
      <c r="Z70" t="e">
        <f t="shared" si="10"/>
        <v>#DIV/0!</v>
      </c>
      <c r="AA70" t="e">
        <f t="shared" si="11"/>
        <v>#DIV/0!</v>
      </c>
      <c r="AB70">
        <f t="shared" si="12"/>
        <v>1.1989207243355715</v>
      </c>
      <c r="AC70">
        <f t="shared" si="13"/>
        <v>1.1989207272023028</v>
      </c>
    </row>
    <row r="71" spans="1:29" x14ac:dyDescent="0.25">
      <c r="A71" s="16" t="s">
        <v>46</v>
      </c>
      <c r="B71" s="17">
        <v>0</v>
      </c>
      <c r="C71" s="17">
        <v>442.94890400000003</v>
      </c>
      <c r="D71" s="17">
        <v>537.79081299999996</v>
      </c>
      <c r="E71" s="17">
        <v>0</v>
      </c>
      <c r="F71" s="17">
        <v>0</v>
      </c>
      <c r="G71" s="17">
        <v>0</v>
      </c>
      <c r="H71" s="17">
        <v>1202.312936</v>
      </c>
      <c r="I71" s="17">
        <v>0</v>
      </c>
      <c r="J71" s="17">
        <v>0</v>
      </c>
      <c r="K71" s="17">
        <v>0</v>
      </c>
      <c r="L71" s="17">
        <v>0</v>
      </c>
      <c r="M71" s="17">
        <v>0</v>
      </c>
      <c r="N71" s="17">
        <v>56.639690000000002</v>
      </c>
      <c r="Q71" t="e">
        <f t="shared" si="1"/>
        <v>#DIV/0!</v>
      </c>
      <c r="R71">
        <f t="shared" si="2"/>
        <v>1.0833556526872001</v>
      </c>
      <c r="S71">
        <f t="shared" si="3"/>
        <v>1.0833556522654841</v>
      </c>
      <c r="T71" t="e">
        <f t="shared" si="4"/>
        <v>#DIV/0!</v>
      </c>
      <c r="U71" t="e">
        <f t="shared" si="5"/>
        <v>#DIV/0!</v>
      </c>
      <c r="V71" t="e">
        <f t="shared" si="6"/>
        <v>#DIV/0!</v>
      </c>
      <c r="W71">
        <f t="shared" si="7"/>
        <v>1.0833556522592385</v>
      </c>
      <c r="X71" t="e">
        <f t="shared" si="8"/>
        <v>#DIV/0!</v>
      </c>
      <c r="Y71" t="e">
        <f t="shared" si="9"/>
        <v>#DIV/0!</v>
      </c>
      <c r="Z71" t="e">
        <f t="shared" si="10"/>
        <v>#DIV/0!</v>
      </c>
      <c r="AA71" t="e">
        <f t="shared" si="11"/>
        <v>#DIV/0!</v>
      </c>
      <c r="AB71" t="e">
        <f t="shared" si="12"/>
        <v>#DIV/0!</v>
      </c>
      <c r="AC71">
        <f t="shared" si="13"/>
        <v>1.0833556468970786</v>
      </c>
    </row>
    <row r="72" spans="1:29" x14ac:dyDescent="0.25">
      <c r="A72" s="18" t="s">
        <v>47</v>
      </c>
      <c r="B72" s="19">
        <v>0</v>
      </c>
      <c r="C72" s="19">
        <v>406.67738400000002</v>
      </c>
      <c r="D72" s="19">
        <v>0</v>
      </c>
      <c r="E72" s="19">
        <v>0</v>
      </c>
      <c r="F72" s="19">
        <v>0</v>
      </c>
      <c r="G72" s="19">
        <v>0</v>
      </c>
      <c r="H72" s="19">
        <v>1076.3732580000001</v>
      </c>
      <c r="I72" s="19">
        <v>68.500795999999994</v>
      </c>
      <c r="J72" s="19">
        <v>38.072401999999997</v>
      </c>
      <c r="K72" s="19">
        <v>0</v>
      </c>
      <c r="L72" s="19">
        <v>0</v>
      </c>
      <c r="M72" s="19">
        <v>42.860362000000002</v>
      </c>
      <c r="N72" s="19">
        <v>42.015163000000001</v>
      </c>
      <c r="Q72" t="e">
        <f t="shared" si="1"/>
        <v>#DIV/0!</v>
      </c>
      <c r="R72">
        <f t="shared" si="2"/>
        <v>1.0477092943039095</v>
      </c>
      <c r="S72" t="e">
        <f t="shared" si="3"/>
        <v>#DIV/0!</v>
      </c>
      <c r="T72" t="e">
        <f t="shared" si="4"/>
        <v>#DIV/0!</v>
      </c>
      <c r="U72" t="e">
        <f t="shared" si="5"/>
        <v>#DIV/0!</v>
      </c>
      <c r="V72" t="e">
        <f t="shared" si="6"/>
        <v>#DIV/0!</v>
      </c>
      <c r="W72">
        <f t="shared" si="7"/>
        <v>1.0477092965830632</v>
      </c>
      <c r="X72">
        <f t="shared" si="8"/>
        <v>1.0477092996116426</v>
      </c>
      <c r="Y72">
        <f t="shared" si="9"/>
        <v>1.0477092829603976</v>
      </c>
      <c r="Z72" t="e">
        <f t="shared" si="10"/>
        <v>#DIV/0!</v>
      </c>
      <c r="AA72" t="e">
        <f t="shared" si="11"/>
        <v>#DIV/0!</v>
      </c>
      <c r="AB72">
        <f t="shared" si="12"/>
        <v>1.0477092797303018</v>
      </c>
      <c r="AC72">
        <f t="shared" si="13"/>
        <v>1.0477092996164266</v>
      </c>
    </row>
    <row r="73" spans="1:29" x14ac:dyDescent="0.25">
      <c r="A73" s="16" t="s">
        <v>78</v>
      </c>
      <c r="B73" s="17">
        <v>0</v>
      </c>
      <c r="C73" s="17">
        <v>0</v>
      </c>
      <c r="D73" s="17">
        <v>0</v>
      </c>
      <c r="E73" s="17">
        <v>0</v>
      </c>
      <c r="F73" s="17">
        <v>0</v>
      </c>
      <c r="G73" s="17">
        <v>0</v>
      </c>
      <c r="H73" s="17">
        <v>0</v>
      </c>
      <c r="I73" s="17">
        <v>0</v>
      </c>
      <c r="J73" s="17">
        <v>0</v>
      </c>
      <c r="K73" s="17">
        <v>0</v>
      </c>
      <c r="L73" s="17">
        <v>0</v>
      </c>
      <c r="M73" s="17">
        <v>3.2902749999999998</v>
      </c>
      <c r="N73" s="17">
        <v>0</v>
      </c>
      <c r="Q73" t="e">
        <f t="shared" si="1"/>
        <v>#DIV/0!</v>
      </c>
      <c r="R73" t="e">
        <f t="shared" si="2"/>
        <v>#DIV/0!</v>
      </c>
      <c r="S73" t="e">
        <f t="shared" si="3"/>
        <v>#DIV/0!</v>
      </c>
      <c r="T73" t="e">
        <f t="shared" si="4"/>
        <v>#DIV/0!</v>
      </c>
      <c r="U73" t="e">
        <f t="shared" si="5"/>
        <v>#DIV/0!</v>
      </c>
      <c r="V73" t="e">
        <f t="shared" si="6"/>
        <v>#DIV/0!</v>
      </c>
      <c r="W73" t="e">
        <f t="shared" si="7"/>
        <v>#DIV/0!</v>
      </c>
      <c r="X73" t="e">
        <f t="shared" si="8"/>
        <v>#DIV/0!</v>
      </c>
      <c r="Y73" t="e">
        <f t="shared" si="9"/>
        <v>#DIV/0!</v>
      </c>
      <c r="Z73" t="e">
        <f t="shared" si="10"/>
        <v>#DIV/0!</v>
      </c>
      <c r="AA73" t="e">
        <f t="shared" si="11"/>
        <v>#DIV/0!</v>
      </c>
      <c r="AB73">
        <f t="shared" si="12"/>
        <v>1.0606420435981796</v>
      </c>
      <c r="AC73" t="e">
        <f t="shared" si="13"/>
        <v>#DIV/0!</v>
      </c>
    </row>
    <row r="74" spans="1:29" x14ac:dyDescent="0.25">
      <c r="A74" s="18" t="s">
        <v>79</v>
      </c>
      <c r="B74" s="19">
        <v>0</v>
      </c>
      <c r="C74" s="19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3.2902749999999998</v>
      </c>
      <c r="N74" s="19">
        <v>3.346422</v>
      </c>
      <c r="Q74" t="e">
        <f t="shared" si="1"/>
        <v>#DIV/0!</v>
      </c>
      <c r="R74" t="e">
        <f t="shared" si="2"/>
        <v>#DIV/0!</v>
      </c>
      <c r="S74" t="e">
        <f t="shared" si="3"/>
        <v>#DIV/0!</v>
      </c>
      <c r="T74" t="e">
        <f t="shared" si="4"/>
        <v>#DIV/0!</v>
      </c>
      <c r="U74" t="e">
        <f t="shared" si="5"/>
        <v>#DIV/0!</v>
      </c>
      <c r="V74" t="e">
        <f t="shared" si="6"/>
        <v>#DIV/0!</v>
      </c>
      <c r="W74" t="e">
        <f t="shared" si="7"/>
        <v>#DIV/0!</v>
      </c>
      <c r="X74" t="e">
        <f t="shared" si="8"/>
        <v>#DIV/0!</v>
      </c>
      <c r="Y74" t="e">
        <f t="shared" si="9"/>
        <v>#DIV/0!</v>
      </c>
      <c r="Z74" t="e">
        <f t="shared" si="10"/>
        <v>#DIV/0!</v>
      </c>
      <c r="AA74" t="e">
        <f t="shared" si="11"/>
        <v>#DIV/0!</v>
      </c>
      <c r="AB74">
        <f t="shared" si="12"/>
        <v>1.0606420435981796</v>
      </c>
      <c r="AC74">
        <f t="shared" si="13"/>
        <v>1.0606420827976866</v>
      </c>
    </row>
    <row r="75" spans="1:29" x14ac:dyDescent="0.25">
      <c r="A75" s="16" t="s">
        <v>80</v>
      </c>
      <c r="B75" s="17">
        <v>596.52581699999996</v>
      </c>
      <c r="C75" s="17">
        <v>0</v>
      </c>
      <c r="D75" s="17">
        <v>0</v>
      </c>
      <c r="E75" s="17">
        <v>0</v>
      </c>
      <c r="F75" s="17">
        <v>0</v>
      </c>
      <c r="G75" s="17">
        <v>0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3.2902749999999998</v>
      </c>
      <c r="N75" s="17">
        <v>3.346422</v>
      </c>
      <c r="Q75">
        <f t="shared" si="1"/>
        <v>1.0606420174434799</v>
      </c>
      <c r="R75" t="e">
        <f t="shared" si="2"/>
        <v>#DIV/0!</v>
      </c>
      <c r="S75" t="e">
        <f t="shared" si="3"/>
        <v>#DIV/0!</v>
      </c>
      <c r="T75" t="e">
        <f t="shared" si="4"/>
        <v>#DIV/0!</v>
      </c>
      <c r="U75" t="e">
        <f t="shared" si="5"/>
        <v>#DIV/0!</v>
      </c>
      <c r="V75" t="e">
        <f t="shared" si="6"/>
        <v>#DIV/0!</v>
      </c>
      <c r="W75" t="e">
        <f t="shared" si="7"/>
        <v>#DIV/0!</v>
      </c>
      <c r="X75" t="e">
        <f t="shared" si="8"/>
        <v>#DIV/0!</v>
      </c>
      <c r="Y75" t="e">
        <f t="shared" si="9"/>
        <v>#DIV/0!</v>
      </c>
      <c r="Z75" t="e">
        <f t="shared" si="10"/>
        <v>#DIV/0!</v>
      </c>
      <c r="AA75" t="e">
        <f t="shared" si="11"/>
        <v>#DIV/0!</v>
      </c>
      <c r="AB75">
        <f t="shared" si="12"/>
        <v>1.0606420435981796</v>
      </c>
      <c r="AC75">
        <f t="shared" si="13"/>
        <v>1.0606420827976866</v>
      </c>
    </row>
    <row r="76" spans="1:29" x14ac:dyDescent="0.25">
      <c r="A76" s="18" t="s">
        <v>81</v>
      </c>
      <c r="B76" s="19">
        <v>596.52581699999996</v>
      </c>
      <c r="C76" s="19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3.2902749999999998</v>
      </c>
      <c r="N76" s="19">
        <v>3.346422</v>
      </c>
      <c r="Q76">
        <f t="shared" si="1"/>
        <v>1.0606420174434799</v>
      </c>
      <c r="R76" t="e">
        <f t="shared" si="2"/>
        <v>#DIV/0!</v>
      </c>
      <c r="S76" t="e">
        <f t="shared" si="3"/>
        <v>#DIV/0!</v>
      </c>
      <c r="T76" t="e">
        <f t="shared" si="4"/>
        <v>#DIV/0!</v>
      </c>
      <c r="U76" t="e">
        <f t="shared" si="5"/>
        <v>#DIV/0!</v>
      </c>
      <c r="V76" t="e">
        <f t="shared" si="6"/>
        <v>#DIV/0!</v>
      </c>
      <c r="W76" t="e">
        <f t="shared" si="7"/>
        <v>#DIV/0!</v>
      </c>
      <c r="X76" t="e">
        <f t="shared" si="8"/>
        <v>#DIV/0!</v>
      </c>
      <c r="Y76" t="e">
        <f t="shared" si="9"/>
        <v>#DIV/0!</v>
      </c>
      <c r="Z76" t="e">
        <f t="shared" si="10"/>
        <v>#DIV/0!</v>
      </c>
      <c r="AA76" t="e">
        <f t="shared" si="11"/>
        <v>#DIV/0!</v>
      </c>
      <c r="AB76">
        <f t="shared" si="12"/>
        <v>1.0606420435981796</v>
      </c>
      <c r="AC76">
        <f t="shared" si="13"/>
        <v>1.0606420827976866</v>
      </c>
    </row>
    <row r="77" spans="1:29" x14ac:dyDescent="0.25">
      <c r="A77" s="16" t="s">
        <v>82</v>
      </c>
      <c r="B77" s="17">
        <v>0</v>
      </c>
      <c r="C77" s="17">
        <v>0</v>
      </c>
      <c r="D77" s="17">
        <v>0</v>
      </c>
      <c r="E77" s="17">
        <v>0</v>
      </c>
      <c r="F77" s="17">
        <v>0</v>
      </c>
      <c r="G77" s="17">
        <v>0</v>
      </c>
      <c r="H77" s="17">
        <v>0</v>
      </c>
      <c r="I77" s="17">
        <v>0</v>
      </c>
      <c r="J77" s="17">
        <v>0</v>
      </c>
      <c r="K77" s="17">
        <v>0</v>
      </c>
      <c r="L77" s="17">
        <v>0</v>
      </c>
      <c r="M77" s="17">
        <v>3.2902749999999998</v>
      </c>
      <c r="N77" s="17">
        <v>3.346422</v>
      </c>
      <c r="Q77" t="e">
        <f t="shared" si="1"/>
        <v>#DIV/0!</v>
      </c>
      <c r="R77" t="e">
        <f t="shared" si="2"/>
        <v>#DIV/0!</v>
      </c>
      <c r="S77" t="e">
        <f t="shared" si="3"/>
        <v>#DIV/0!</v>
      </c>
      <c r="T77" t="e">
        <f t="shared" si="4"/>
        <v>#DIV/0!</v>
      </c>
      <c r="U77" t="e">
        <f t="shared" si="5"/>
        <v>#DIV/0!</v>
      </c>
      <c r="V77" t="e">
        <f t="shared" si="6"/>
        <v>#DIV/0!</v>
      </c>
      <c r="W77" t="e">
        <f t="shared" si="7"/>
        <v>#DIV/0!</v>
      </c>
      <c r="X77" t="e">
        <f t="shared" si="8"/>
        <v>#DIV/0!</v>
      </c>
      <c r="Y77" t="e">
        <f t="shared" si="9"/>
        <v>#DIV/0!</v>
      </c>
      <c r="Z77" t="e">
        <f t="shared" si="10"/>
        <v>#DIV/0!</v>
      </c>
      <c r="AA77" t="e">
        <f t="shared" si="11"/>
        <v>#DIV/0!</v>
      </c>
      <c r="AB77">
        <f t="shared" si="12"/>
        <v>1.0606420435981796</v>
      </c>
      <c r="AC77">
        <f t="shared" si="13"/>
        <v>1.0606420827976866</v>
      </c>
    </row>
    <row r="78" spans="1:29" x14ac:dyDescent="0.25">
      <c r="A78" s="18" t="s">
        <v>49</v>
      </c>
      <c r="B78" s="19">
        <v>0</v>
      </c>
      <c r="C78" s="19">
        <v>0</v>
      </c>
      <c r="D78" s="19">
        <v>0</v>
      </c>
      <c r="E78" s="19">
        <v>0</v>
      </c>
      <c r="F78" s="19">
        <v>0</v>
      </c>
      <c r="G78" s="19">
        <v>1322.370973</v>
      </c>
      <c r="H78" s="19">
        <v>923.07452000000001</v>
      </c>
      <c r="I78" s="19">
        <v>62.354866000000001</v>
      </c>
      <c r="J78" s="19">
        <v>0</v>
      </c>
      <c r="K78" s="19">
        <v>0</v>
      </c>
      <c r="L78" s="19">
        <v>0</v>
      </c>
      <c r="M78" s="19">
        <v>39.486693000000002</v>
      </c>
      <c r="N78" s="19">
        <v>38.823996999999999</v>
      </c>
      <c r="Q78" t="e">
        <f t="shared" si="1"/>
        <v>#DIV/0!</v>
      </c>
      <c r="R78" t="e">
        <f t="shared" si="2"/>
        <v>#DIV/0!</v>
      </c>
      <c r="S78" t="e">
        <f t="shared" si="3"/>
        <v>#DIV/0!</v>
      </c>
      <c r="T78" t="e">
        <f t="shared" si="4"/>
        <v>#DIV/0!</v>
      </c>
      <c r="U78" t="e">
        <f t="shared" si="5"/>
        <v>#DIV/0!</v>
      </c>
      <c r="V78">
        <f t="shared" si="6"/>
        <v>1.0646655059328802</v>
      </c>
      <c r="W78">
        <f t="shared" si="7"/>
        <v>1.0646655060958674</v>
      </c>
      <c r="X78">
        <f t="shared" si="8"/>
        <v>1.0646655066182003</v>
      </c>
      <c r="Y78" t="e">
        <f t="shared" si="9"/>
        <v>#DIV/0!</v>
      </c>
      <c r="Z78" t="e">
        <f t="shared" si="10"/>
        <v>#DIV/0!</v>
      </c>
      <c r="AA78" t="e">
        <f t="shared" si="11"/>
        <v>#DIV/0!</v>
      </c>
      <c r="AB78">
        <f t="shared" si="12"/>
        <v>1.0646655064276971</v>
      </c>
      <c r="AC78">
        <f t="shared" si="13"/>
        <v>1.0646654954151167</v>
      </c>
    </row>
    <row r="79" spans="1:29" x14ac:dyDescent="0.25">
      <c r="A79" s="16" t="s">
        <v>50</v>
      </c>
      <c r="B79" s="17">
        <v>0</v>
      </c>
      <c r="C79" s="17">
        <v>410.336386</v>
      </c>
      <c r="D79" s="17">
        <v>0</v>
      </c>
      <c r="E79" s="17">
        <v>0</v>
      </c>
      <c r="F79" s="17">
        <v>0</v>
      </c>
      <c r="G79" s="17">
        <v>0</v>
      </c>
      <c r="H79" s="17">
        <v>0</v>
      </c>
      <c r="I79" s="17">
        <v>28.787580999999999</v>
      </c>
      <c r="J79" s="17">
        <v>0</v>
      </c>
      <c r="K79" s="17">
        <v>0</v>
      </c>
      <c r="L79" s="17">
        <v>0</v>
      </c>
      <c r="M79" s="17">
        <v>15.957477000000001</v>
      </c>
      <c r="N79" s="17">
        <v>15.852168000000001</v>
      </c>
      <c r="Q79" t="e">
        <f t="shared" si="1"/>
        <v>#DIV/0!</v>
      </c>
      <c r="R79">
        <f t="shared" si="2"/>
        <v>1.1002521209513212</v>
      </c>
      <c r="S79" t="e">
        <f t="shared" si="3"/>
        <v>#DIV/0!</v>
      </c>
      <c r="T79" t="e">
        <f t="shared" si="4"/>
        <v>#DIV/0!</v>
      </c>
      <c r="U79" t="e">
        <f t="shared" si="5"/>
        <v>#DIV/0!</v>
      </c>
      <c r="V79" t="e">
        <f t="shared" si="6"/>
        <v>#DIV/0!</v>
      </c>
      <c r="W79" t="e">
        <f t="shared" si="7"/>
        <v>#DIV/0!</v>
      </c>
      <c r="X79">
        <f t="shared" si="8"/>
        <v>1.1002521191342893</v>
      </c>
      <c r="Y79" t="e">
        <f t="shared" si="9"/>
        <v>#DIV/0!</v>
      </c>
      <c r="Z79" t="e">
        <f t="shared" si="10"/>
        <v>#DIV/0!</v>
      </c>
      <c r="AA79" t="e">
        <f t="shared" si="11"/>
        <v>#DIV/0!</v>
      </c>
      <c r="AB79">
        <f t="shared" si="12"/>
        <v>1.100252126322977</v>
      </c>
      <c r="AC79">
        <f t="shared" si="13"/>
        <v>1.1002520917012739</v>
      </c>
    </row>
    <row r="80" spans="1:29" x14ac:dyDescent="0.25">
      <c r="A80" s="18" t="s">
        <v>51</v>
      </c>
      <c r="B80" s="19">
        <v>0</v>
      </c>
      <c r="C80" s="19">
        <v>0</v>
      </c>
      <c r="D80" s="19">
        <v>0</v>
      </c>
      <c r="E80" s="19">
        <v>0</v>
      </c>
      <c r="F80" s="19">
        <v>0</v>
      </c>
      <c r="G80" s="19">
        <v>1520.823901</v>
      </c>
      <c r="H80" s="19">
        <v>0</v>
      </c>
      <c r="I80" s="19">
        <v>266.42174799999998</v>
      </c>
      <c r="J80" s="19">
        <v>28.411626999999999</v>
      </c>
      <c r="K80" s="19">
        <v>0</v>
      </c>
      <c r="L80" s="19">
        <v>0</v>
      </c>
      <c r="M80" s="19">
        <v>36.836134000000001</v>
      </c>
      <c r="N80" s="19">
        <v>35.812874999999998</v>
      </c>
      <c r="Q80" t="e">
        <f t="shared" si="1"/>
        <v>#DIV/0!</v>
      </c>
      <c r="R80" t="e">
        <f t="shared" si="2"/>
        <v>#DIV/0!</v>
      </c>
      <c r="S80" t="e">
        <f t="shared" si="3"/>
        <v>#DIV/0!</v>
      </c>
      <c r="T80" t="e">
        <f t="shared" si="4"/>
        <v>#DIV/0!</v>
      </c>
      <c r="U80" t="e">
        <f t="shared" si="5"/>
        <v>#DIV/0!</v>
      </c>
      <c r="V80">
        <f t="shared" si="6"/>
        <v>1.1088463541973228</v>
      </c>
      <c r="W80" t="e">
        <f t="shared" si="7"/>
        <v>#DIV/0!</v>
      </c>
      <c r="X80">
        <f t="shared" si="8"/>
        <v>1.1088463543899578</v>
      </c>
      <c r="Y80">
        <f t="shared" si="9"/>
        <v>1.1088463536424717</v>
      </c>
      <c r="Z80" t="e">
        <f t="shared" si="10"/>
        <v>#DIV/0!</v>
      </c>
      <c r="AA80" t="e">
        <f t="shared" si="11"/>
        <v>#DIV/0!</v>
      </c>
      <c r="AB80">
        <f t="shared" si="12"/>
        <v>1.1088463572208744</v>
      </c>
      <c r="AC80">
        <f t="shared" si="13"/>
        <v>1.1088463576297631</v>
      </c>
    </row>
    <row r="81" spans="1:29" x14ac:dyDescent="0.25">
      <c r="A81" s="16" t="s">
        <v>52</v>
      </c>
      <c r="B81" s="17">
        <v>0</v>
      </c>
      <c r="C81" s="17">
        <v>0</v>
      </c>
      <c r="D81" s="17">
        <v>0</v>
      </c>
      <c r="E81" s="17">
        <v>0</v>
      </c>
      <c r="F81" s="17">
        <v>0</v>
      </c>
      <c r="G81" s="17">
        <v>1464.2831639999999</v>
      </c>
      <c r="H81" s="17">
        <v>0</v>
      </c>
      <c r="I81" s="17">
        <v>0</v>
      </c>
      <c r="J81" s="17">
        <v>0</v>
      </c>
      <c r="K81" s="17">
        <v>0</v>
      </c>
      <c r="L81" s="17">
        <v>0</v>
      </c>
      <c r="M81" s="17">
        <v>168.01212699999999</v>
      </c>
      <c r="N81" s="17">
        <v>212.57072400000001</v>
      </c>
      <c r="Q81" t="e">
        <f t="shared" si="1"/>
        <v>#DIV/0!</v>
      </c>
      <c r="R81" t="e">
        <f t="shared" si="2"/>
        <v>#DIV/0!</v>
      </c>
      <c r="S81" t="e">
        <f t="shared" si="3"/>
        <v>#DIV/0!</v>
      </c>
      <c r="T81" t="e">
        <f t="shared" si="4"/>
        <v>#DIV/0!</v>
      </c>
      <c r="U81" t="e">
        <f t="shared" si="5"/>
        <v>#DIV/0!</v>
      </c>
      <c r="V81">
        <f t="shared" si="6"/>
        <v>1.1543682352957791</v>
      </c>
      <c r="W81" t="e">
        <f t="shared" si="7"/>
        <v>#DIV/0!</v>
      </c>
      <c r="X81" t="e">
        <f t="shared" si="8"/>
        <v>#DIV/0!</v>
      </c>
      <c r="Y81" t="e">
        <f t="shared" si="9"/>
        <v>#DIV/0!</v>
      </c>
      <c r="Z81" t="e">
        <f t="shared" si="10"/>
        <v>#DIV/0!</v>
      </c>
      <c r="AA81" t="e">
        <f t="shared" si="11"/>
        <v>#DIV/0!</v>
      </c>
      <c r="AB81">
        <f t="shared" si="12"/>
        <v>1.1543682320026816</v>
      </c>
      <c r="AC81">
        <f t="shared" si="13"/>
        <v>1.1543682327581477</v>
      </c>
    </row>
    <row r="82" spans="1:29" x14ac:dyDescent="0.25">
      <c r="A82" s="18" t="s">
        <v>83</v>
      </c>
      <c r="B82" s="19">
        <v>0</v>
      </c>
      <c r="C82" s="19">
        <v>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12.177320999999999</v>
      </c>
      <c r="N82" s="19">
        <v>9.1357579999999992</v>
      </c>
      <c r="Q82" t="e">
        <f t="shared" si="1"/>
        <v>#DIV/0!</v>
      </c>
      <c r="R82" t="e">
        <f t="shared" si="2"/>
        <v>#DIV/0!</v>
      </c>
      <c r="S82" t="e">
        <f t="shared" si="3"/>
        <v>#DIV/0!</v>
      </c>
      <c r="T82" t="e">
        <f t="shared" si="4"/>
        <v>#DIV/0!</v>
      </c>
      <c r="U82" t="e">
        <f t="shared" si="5"/>
        <v>#DIV/0!</v>
      </c>
      <c r="V82" t="e">
        <f t="shared" si="6"/>
        <v>#DIV/0!</v>
      </c>
      <c r="W82" t="e">
        <f t="shared" si="7"/>
        <v>#DIV/0!</v>
      </c>
      <c r="X82" t="e">
        <f t="shared" si="8"/>
        <v>#DIV/0!</v>
      </c>
      <c r="Y82" t="e">
        <f t="shared" si="9"/>
        <v>#DIV/0!</v>
      </c>
      <c r="Z82" t="e">
        <f t="shared" si="10"/>
        <v>#DIV/0!</v>
      </c>
      <c r="AA82" t="e">
        <f t="shared" si="11"/>
        <v>#DIV/0!</v>
      </c>
      <c r="AB82">
        <f t="shared" si="12"/>
        <v>1.0477617367563852</v>
      </c>
      <c r="AC82">
        <f t="shared" si="13"/>
        <v>1.0477616635642057</v>
      </c>
    </row>
    <row r="83" spans="1:29" x14ac:dyDescent="0.25">
      <c r="A83" s="16" t="s">
        <v>84</v>
      </c>
      <c r="B83" s="17">
        <v>0</v>
      </c>
      <c r="C83" s="17">
        <v>0</v>
      </c>
      <c r="D83" s="17">
        <v>0</v>
      </c>
      <c r="E83" s="17">
        <v>0</v>
      </c>
      <c r="F83" s="17">
        <v>0</v>
      </c>
      <c r="G83" s="17">
        <v>0</v>
      </c>
      <c r="H83" s="17">
        <v>0</v>
      </c>
      <c r="I83" s="17">
        <v>0</v>
      </c>
      <c r="J83" s="17">
        <v>0</v>
      </c>
      <c r="K83" s="17">
        <v>0</v>
      </c>
      <c r="L83" s="17">
        <v>0</v>
      </c>
      <c r="M83" s="17">
        <v>12.177320999999999</v>
      </c>
      <c r="N83" s="17">
        <v>9.1357579999999992</v>
      </c>
      <c r="Q83" t="e">
        <f t="shared" si="1"/>
        <v>#DIV/0!</v>
      </c>
      <c r="R83" t="e">
        <f t="shared" si="2"/>
        <v>#DIV/0!</v>
      </c>
      <c r="S83" t="e">
        <f t="shared" si="3"/>
        <v>#DIV/0!</v>
      </c>
      <c r="T83" t="e">
        <f t="shared" si="4"/>
        <v>#DIV/0!</v>
      </c>
      <c r="U83" t="e">
        <f t="shared" si="5"/>
        <v>#DIV/0!</v>
      </c>
      <c r="V83" t="e">
        <f t="shared" si="6"/>
        <v>#DIV/0!</v>
      </c>
      <c r="W83" t="e">
        <f t="shared" si="7"/>
        <v>#DIV/0!</v>
      </c>
      <c r="X83" t="e">
        <f t="shared" si="8"/>
        <v>#DIV/0!</v>
      </c>
      <c r="Y83" t="e">
        <f t="shared" si="9"/>
        <v>#DIV/0!</v>
      </c>
      <c r="Z83" t="e">
        <f t="shared" si="10"/>
        <v>#DIV/0!</v>
      </c>
      <c r="AA83" t="e">
        <f t="shared" si="11"/>
        <v>#DIV/0!</v>
      </c>
      <c r="AB83">
        <f t="shared" si="12"/>
        <v>1.0477617367563852</v>
      </c>
      <c r="AC83">
        <f t="shared" si="13"/>
        <v>1.0477616635642057</v>
      </c>
    </row>
    <row r="84" spans="1:29" x14ac:dyDescent="0.25">
      <c r="A84" s="20" t="s">
        <v>85</v>
      </c>
      <c r="B84" s="21">
        <v>0</v>
      </c>
      <c r="C84" s="21">
        <v>409.22327899999999</v>
      </c>
      <c r="D84" s="21">
        <v>0</v>
      </c>
      <c r="E84" s="21">
        <v>0</v>
      </c>
      <c r="F84" s="21">
        <v>0</v>
      </c>
      <c r="G84" s="21">
        <v>0</v>
      </c>
      <c r="H84" s="21">
        <v>846.81090800000004</v>
      </c>
      <c r="I84" s="21">
        <v>33.419440999999999</v>
      </c>
      <c r="J84" s="21">
        <v>8.7202110000000008</v>
      </c>
      <c r="K84" s="21">
        <v>0</v>
      </c>
      <c r="L84" s="21">
        <v>0</v>
      </c>
      <c r="M84" s="21">
        <v>12.177320999999999</v>
      </c>
      <c r="N84" s="21">
        <v>9.1357579999999992</v>
      </c>
      <c r="Q84" t="e">
        <f t="shared" si="1"/>
        <v>#DIV/0!</v>
      </c>
      <c r="R84">
        <f t="shared" si="2"/>
        <v>1.0477616988157705</v>
      </c>
      <c r="S84" t="e">
        <f t="shared" si="3"/>
        <v>#DIV/0!</v>
      </c>
      <c r="T84" t="e">
        <f t="shared" si="4"/>
        <v>#DIV/0!</v>
      </c>
      <c r="U84" t="e">
        <f t="shared" si="5"/>
        <v>#DIV/0!</v>
      </c>
      <c r="V84" t="e">
        <f t="shared" si="6"/>
        <v>#DIV/0!</v>
      </c>
      <c r="W84">
        <f t="shared" si="7"/>
        <v>1.0477616993568533</v>
      </c>
      <c r="X84">
        <f t="shared" si="8"/>
        <v>1.0477617204907765</v>
      </c>
      <c r="Y84">
        <f t="shared" si="9"/>
        <v>1.0477616883352936</v>
      </c>
      <c r="Z84" t="e">
        <f t="shared" si="10"/>
        <v>#DIV/0!</v>
      </c>
      <c r="AA84" t="e">
        <f t="shared" si="11"/>
        <v>#DIV/0!</v>
      </c>
      <c r="AB84">
        <f t="shared" si="12"/>
        <v>1.0477617367563852</v>
      </c>
      <c r="AC84">
        <f t="shared" si="13"/>
        <v>1.0477616635642057</v>
      </c>
    </row>
    <row r="85" spans="1:29" x14ac:dyDescent="0.25">
      <c r="A85" s="16" t="s">
        <v>86</v>
      </c>
      <c r="B85" s="17">
        <v>0</v>
      </c>
      <c r="C85" s="17">
        <v>385.87091299999997</v>
      </c>
      <c r="D85" s="17">
        <v>0</v>
      </c>
      <c r="E85" s="17">
        <v>0</v>
      </c>
      <c r="F85" s="17">
        <v>0</v>
      </c>
      <c r="G85" s="17">
        <v>0</v>
      </c>
      <c r="H85" s="17">
        <v>0</v>
      </c>
      <c r="I85" s="17">
        <v>0</v>
      </c>
      <c r="J85" s="17">
        <v>0</v>
      </c>
      <c r="K85" s="17">
        <v>0</v>
      </c>
      <c r="L85" s="17">
        <v>0</v>
      </c>
      <c r="M85" s="17">
        <v>12.177320999999999</v>
      </c>
      <c r="N85" s="17">
        <v>9.1357579999999992</v>
      </c>
      <c r="Q85" t="e">
        <f t="shared" si="1"/>
        <v>#DIV/0!</v>
      </c>
      <c r="R85">
        <f t="shared" si="2"/>
        <v>1.0477616979645212</v>
      </c>
      <c r="S85" t="e">
        <f t="shared" si="3"/>
        <v>#DIV/0!</v>
      </c>
      <c r="T85" t="e">
        <f t="shared" si="4"/>
        <v>#DIV/0!</v>
      </c>
      <c r="U85" t="e">
        <f t="shared" si="5"/>
        <v>#DIV/0!</v>
      </c>
      <c r="V85" t="e">
        <f t="shared" si="6"/>
        <v>#DIV/0!</v>
      </c>
      <c r="W85" t="e">
        <f t="shared" si="7"/>
        <v>#DIV/0!</v>
      </c>
      <c r="X85" t="e">
        <f t="shared" si="8"/>
        <v>#DIV/0!</v>
      </c>
      <c r="Y85" t="e">
        <f t="shared" si="9"/>
        <v>#DIV/0!</v>
      </c>
      <c r="Z85" t="e">
        <f t="shared" si="10"/>
        <v>#DIV/0!</v>
      </c>
      <c r="AA85" t="e">
        <f t="shared" si="11"/>
        <v>#DIV/0!</v>
      </c>
      <c r="AB85">
        <f t="shared" si="12"/>
        <v>1.0477617367563852</v>
      </c>
      <c r="AC85">
        <f t="shared" si="13"/>
        <v>1.0477616635642057</v>
      </c>
    </row>
    <row r="86" spans="1:29" x14ac:dyDescent="0.25">
      <c r="A86" s="18" t="s">
        <v>54</v>
      </c>
      <c r="B86" s="19">
        <v>0</v>
      </c>
      <c r="C86" s="19">
        <v>0</v>
      </c>
      <c r="D86" s="19">
        <v>0</v>
      </c>
      <c r="E86" s="19">
        <v>0</v>
      </c>
      <c r="F86" s="19">
        <v>0</v>
      </c>
      <c r="G86" s="19">
        <v>1503.420404</v>
      </c>
      <c r="H86" s="19">
        <v>0</v>
      </c>
      <c r="I86" s="19">
        <v>72.270444999999995</v>
      </c>
      <c r="J86" s="19">
        <v>23.790935000000001</v>
      </c>
      <c r="K86" s="19">
        <v>0</v>
      </c>
      <c r="L86" s="19">
        <v>0</v>
      </c>
      <c r="M86" s="19">
        <v>32.843000000000004</v>
      </c>
      <c r="N86" s="19">
        <v>0</v>
      </c>
      <c r="Q86" t="e">
        <f t="shared" si="1"/>
        <v>#DIV/0!</v>
      </c>
      <c r="R86" t="e">
        <f t="shared" si="2"/>
        <v>#DIV/0!</v>
      </c>
      <c r="S86" t="e">
        <f t="shared" si="3"/>
        <v>#DIV/0!</v>
      </c>
      <c r="T86" t="e">
        <f t="shared" si="4"/>
        <v>#DIV/0!</v>
      </c>
      <c r="U86" t="e">
        <f t="shared" si="5"/>
        <v>#DIV/0!</v>
      </c>
      <c r="V86">
        <f t="shared" si="6"/>
        <v>1.0478354602669075</v>
      </c>
      <c r="W86" t="e">
        <f t="shared" si="7"/>
        <v>#DIV/0!</v>
      </c>
      <c r="X86">
        <f t="shared" si="8"/>
        <v>1.0478354602631823</v>
      </c>
      <c r="Y86">
        <f t="shared" si="9"/>
        <v>1.0478354465681992</v>
      </c>
      <c r="Z86" t="e">
        <f t="shared" si="10"/>
        <v>#DIV/0!</v>
      </c>
      <c r="AA86" t="e">
        <f t="shared" si="11"/>
        <v>#DIV/0!</v>
      </c>
      <c r="AB86">
        <f t="shared" si="12"/>
        <v>1.0478354596108759</v>
      </c>
      <c r="AC86" t="e">
        <f t="shared" si="13"/>
        <v>#DIV/0!</v>
      </c>
    </row>
    <row r="87" spans="1:29" x14ac:dyDescent="0.25">
      <c r="A87" s="16" t="s">
        <v>55</v>
      </c>
      <c r="B87" s="17">
        <v>0</v>
      </c>
      <c r="C87" s="17">
        <v>0</v>
      </c>
      <c r="D87" s="17">
        <v>0</v>
      </c>
      <c r="E87" s="17">
        <v>0</v>
      </c>
      <c r="F87" s="17">
        <v>0</v>
      </c>
      <c r="G87" s="17">
        <v>1451.0762279999999</v>
      </c>
      <c r="H87" s="17">
        <v>0</v>
      </c>
      <c r="I87" s="17">
        <v>167.530305</v>
      </c>
      <c r="J87" s="17">
        <v>108.44613200000001</v>
      </c>
      <c r="K87" s="17">
        <v>0</v>
      </c>
      <c r="L87" s="17">
        <v>0</v>
      </c>
      <c r="M87" s="17">
        <v>108.400453</v>
      </c>
      <c r="N87" s="17">
        <v>108.75268199999999</v>
      </c>
      <c r="Q87" t="e">
        <f t="shared" si="1"/>
        <v>#DIV/0!</v>
      </c>
      <c r="R87" t="e">
        <f t="shared" si="2"/>
        <v>#DIV/0!</v>
      </c>
      <c r="S87" t="e">
        <f t="shared" si="3"/>
        <v>#DIV/0!</v>
      </c>
      <c r="T87" t="e">
        <f t="shared" si="4"/>
        <v>#DIV/0!</v>
      </c>
      <c r="U87" t="e">
        <f t="shared" si="5"/>
        <v>#DIV/0!</v>
      </c>
      <c r="V87">
        <f t="shared" si="6"/>
        <v>1.0245690290503471</v>
      </c>
      <c r="W87" t="e">
        <f t="shared" si="7"/>
        <v>#DIV/0!</v>
      </c>
      <c r="X87">
        <f t="shared" si="8"/>
        <v>1.0245690234969729</v>
      </c>
      <c r="Y87">
        <f t="shared" si="9"/>
        <v>1.0245690275057482</v>
      </c>
      <c r="Z87" t="e">
        <f t="shared" si="10"/>
        <v>#DIV/0!</v>
      </c>
      <c r="AA87" t="e">
        <f t="shared" si="11"/>
        <v>#DIV/0!</v>
      </c>
      <c r="AB87">
        <f t="shared" si="12"/>
        <v>1.0245690301681674</v>
      </c>
      <c r="AC87">
        <f t="shared" si="13"/>
        <v>1.0245690308584758</v>
      </c>
    </row>
    <row r="88" spans="1:29" x14ac:dyDescent="0.25">
      <c r="A88" s="18" t="s">
        <v>56</v>
      </c>
      <c r="B88" s="19">
        <v>0</v>
      </c>
      <c r="C88" s="19">
        <v>432.29876899999999</v>
      </c>
      <c r="D88" s="19">
        <v>537.79081299999996</v>
      </c>
      <c r="E88" s="19">
        <v>0</v>
      </c>
      <c r="F88" s="19">
        <v>0</v>
      </c>
      <c r="G88" s="19">
        <v>0</v>
      </c>
      <c r="H88" s="19">
        <v>1203.8311960000001</v>
      </c>
      <c r="I88" s="19">
        <v>84.331288000000001</v>
      </c>
      <c r="J88" s="19">
        <v>43.629182</v>
      </c>
      <c r="K88" s="19">
        <v>0</v>
      </c>
      <c r="L88" s="19">
        <v>0</v>
      </c>
      <c r="M88" s="19">
        <v>52.179318000000002</v>
      </c>
      <c r="N88" s="19">
        <v>56.639690000000002</v>
      </c>
      <c r="Q88" t="e">
        <f t="shared" si="1"/>
        <v>#DIV/0!</v>
      </c>
      <c r="R88">
        <f t="shared" si="2"/>
        <v>1.0833556525810972</v>
      </c>
      <c r="S88">
        <f t="shared" si="3"/>
        <v>1.0833556522654841</v>
      </c>
      <c r="T88" t="e">
        <f t="shared" si="4"/>
        <v>#DIV/0!</v>
      </c>
      <c r="U88" t="e">
        <f t="shared" si="5"/>
        <v>#DIV/0!</v>
      </c>
      <c r="V88" t="e">
        <f t="shared" si="6"/>
        <v>#DIV/0!</v>
      </c>
      <c r="W88">
        <f t="shared" si="7"/>
        <v>1.0833556526308861</v>
      </c>
      <c r="X88">
        <f t="shared" si="8"/>
        <v>1.0833556461274492</v>
      </c>
      <c r="Y88">
        <f t="shared" si="9"/>
        <v>1.0833556540207423</v>
      </c>
      <c r="Z88" t="e">
        <f t="shared" si="10"/>
        <v>#DIV/0!</v>
      </c>
      <c r="AA88" t="e">
        <f t="shared" si="11"/>
        <v>#DIV/0!</v>
      </c>
      <c r="AB88">
        <f t="shared" si="12"/>
        <v>1.0833556506047088</v>
      </c>
      <c r="AC88">
        <f t="shared" si="13"/>
        <v>1.0833556468970786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3"/>
  <sheetViews>
    <sheetView workbookViewId="0">
      <selection activeCell="I10" sqref="I10"/>
    </sheetView>
  </sheetViews>
  <sheetFormatPr defaultRowHeight="15" x14ac:dyDescent="0.25"/>
  <sheetData>
    <row r="1" spans="1:5" ht="36" x14ac:dyDescent="0.25">
      <c r="A1" s="15" t="s">
        <v>57</v>
      </c>
      <c r="B1" s="13" t="s">
        <v>101</v>
      </c>
      <c r="D1" s="15" t="s">
        <v>57</v>
      </c>
      <c r="E1" s="15" t="s">
        <v>75</v>
      </c>
    </row>
    <row r="2" spans="1:5" x14ac:dyDescent="0.25">
      <c r="A2" s="16" t="s">
        <v>23</v>
      </c>
      <c r="B2" s="17">
        <v>356.01189599999998</v>
      </c>
      <c r="D2" s="16" t="s">
        <v>23</v>
      </c>
      <c r="E2" s="17">
        <v>356.01189599999998</v>
      </c>
    </row>
    <row r="3" spans="1:5" x14ac:dyDescent="0.25">
      <c r="A3" s="18" t="s">
        <v>24</v>
      </c>
      <c r="B3" s="19">
        <v>278.46182700000003</v>
      </c>
      <c r="D3" s="18" t="s">
        <v>24</v>
      </c>
      <c r="E3" s="19">
        <v>278.46182700000003</v>
      </c>
    </row>
    <row r="4" spans="1:5" x14ac:dyDescent="0.25">
      <c r="A4" s="16" t="s">
        <v>25</v>
      </c>
      <c r="B4" s="17">
        <v>528.85758799999996</v>
      </c>
      <c r="D4" s="16" t="s">
        <v>25</v>
      </c>
      <c r="E4" s="17">
        <v>528.85758799999996</v>
      </c>
    </row>
    <row r="5" spans="1:5" x14ac:dyDescent="0.25">
      <c r="A5" s="18" t="s">
        <v>26</v>
      </c>
      <c r="B5" s="19">
        <v>509.85128700000001</v>
      </c>
      <c r="D5" s="18" t="s">
        <v>26</v>
      </c>
      <c r="E5" s="19">
        <v>509.85128700000001</v>
      </c>
    </row>
    <row r="6" spans="1:5" x14ac:dyDescent="0.25">
      <c r="A6" s="16" t="s">
        <v>27</v>
      </c>
      <c r="B6" s="17">
        <v>454.12883299999999</v>
      </c>
      <c r="D6" s="16" t="s">
        <v>27</v>
      </c>
      <c r="E6" s="17">
        <v>454.12883299999999</v>
      </c>
    </row>
    <row r="7" spans="1:5" x14ac:dyDescent="0.25">
      <c r="A7" s="18" t="s">
        <v>28</v>
      </c>
      <c r="B7" s="19">
        <v>26.810618000000002</v>
      </c>
      <c r="D7" s="18" t="s">
        <v>28</v>
      </c>
      <c r="E7" s="19">
        <v>26.810618000000002</v>
      </c>
    </row>
    <row r="8" spans="1:5" x14ac:dyDescent="0.25">
      <c r="A8" s="16" t="s">
        <v>29</v>
      </c>
      <c r="B8" s="17">
        <v>429.09646800000002</v>
      </c>
      <c r="D8" s="16" t="s">
        <v>29</v>
      </c>
      <c r="E8" s="17">
        <v>429.09646800000002</v>
      </c>
    </row>
    <row r="9" spans="1:5" x14ac:dyDescent="0.25">
      <c r="A9" s="18" t="s">
        <v>30</v>
      </c>
      <c r="B9" s="19">
        <v>541.45993699999997</v>
      </c>
      <c r="D9" s="18" t="s">
        <v>30</v>
      </c>
      <c r="E9" s="19">
        <v>541.45993699999997</v>
      </c>
    </row>
    <row r="10" spans="1:5" x14ac:dyDescent="0.25">
      <c r="A10" s="16" t="s">
        <v>76</v>
      </c>
      <c r="B10" s="17">
        <v>366.69000699999998</v>
      </c>
      <c r="D10" s="16" t="s">
        <v>76</v>
      </c>
      <c r="E10" s="17">
        <v>366.69000699999998</v>
      </c>
    </row>
    <row r="11" spans="1:5" x14ac:dyDescent="0.25">
      <c r="A11" s="18" t="s">
        <v>77</v>
      </c>
      <c r="B11" s="19">
        <v>448.60500400000001</v>
      </c>
      <c r="D11" s="18" t="s">
        <v>77</v>
      </c>
      <c r="E11" s="19">
        <v>448.60500400000001</v>
      </c>
    </row>
    <row r="12" spans="1:5" x14ac:dyDescent="0.25">
      <c r="A12" s="16" t="s">
        <v>32</v>
      </c>
      <c r="B12" s="17">
        <v>489.3177</v>
      </c>
      <c r="D12" s="16" t="s">
        <v>32</v>
      </c>
      <c r="E12" s="17">
        <v>489.3177</v>
      </c>
    </row>
    <row r="13" spans="1:5" x14ac:dyDescent="0.25">
      <c r="A13" s="18" t="s">
        <v>33</v>
      </c>
      <c r="B13" s="19">
        <v>401.58576399999998</v>
      </c>
      <c r="D13" s="18" t="s">
        <v>33</v>
      </c>
      <c r="E13" s="19">
        <v>401.58576399999998</v>
      </c>
    </row>
    <row r="14" spans="1:5" x14ac:dyDescent="0.25">
      <c r="A14" s="16" t="s">
        <v>34</v>
      </c>
      <c r="B14" s="17">
        <v>414.05807199999998</v>
      </c>
      <c r="D14" s="16" t="s">
        <v>34</v>
      </c>
      <c r="E14" s="17">
        <v>414.05807199999998</v>
      </c>
    </row>
    <row r="15" spans="1:5" x14ac:dyDescent="0.25">
      <c r="A15" s="18" t="s">
        <v>35</v>
      </c>
      <c r="B15" s="19">
        <v>21.258371</v>
      </c>
      <c r="D15" s="18" t="s">
        <v>35</v>
      </c>
      <c r="E15" s="19">
        <v>21.258371</v>
      </c>
    </row>
    <row r="16" spans="1:5" x14ac:dyDescent="0.25">
      <c r="A16" s="16" t="s">
        <v>36</v>
      </c>
      <c r="B16" s="17">
        <v>1269.5583939999999</v>
      </c>
      <c r="D16" s="16" t="s">
        <v>36</v>
      </c>
      <c r="E16" s="17">
        <v>1269.5583939999999</v>
      </c>
    </row>
    <row r="17" spans="1:5" x14ac:dyDescent="0.25">
      <c r="A17" s="18" t="s">
        <v>37</v>
      </c>
      <c r="B17" s="19">
        <v>662.68221200000005</v>
      </c>
      <c r="D17" s="18" t="s">
        <v>37</v>
      </c>
      <c r="E17" s="19">
        <v>662.68221200000005</v>
      </c>
    </row>
    <row r="18" spans="1:5" x14ac:dyDescent="0.25">
      <c r="A18" s="16" t="s">
        <v>38</v>
      </c>
      <c r="B18" s="17">
        <v>949.56664599999999</v>
      </c>
      <c r="D18" s="16" t="s">
        <v>38</v>
      </c>
      <c r="E18" s="17">
        <v>949.56664599999999</v>
      </c>
    </row>
    <row r="19" spans="1:5" x14ac:dyDescent="0.25">
      <c r="A19" s="18" t="s">
        <v>39</v>
      </c>
      <c r="B19" s="19">
        <v>648.84876399999996</v>
      </c>
      <c r="D19" s="18" t="s">
        <v>39</v>
      </c>
      <c r="E19" s="19">
        <v>648.84876399999996</v>
      </c>
    </row>
    <row r="20" spans="1:5" x14ac:dyDescent="0.25">
      <c r="A20" s="16" t="s">
        <v>40</v>
      </c>
      <c r="B20" s="17">
        <v>680.04319699999996</v>
      </c>
      <c r="D20" s="16" t="s">
        <v>40</v>
      </c>
      <c r="E20" s="17">
        <v>680.04319699999996</v>
      </c>
    </row>
    <row r="21" spans="1:5" x14ac:dyDescent="0.25">
      <c r="A21" s="18" t="s">
        <v>41</v>
      </c>
      <c r="B21" s="19">
        <v>750.58869100000004</v>
      </c>
      <c r="D21" s="18" t="s">
        <v>41</v>
      </c>
      <c r="E21" s="19">
        <v>750.58869100000004</v>
      </c>
    </row>
    <row r="22" spans="1:5" x14ac:dyDescent="0.25">
      <c r="A22" s="16" t="s">
        <v>42</v>
      </c>
      <c r="B22" s="17">
        <v>162.73556300000001</v>
      </c>
      <c r="D22" s="16" t="s">
        <v>42</v>
      </c>
      <c r="E22" s="17">
        <v>162.73556300000001</v>
      </c>
    </row>
    <row r="23" spans="1:5" x14ac:dyDescent="0.25">
      <c r="A23" s="18" t="s">
        <v>43</v>
      </c>
      <c r="B23" s="19">
        <v>174.70065099999999</v>
      </c>
      <c r="D23" s="18" t="s">
        <v>43</v>
      </c>
      <c r="E23" s="19">
        <v>174.70065099999999</v>
      </c>
    </row>
    <row r="24" spans="1:5" x14ac:dyDescent="0.25">
      <c r="A24" s="16" t="s">
        <v>44</v>
      </c>
      <c r="B24" s="17">
        <v>940.57148199999995</v>
      </c>
      <c r="D24" s="16" t="s">
        <v>44</v>
      </c>
      <c r="E24" s="17">
        <v>940.57148199999995</v>
      </c>
    </row>
    <row r="25" spans="1:5" x14ac:dyDescent="0.25">
      <c r="A25" s="18" t="s">
        <v>45</v>
      </c>
      <c r="B25" s="19">
        <v>1143.7425539999999</v>
      </c>
      <c r="D25" s="18" t="s">
        <v>45</v>
      </c>
      <c r="E25" s="19">
        <v>1143.7425539999999</v>
      </c>
    </row>
    <row r="26" spans="1:5" x14ac:dyDescent="0.25">
      <c r="A26" s="16" t="s">
        <v>46</v>
      </c>
      <c r="B26" s="17">
        <v>424.80350499999997</v>
      </c>
      <c r="D26" s="16" t="s">
        <v>46</v>
      </c>
      <c r="E26" s="17">
        <v>424.80350499999997</v>
      </c>
    </row>
    <row r="27" spans="1:5" x14ac:dyDescent="0.25">
      <c r="A27" s="18" t="s">
        <v>47</v>
      </c>
      <c r="B27" s="19">
        <v>762.17557099999999</v>
      </c>
      <c r="D27" s="18" t="s">
        <v>47</v>
      </c>
      <c r="E27" s="19">
        <v>762.17557099999999</v>
      </c>
    </row>
    <row r="28" spans="1:5" x14ac:dyDescent="0.25">
      <c r="A28" s="16" t="s">
        <v>78</v>
      </c>
      <c r="B28" s="17">
        <v>6.7712269999999997</v>
      </c>
      <c r="D28" s="16" t="s">
        <v>78</v>
      </c>
      <c r="E28" s="17">
        <v>6.7712269999999997</v>
      </c>
    </row>
    <row r="29" spans="1:5" x14ac:dyDescent="0.25">
      <c r="A29" s="18" t="s">
        <v>79</v>
      </c>
      <c r="B29" s="19">
        <v>0.99699300000000002</v>
      </c>
      <c r="D29" s="18" t="s">
        <v>79</v>
      </c>
      <c r="E29" s="19">
        <v>0.99699300000000002</v>
      </c>
    </row>
    <row r="30" spans="1:5" x14ac:dyDescent="0.25">
      <c r="A30" s="16" t="s">
        <v>80</v>
      </c>
      <c r="B30" s="17">
        <v>7.8891150000000003</v>
      </c>
      <c r="D30" s="16" t="s">
        <v>80</v>
      </c>
      <c r="E30" s="17">
        <v>7.8891150000000003</v>
      </c>
    </row>
    <row r="31" spans="1:5" x14ac:dyDescent="0.25">
      <c r="A31" s="18" t="s">
        <v>81</v>
      </c>
      <c r="B31" s="19">
        <v>2.7911510000000002</v>
      </c>
      <c r="D31" s="18" t="s">
        <v>81</v>
      </c>
      <c r="E31" s="19">
        <v>2.7911510000000002</v>
      </c>
    </row>
    <row r="32" spans="1:5" x14ac:dyDescent="0.25">
      <c r="A32" s="16" t="s">
        <v>82</v>
      </c>
      <c r="B32" s="17">
        <v>2.1879209999999998</v>
      </c>
      <c r="D32" s="16" t="s">
        <v>82</v>
      </c>
      <c r="E32" s="17">
        <v>2.1879209999999998</v>
      </c>
    </row>
    <row r="33" spans="1:5" x14ac:dyDescent="0.25">
      <c r="A33" s="18" t="s">
        <v>49</v>
      </c>
      <c r="B33" s="19">
        <v>1191.9416819999999</v>
      </c>
      <c r="D33" s="18" t="s">
        <v>49</v>
      </c>
      <c r="E33" s="19">
        <v>1191.9416819999999</v>
      </c>
    </row>
    <row r="34" spans="1:5" x14ac:dyDescent="0.25">
      <c r="A34" s="16" t="s">
        <v>50</v>
      </c>
      <c r="B34" s="17">
        <v>168.53925799999999</v>
      </c>
      <c r="D34" s="16" t="s">
        <v>50</v>
      </c>
      <c r="E34" s="17">
        <v>168.53925799999999</v>
      </c>
    </row>
    <row r="35" spans="1:5" x14ac:dyDescent="0.25">
      <c r="A35" s="18" t="s">
        <v>51</v>
      </c>
      <c r="B35" s="19">
        <v>404.43430499999999</v>
      </c>
      <c r="D35" s="18" t="s">
        <v>51</v>
      </c>
      <c r="E35" s="19">
        <v>404.43430499999999</v>
      </c>
    </row>
    <row r="36" spans="1:5" x14ac:dyDescent="0.25">
      <c r="A36" s="16" t="s">
        <v>52</v>
      </c>
      <c r="B36" s="17">
        <v>883.46458500000006</v>
      </c>
      <c r="D36" s="16" t="s">
        <v>52</v>
      </c>
      <c r="E36" s="17">
        <v>883.46458500000006</v>
      </c>
    </row>
    <row r="37" spans="1:5" x14ac:dyDescent="0.25">
      <c r="A37" s="18" t="s">
        <v>83</v>
      </c>
      <c r="B37" s="19">
        <v>2.412131</v>
      </c>
      <c r="D37" s="18" t="s">
        <v>83</v>
      </c>
      <c r="E37" s="19">
        <v>2.412131</v>
      </c>
    </row>
    <row r="38" spans="1:5" x14ac:dyDescent="0.25">
      <c r="A38" s="16" t="s">
        <v>84</v>
      </c>
      <c r="B38" s="17">
        <v>2.1699579999999998</v>
      </c>
      <c r="D38" s="16" t="s">
        <v>84</v>
      </c>
      <c r="E38" s="17">
        <v>2.1699579999999998</v>
      </c>
    </row>
    <row r="39" spans="1:5" x14ac:dyDescent="0.25">
      <c r="A39" s="18" t="s">
        <v>85</v>
      </c>
      <c r="B39" s="19">
        <v>14.953989</v>
      </c>
      <c r="D39" s="18" t="s">
        <v>85</v>
      </c>
      <c r="E39" s="19">
        <v>14.953989</v>
      </c>
    </row>
    <row r="40" spans="1:5" x14ac:dyDescent="0.25">
      <c r="A40" s="16" t="s">
        <v>86</v>
      </c>
      <c r="B40" s="17">
        <v>15.121456999999999</v>
      </c>
      <c r="D40" s="16" t="s">
        <v>86</v>
      </c>
      <c r="E40" s="17">
        <v>15.121456999999999</v>
      </c>
    </row>
    <row r="41" spans="1:5" x14ac:dyDescent="0.25">
      <c r="A41" s="18" t="s">
        <v>54</v>
      </c>
      <c r="B41" s="19">
        <v>307.18852399999997</v>
      </c>
      <c r="D41" s="18" t="s">
        <v>54</v>
      </c>
      <c r="E41" s="19">
        <v>307.18852399999997</v>
      </c>
    </row>
    <row r="42" spans="1:5" x14ac:dyDescent="0.25">
      <c r="A42" s="16" t="s">
        <v>55</v>
      </c>
      <c r="B42" s="17">
        <v>367.79683199999999</v>
      </c>
      <c r="D42" s="16" t="s">
        <v>55</v>
      </c>
      <c r="E42" s="17">
        <v>367.79683199999999</v>
      </c>
    </row>
    <row r="43" spans="1:5" x14ac:dyDescent="0.25">
      <c r="A43" s="20" t="s">
        <v>56</v>
      </c>
      <c r="B43" s="21">
        <v>667.66636200000005</v>
      </c>
      <c r="D43" s="18" t="s">
        <v>56</v>
      </c>
      <c r="E43" s="19">
        <v>667.66636200000005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8"/>
  <sheetViews>
    <sheetView workbookViewId="0">
      <selection activeCell="N15" sqref="N15"/>
    </sheetView>
  </sheetViews>
  <sheetFormatPr defaultRowHeight="15" x14ac:dyDescent="0.25"/>
  <sheetData>
    <row r="1" spans="1:35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50</v>
      </c>
      <c r="AD1" s="1" t="s">
        <v>51</v>
      </c>
      <c r="AE1" s="1" t="s">
        <v>52</v>
      </c>
      <c r="AF1" s="1" t="s">
        <v>53</v>
      </c>
      <c r="AG1" s="1" t="s">
        <v>54</v>
      </c>
      <c r="AH1" s="1" t="s">
        <v>55</v>
      </c>
      <c r="AI1" s="1" t="s">
        <v>56</v>
      </c>
    </row>
    <row r="2" spans="1:35" x14ac:dyDescent="0.25">
      <c r="A2" s="1" t="s">
        <v>58</v>
      </c>
      <c r="B2">
        <v>5.0999999999999996</v>
      </c>
      <c r="C2">
        <v>66.724092754422927</v>
      </c>
      <c r="D2">
        <v>756.92401709111175</v>
      </c>
      <c r="E2">
        <v>280.44169127510162</v>
      </c>
      <c r="F2">
        <v>438.67913252273678</v>
      </c>
      <c r="G2">
        <v>9.7932091434556572</v>
      </c>
      <c r="H2">
        <v>621.92751928768246</v>
      </c>
      <c r="I2">
        <v>487.80635207394471</v>
      </c>
      <c r="J2">
        <v>468.18976651077008</v>
      </c>
      <c r="K2">
        <v>175.64260170058651</v>
      </c>
      <c r="L2">
        <v>381.74972325462181</v>
      </c>
      <c r="M2">
        <v>390.23444307656729</v>
      </c>
      <c r="N2">
        <v>30.154146438495971</v>
      </c>
      <c r="O2">
        <v>756.24094256440355</v>
      </c>
      <c r="P2">
        <v>144.24590398039771</v>
      </c>
      <c r="Q2">
        <v>381.3304205241019</v>
      </c>
      <c r="R2">
        <v>586.24168210940798</v>
      </c>
      <c r="S2">
        <v>492.65048427007281</v>
      </c>
      <c r="T2">
        <v>417.09633507671992</v>
      </c>
      <c r="U2">
        <v>373.72578484073631</v>
      </c>
      <c r="V2">
        <v>238.81604681584139</v>
      </c>
      <c r="W2">
        <v>460.01323039585822</v>
      </c>
      <c r="X2">
        <v>672.60500096460703</v>
      </c>
      <c r="Y2">
        <v>296.75570428835249</v>
      </c>
      <c r="Z2">
        <v>763.20396354355114</v>
      </c>
      <c r="AA2">
        <v>6.0285168953459509</v>
      </c>
      <c r="AB2">
        <v>884.84914495770158</v>
      </c>
      <c r="AC2">
        <v>131.1460310701051</v>
      </c>
      <c r="AD2">
        <v>324.32879207136932</v>
      </c>
      <c r="AE2">
        <v>808.95497630814168</v>
      </c>
      <c r="AF2">
        <v>22.955026061391759</v>
      </c>
      <c r="AG2">
        <v>424.84682201918082</v>
      </c>
      <c r="AH2">
        <v>312.65000241075882</v>
      </c>
      <c r="AI2">
        <v>559.75354774676839</v>
      </c>
    </row>
    <row r="5" spans="1:35" x14ac:dyDescent="0.25">
      <c r="A5" t="s">
        <v>0</v>
      </c>
      <c r="B5" t="s">
        <v>1</v>
      </c>
      <c r="C5" t="s">
        <v>2</v>
      </c>
      <c r="D5" t="s">
        <v>3</v>
      </c>
    </row>
    <row r="6" spans="1:35" x14ac:dyDescent="0.25">
      <c r="A6">
        <v>146</v>
      </c>
      <c r="B6">
        <v>170</v>
      </c>
      <c r="C6">
        <v>185</v>
      </c>
      <c r="D6">
        <v>207</v>
      </c>
    </row>
    <row r="8" spans="1:35" x14ac:dyDescent="0.25">
      <c r="A8">
        <f>B2*A6</f>
        <v>744.59999999999991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ICEV use phase (2)</vt:lpstr>
      <vt:lpstr>ICEV use phase (old)</vt:lpstr>
      <vt:lpstr>BEV use phase</vt:lpstr>
      <vt:lpstr>CFCI</vt:lpstr>
      <vt:lpstr>Sheet2</vt:lpstr>
      <vt:lpstr>Sheet3</vt:lpstr>
      <vt:lpstr>CFPI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Hung</dc:creator>
  <cp:lastModifiedBy>Christine Hung</cp:lastModifiedBy>
  <dcterms:created xsi:type="dcterms:W3CDTF">2018-06-04T07:32:30Z</dcterms:created>
  <dcterms:modified xsi:type="dcterms:W3CDTF">2020-04-17T07:51:33Z</dcterms:modified>
</cp:coreProperties>
</file>