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hrishun\ReDyFEV\ReDyFEV\data\"/>
    </mc:Choice>
  </mc:AlternateContent>
  <xr:revisionPtr revIDLastSave="0" documentId="13_ncr:1_{516C1955-D6E6-48F7-B687-959B7E3CF906}" xr6:coauthVersionLast="46" xr6:coauthVersionMax="46" xr10:uidLastSave="{00000000-0000-0000-0000-000000000000}"/>
  <bookViews>
    <workbookView xWindow="15000" yWindow="-16710" windowWidth="18210" windowHeight="11970" activeTab="3" xr2:uid="{A973D62E-BCCC-41E3-B8CD-7E357DB10B8A}"/>
  </bookViews>
  <sheets>
    <sheet name="readme" sheetId="7" r:id="rId1"/>
    <sheet name="veh_emiss" sheetId="1" r:id="rId2"/>
    <sheet name="alt_energy" sheetId="2" r:id="rId3"/>
    <sheet name="car specs" sheetId="4" r:id="rId4"/>
    <sheet name="2020 mod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4" l="1"/>
  <c r="F23" i="4"/>
  <c r="D23" i="4"/>
  <c r="F18" i="4" l="1"/>
  <c r="G7" i="1"/>
  <c r="C7" i="6"/>
  <c r="D7" i="1"/>
  <c r="F9" i="1"/>
  <c r="G9" i="1"/>
  <c r="D13" i="4"/>
  <c r="E13" i="4"/>
  <c r="D12" i="4"/>
  <c r="D11" i="4"/>
  <c r="D5" i="1"/>
  <c r="F1" i="2"/>
  <c r="G1" i="2"/>
  <c r="H1" i="2"/>
  <c r="E1" i="2"/>
  <c r="E2" i="2"/>
  <c r="F7" i="6"/>
  <c r="G4" i="4" s="1"/>
  <c r="F2" i="1"/>
  <c r="G2" i="2" s="1"/>
  <c r="G2" i="1"/>
  <c r="E2" i="1"/>
  <c r="E3" i="4"/>
  <c r="E23" i="4" s="1"/>
  <c r="E7" i="1"/>
  <c r="E12" i="4"/>
  <c r="E11" i="4"/>
  <c r="F4" i="6"/>
  <c r="D4" i="4" s="1"/>
  <c r="C6" i="6"/>
  <c r="F7" i="1" s="1"/>
  <c r="F6" i="6"/>
  <c r="H6" i="6" s="1"/>
  <c r="F5" i="4" s="1"/>
  <c r="F6" i="4" s="1"/>
  <c r="F3" i="1" s="1"/>
  <c r="F5" i="6"/>
  <c r="E4" i="4" s="1"/>
  <c r="F19" i="4"/>
  <c r="G19" i="4"/>
  <c r="G18" i="4"/>
  <c r="G7" i="6"/>
  <c r="E19" i="4"/>
  <c r="G4" i="1" l="1"/>
  <c r="D18" i="4"/>
  <c r="D9" i="1" s="1"/>
  <c r="D19" i="4"/>
  <c r="F2" i="2"/>
  <c r="H2" i="2"/>
  <c r="H7" i="6"/>
  <c r="G5" i="4" s="1"/>
  <c r="F4" i="4"/>
  <c r="F8" i="4" s="1"/>
  <c r="F7" i="4"/>
  <c r="G7" i="4" l="1"/>
  <c r="G6" i="4"/>
  <c r="G3" i="1" s="1"/>
  <c r="G8" i="4"/>
  <c r="F9" i="4"/>
  <c r="F8" i="1" s="1"/>
  <c r="E4" i="1"/>
  <c r="H4" i="6"/>
  <c r="D5" i="4" s="1"/>
  <c r="H5" i="6"/>
  <c r="E5" i="4" s="1"/>
  <c r="E6" i="4" s="1"/>
  <c r="E3" i="1" s="1"/>
  <c r="L2" i="4"/>
  <c r="D14" i="4" s="1"/>
  <c r="G9" i="4" l="1"/>
  <c r="G8" i="1" s="1"/>
  <c r="D6" i="4"/>
  <c r="D3" i="1" s="1"/>
  <c r="D8" i="4"/>
  <c r="F14" i="4"/>
  <c r="F15" i="4" s="1"/>
  <c r="F10" i="1" s="1"/>
  <c r="F16" i="4"/>
  <c r="F17" i="4" s="1"/>
  <c r="G16" i="4"/>
  <c r="G17" i="4" s="1"/>
  <c r="G14" i="4"/>
  <c r="D16" i="4"/>
  <c r="D17" i="4" s="1"/>
  <c r="D15" i="4"/>
  <c r="D10" i="1" s="1"/>
  <c r="E7" i="4"/>
  <c r="E8" i="4"/>
  <c r="D7" i="4"/>
  <c r="E16" i="4"/>
  <c r="E17" i="4" s="1"/>
  <c r="E14" i="4"/>
  <c r="E15" i="4" s="1"/>
  <c r="E10" i="1" s="1"/>
  <c r="G15" i="4" l="1"/>
  <c r="G10" i="1" s="1"/>
  <c r="E9" i="4"/>
  <c r="E8" i="1" s="1"/>
  <c r="D9" i="4"/>
  <c r="D8" i="1" s="1"/>
  <c r="D12" i="1"/>
  <c r="F12" i="1"/>
  <c r="E12" i="1"/>
  <c r="E18" i="4" l="1"/>
  <c r="E9" i="1" s="1"/>
  <c r="E5" i="1" l="1"/>
  <c r="F5" i="1"/>
  <c r="G5" i="1"/>
  <c r="F4" i="1"/>
  <c r="D4" i="1"/>
  <c r="G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tc={7D31461C-9010-4911-9A56-73609FB9C97F}</author>
  </authors>
  <commentList>
    <comment ref="E2" authorId="0" shapeId="0" xr:uid="{7D31461C-9010-4911-9A56-73609FB9C9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Corresponds to 65 kWhe/kWhc, from Tesla Gigafactory 1 (battery cell production + battery modules and assembly), as per Kurland 2019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tc={A98EC61A-5B57-40CD-905C-B51B9B3850EA}</author>
    <author>tc={7E43DC4A-406E-4876-A394-5D10084095E0}</author>
    <author>tc={4F2364AB-41A7-4EEF-BADD-8E111A3024B3}</author>
    <author>tc={7D39DD9E-651D-4CFC-9F4D-E7164E54DB0A}</author>
  </authors>
  <commentList>
    <comment ref="F4" authorId="0" shapeId="0" xr:uid="{A98EC61A-5B57-40CD-905C-B51B9B3850E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75 kg driver</t>
      </text>
    </comment>
    <comment ref="F10" authorId="1" shapeId="0" xr:uid="{7E43DC4A-406E-4876-A394-5D10084095E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https://www.skoda-auto.no/_doc/e47148c2-45a4-426a-8d8b-7ed6b5d440aa</t>
      </text>
    </comment>
    <comment ref="D11" authorId="2" shapeId="0" xr:uid="{4F2364AB-41A7-4EEF-BADD-8E111A3024B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E11" authorId="3" shapeId="0" xr:uid="{7D39DD9E-651D-4CFC-9F4D-E7164E54DB0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https://www.volkswagen.fr/idhub/content/dam/onehub_pkw/importers/fr/pdf/tarifs/golf_8.pdf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tc={9C2490B2-8A83-4E08-B135-A7E20BB7B2A4}</author>
    <author>tc={3833910D-3CCA-4741-9F18-725F290A95A3}</author>
    <author>tc={FD6D3322-78D7-41A7-A449-791D10C5FD88}</author>
    <author>tc={56777946-8B40-4A71-ACEF-6797D88CD835}</author>
  </authors>
  <commentList>
    <comment ref="F4" authorId="0" shapeId="0" xr:uid="{9C2490B2-8A83-4E08-B135-A7E20BB7B2A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F5" authorId="1" shapeId="0" xr:uid="{3833910D-3CCA-4741-9F18-725F290A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F6" authorId="2" shapeId="0" xr:uid="{FD6D3322-78D7-41A7-A449-791D10C5FD8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driver</t>
      </text>
    </comment>
    <comment ref="G6" authorId="3" shapeId="0" xr:uid="{56777946-8B40-4A71-ACEF-6797D88CD83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https://www.evspecifications.com/en/model/2b8eff
Reply:
    NB: NCM 712
Reply:
    https://www.volkswagen.fr/idhub/content/dam/onehub_pkw/importers/fr/pdf/tarifs/id_4.pdf</t>
      </text>
    </comment>
  </commentList>
</comments>
</file>

<file path=xl/sharedStrings.xml><?xml version="1.0" encoding="utf-8"?>
<sst xmlns="http://schemas.openxmlformats.org/spreadsheetml/2006/main" count="126" uniqueCount="79">
  <si>
    <t>A</t>
  </si>
  <si>
    <t>C</t>
  </si>
  <si>
    <t>BEV</t>
  </si>
  <si>
    <t>Batt size</t>
  </si>
  <si>
    <t>Use phase</t>
  </si>
  <si>
    <t>EOL</t>
  </si>
  <si>
    <t>ICEV</t>
  </si>
  <si>
    <t>t CO2</t>
  </si>
  <si>
    <t>kWh</t>
  </si>
  <si>
    <t>Wh/km</t>
  </si>
  <si>
    <t>Production, ROV</t>
  </si>
  <si>
    <t>Production el, battery</t>
  </si>
  <si>
    <t>Production, RObattery</t>
  </si>
  <si>
    <t>Production</t>
  </si>
  <si>
    <t>g CO2/km</t>
  </si>
  <si>
    <t>cycles</t>
  </si>
  <si>
    <t>Max EFC</t>
  </si>
  <si>
    <t>Curb weight</t>
  </si>
  <si>
    <t>Curb weight, without battery</t>
  </si>
  <si>
    <t>Battery capacity</t>
  </si>
  <si>
    <t>Source</t>
  </si>
  <si>
    <t>MJ/l</t>
  </si>
  <si>
    <t>Tailpipe emissions</t>
  </si>
  <si>
    <t>g CO2/MJ</t>
  </si>
  <si>
    <t>Upstream</t>
  </si>
  <si>
    <t>L/100 km</t>
  </si>
  <si>
    <t>g/km</t>
  </si>
  <si>
    <t>Lifecycle use phase intensity</t>
  </si>
  <si>
    <t>WTW v5</t>
  </si>
  <si>
    <t>MJ/km</t>
  </si>
  <si>
    <t>Battery size</t>
  </si>
  <si>
    <t>WLTP rated consumption</t>
  </si>
  <si>
    <t>Battery weight</t>
  </si>
  <si>
    <t>Curb weight - battery</t>
  </si>
  <si>
    <t>Nissan Leaf e+</t>
  </si>
  <si>
    <t>e-up</t>
  </si>
  <si>
    <t>Gigafactory</t>
  </si>
  <si>
    <t>Ellingsen 2016</t>
  </si>
  <si>
    <t>Energy use, use phase</t>
  </si>
  <si>
    <t>EOL, RoV</t>
  </si>
  <si>
    <t>EOL, batt</t>
  </si>
  <si>
    <t>EOL, total</t>
  </si>
  <si>
    <t>VW ID.4 GTX</t>
  </si>
  <si>
    <t>VW e-up!</t>
  </si>
  <si>
    <t>VW ID.4</t>
  </si>
  <si>
    <t>Audi e-tron S 55 quattro</t>
  </si>
  <si>
    <t>JC</t>
  </si>
  <si>
    <t>JE</t>
  </si>
  <si>
    <t>Skoda Kodiaq 2.0 TSI/190 hp</t>
  </si>
  <si>
    <t>Production emissions, ROV</t>
  </si>
  <si>
    <t>https://www.nissan.fr/content/dam/Nissan/fr/brochures/Brochures-vehicules/eBrochure-LEAF2019.pdf</t>
  </si>
  <si>
    <t>https://www.volkswagen.fr/idhub/content/dam/onehub_pkw/importers/fr/pdf/tarifs/id_4.pdf</t>
  </si>
  <si>
    <t>https://www.volkswagen.fr/idhub/content/dam/onehub_pkw/importers/fr/pdf/tarifs/e_up.pdf</t>
  </si>
  <si>
    <t>Curb weight (without driver)</t>
  </si>
  <si>
    <t>VW up! 1.0 65 hp</t>
  </si>
  <si>
    <t>VW Golf 1.5 TSI OPF 130 hp</t>
  </si>
  <si>
    <t>Battery</t>
  </si>
  <si>
    <t>Production emissions</t>
  </si>
  <si>
    <t>t CO2e/vehicle</t>
  </si>
  <si>
    <t>Well-to-tank emissions, petrol</t>
  </si>
  <si>
    <t>Energy content</t>
  </si>
  <si>
    <t>EOL intensity</t>
  </si>
  <si>
    <t>t CO2e/t car</t>
  </si>
  <si>
    <t>t CO2e/t battery</t>
  </si>
  <si>
    <t>Ellingsen 2016, based on Hawkins 2014</t>
  </si>
  <si>
    <t>Ellingsen 2016, based on Hawkins 2015</t>
  </si>
  <si>
    <t>Vehicle, without battery</t>
  </si>
  <si>
    <t>kg</t>
  </si>
  <si>
    <t>t CO2e</t>
  </si>
  <si>
    <t>-</t>
  </si>
  <si>
    <t>Low</t>
  </si>
  <si>
    <t>High</t>
  </si>
  <si>
    <t>Mean</t>
  </si>
  <si>
    <t>BMW X4 M40i</t>
  </si>
  <si>
    <t>Tailpipe emissions (WLTP)</t>
  </si>
  <si>
    <t>Fuel efficiency (WLTP)</t>
  </si>
  <si>
    <t>Upstream emissions, from fuel efficiency</t>
  </si>
  <si>
    <t>g CO2e/km</t>
  </si>
  <si>
    <t>Allocation shares, BEV (1500 EFC, 180k km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</si>
</sst>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5" borderId="0" xfId="0" applyFill="1"/>
    <xf numFmtId="0" fontId="0" fillId="0" borderId="0" xfId="0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2" fillId="3" borderId="1" xfId="2" applyBorder="1"/>
    <xf numFmtId="0" fontId="0" fillId="0" borderId="0" xfId="0" applyBorder="1" applyAlignment="1">
      <alignment wrapText="1"/>
    </xf>
    <xf numFmtId="0" fontId="3" fillId="0" borderId="0" xfId="3" applyFill="1"/>
    <xf numFmtId="0" fontId="4" fillId="0" borderId="0" xfId="0" applyFont="1" applyFill="1"/>
    <xf numFmtId="0" fontId="0" fillId="4" borderId="0" xfId="0" applyFill="1" applyBorder="1"/>
    <xf numFmtId="0" fontId="0" fillId="0" borderId="0" xfId="0" applyFill="1" applyBorder="1"/>
    <xf numFmtId="0" fontId="4" fillId="0" borderId="0" xfId="0" applyFont="1" applyFill="1" applyBorder="1"/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4" xfId="0" applyFill="1" applyBorder="1"/>
    <xf numFmtId="0" fontId="0" fillId="4" borderId="6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4" borderId="4" xfId="0" applyNumberFormat="1" applyFill="1" applyBorder="1"/>
    <xf numFmtId="2" fontId="0" fillId="4" borderId="0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0" fontId="0" fillId="0" borderId="3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2" fillId="3" borderId="1" xfId="2" applyNumberFormat="1" applyBorder="1"/>
    <xf numFmtId="2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" fontId="0" fillId="0" borderId="0" xfId="0" applyNumberFormat="1" applyBorder="1" applyAlignment="1">
      <alignment horizontal="right"/>
    </xf>
    <xf numFmtId="0" fontId="6" fillId="0" borderId="0" xfId="0" applyFont="1"/>
    <xf numFmtId="0" fontId="5" fillId="0" borderId="0" xfId="0" applyFont="1" applyFill="1"/>
    <xf numFmtId="0" fontId="5" fillId="0" borderId="0" xfId="1" applyFont="1" applyFill="1"/>
    <xf numFmtId="0" fontId="1" fillId="0" borderId="0" xfId="1" applyFill="1"/>
    <xf numFmtId="0" fontId="0" fillId="0" borderId="5" xfId="0" applyBorder="1" applyAlignment="1">
      <alignment wrapText="1"/>
    </xf>
    <xf numFmtId="0" fontId="0" fillId="0" borderId="6" xfId="0" applyFill="1" applyBorder="1"/>
    <xf numFmtId="2" fontId="2" fillId="3" borderId="10" xfId="2" applyNumberFormat="1" applyBorder="1"/>
    <xf numFmtId="0" fontId="0" fillId="0" borderId="9" xfId="0" applyFill="1" applyBorder="1"/>
    <xf numFmtId="0" fontId="0" fillId="6" borderId="0" xfId="0" applyFill="1"/>
    <xf numFmtId="0" fontId="0" fillId="0" borderId="0" xfId="0" applyProtection="1">
      <protection locked="0"/>
    </xf>
    <xf numFmtId="1" fontId="0" fillId="0" borderId="0" xfId="0" applyNumberFormat="1"/>
    <xf numFmtId="0" fontId="0" fillId="0" borderId="0" xfId="0" applyAlignment="1">
      <alignment horizontal="center" wrapText="1"/>
    </xf>
    <xf numFmtId="166" fontId="0" fillId="4" borderId="4" xfId="0" applyNumberFormat="1" applyFill="1" applyBorder="1"/>
    <xf numFmtId="166" fontId="0" fillId="4" borderId="0" xfId="0" applyNumberFormat="1" applyFill="1" applyBorder="1"/>
    <xf numFmtId="166" fontId="0" fillId="4" borderId="6" xfId="0" applyNumberFormat="1" applyFill="1" applyBorder="1"/>
    <xf numFmtId="1" fontId="0" fillId="4" borderId="4" xfId="0" applyNumberFormat="1" applyFill="1" applyBorder="1"/>
    <xf numFmtId="1" fontId="0" fillId="4" borderId="0" xfId="0" applyNumberFormat="1" applyFill="1" applyBorder="1"/>
    <xf numFmtId="1" fontId="0" fillId="4" borderId="6" xfId="0" applyNumberFormat="1" applyFill="1" applyBorder="1"/>
    <xf numFmtId="9" fontId="0" fillId="0" borderId="0" xfId="4" applyFont="1" applyFill="1"/>
    <xf numFmtId="0" fontId="0" fillId="0" borderId="2" xfId="0" applyBorder="1"/>
    <xf numFmtId="164" fontId="0" fillId="0" borderId="3" xfId="0" applyNumberFormat="1" applyBorder="1"/>
    <xf numFmtId="164" fontId="0" fillId="0" borderId="5" xfId="0" applyNumberFormat="1" applyBorder="1"/>
    <xf numFmtId="1" fontId="0" fillId="0" borderId="6" xfId="0" applyNumberFormat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6" xfId="0" applyNumberFormat="1" applyBorder="1"/>
    <xf numFmtId="164" fontId="0" fillId="0" borderId="6" xfId="0" applyNumberFormat="1" applyBorder="1"/>
    <xf numFmtId="1" fontId="0" fillId="0" borderId="6" xfId="0" applyNumberFormat="1" applyFill="1" applyBorder="1"/>
    <xf numFmtId="2" fontId="0" fillId="0" borderId="4" xfId="0" applyNumberFormat="1" applyBorder="1"/>
    <xf numFmtId="1" fontId="0" fillId="0" borderId="4" xfId="0" applyNumberFormat="1" applyBorder="1"/>
    <xf numFmtId="164" fontId="0" fillId="0" borderId="4" xfId="0" applyNumberFormat="1" applyBorder="1"/>
    <xf numFmtId="0" fontId="0" fillId="0" borderId="4" xfId="0" applyFill="1" applyBorder="1"/>
    <xf numFmtId="164" fontId="0" fillId="0" borderId="7" xfId="0" applyNumberFormat="1" applyBorder="1"/>
    <xf numFmtId="164" fontId="0" fillId="0" borderId="2" xfId="0" applyNumberFormat="1" applyBorder="1"/>
    <xf numFmtId="1" fontId="0" fillId="0" borderId="4" xfId="0" applyNumberFormat="1" applyBorder="1" applyAlignment="1">
      <alignment horizontal="right"/>
    </xf>
  </cellXfs>
  <cellStyles count="5">
    <cellStyle name="Bad" xfId="1" builtinId="27"/>
    <cellStyle name="Hyperlink" xfId="3" builtinId="8"/>
    <cellStyle name="Input" xfId="2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333374</xdr:colOff>
      <xdr:row>5</xdr:row>
      <xdr:rowOff>114300</xdr:rowOff>
    </xdr:from>
    <xdr:ext cx="5772151" cy="250350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F422F3-6ABB-4F67-89B7-DC17FC879211}"/>
            </a:ext>
          </a:extLst>
        </xdr:cNvPr>
        <xdr:cNvSpPr txBox="1"/>
      </xdr:nvSpPr>
      <xdr:spPr>
        <a:xfrm>
          <a:off x="942974" y="1066800"/>
          <a:ext cx="5772151" cy="250350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This spreadsheet contains the data read in by ReDyFEV.  The first two</a:t>
          </a:r>
          <a:r>
            <a:rPr lang="en-CA" sz="1100" baseline="0"/>
            <a:t> sheets, shaded in green, are those read by ReDyFEV.</a:t>
          </a:r>
        </a:p>
        <a:p>
          <a:endParaRPr lang="en-CA" sz="1100" baseline="0"/>
        </a:p>
        <a:p>
          <a:r>
            <a:rPr lang="en-CA" sz="1100" baseline="0"/>
            <a:t>Users can study different vehicles and assumptions by modifying the values in this spreadsheet; for example, by changing the fuel efficiency or assumed emissions intensity of vehicles. Note that changing the row or column headers may require corresponding changes to the code.</a:t>
          </a:r>
        </a:p>
        <a:p>
          <a:endParaRPr lang="en-CA" sz="1100"/>
        </a:p>
        <a:p>
          <a:r>
            <a:rPr lang="en-CA" sz="1100"/>
            <a:t>- </a:t>
          </a:r>
          <a:r>
            <a:rPr lang="en-CA" sz="1100" b="1"/>
            <a:t>veh_emiss </a:t>
          </a:r>
          <a:r>
            <a:rPr lang="en-CA" sz="1100"/>
            <a:t>contains the</a:t>
          </a:r>
          <a:r>
            <a:rPr lang="en-CA" sz="1100" baseline="0"/>
            <a:t> emissions data used in calculating  the lifecycle climate impacts of battery electric and internal combustion engine vehicles.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/>
            <a:t>- </a:t>
          </a:r>
          <a:r>
            <a:rPr lang="en-CA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alt_energy </a:t>
          </a:r>
          <a:r>
            <a:rPr lang="en-CA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contains the data for energy intensity scenarios for battery production. The first column is the alternative energy scenario (specified in the BEV_experiments dict in main.py).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>
            <a:effectLst/>
          </a:endParaRPr>
        </a:p>
        <a:p>
          <a:r>
            <a:rPr lang="en-CA" sz="1100"/>
            <a:t>The remaining sheets are helper</a:t>
          </a:r>
          <a:r>
            <a:rPr lang="en-CA" sz="1100" baseline="0"/>
            <a:t> sheets where users can perform intermediate calculations or gather data.</a:t>
          </a:r>
          <a:endParaRPr lang="en-CA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tine Hung" id="{FDFBB03C-7A38-4EF3-A5B0-64708E03A64A}" userId="S::chrishun@ntnu.no::a401f737-0463-4231-bcf0-4f88e0baa0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1-03-05T12:19:43.23" personId="{FDFBB03C-7A38-4EF3-A5B0-64708E03A64A}" id="{7D31461C-9010-4911-9A56-73609FB9C97F}">
    <text>Corresponds to 65 kWhe/kWhc, from Tesla Gigafactory 1 (battery cell production + battery modules and assembly), as per Kurland 2019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" dT="2021-07-31T20:43:07.09" personId="{FDFBB03C-7A38-4EF3-A5B0-64708E03A64A}" id="{A98EC61A-5B57-40CD-905C-B51B9B3850EA}">
    <text>includes 75 kg driver</text>
  </threadedComment>
  <threadedComment ref="F10" dT="2021-08-01T13:59:34.16" personId="{FDFBB03C-7A38-4EF3-A5B0-64708E03A64A}" id="{7E43DC4A-406E-4876-A394-5D10084095E0}">
    <text>https://www.skoda-auto.no/_doc/e47148c2-45a4-426a-8d8b-7ed6b5d440aa</text>
  </threadedComment>
  <threadedComment ref="D11" dT="2021-08-01T13:40:19.17" personId="{FDFBB03C-7A38-4EF3-A5B0-64708E03A64A}" id="{4F2364AB-41A7-4EEF-BADD-8E111A3024B3}">
    <text>without driver</text>
  </threadedComment>
  <threadedComment ref="E11" dT="2021-08-01T13:52:54.23" personId="{FDFBB03C-7A38-4EF3-A5B0-64708E03A64A}" id="{7D39DD9E-651D-4CFC-9F4D-E7164E54DB0A}">
    <text>https://www.volkswagen.fr/idhub/content/dam/onehub_pkw/importers/fr/pdf/tarifs/golf_8.pdf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4" dT="2021-08-01T13:39:10.68" personId="{FDFBB03C-7A38-4EF3-A5B0-64708E03A64A}" id="{9C2490B2-8A83-4E08-B135-A7E20BB7B2A4}">
    <text>without driver</text>
  </threadedComment>
  <threadedComment ref="F5" dT="2021-08-01T13:19:31.72" personId="{FDFBB03C-7A38-4EF3-A5B0-64708E03A64A}" id="{3833910D-3CCA-4741-9F18-725F290A95A3}">
    <text>without driver</text>
  </threadedComment>
  <threadedComment ref="F6" dT="2021-08-01T13:34:10.98" personId="{FDFBB03C-7A38-4EF3-A5B0-64708E03A64A}" id="{FD6D3322-78D7-41A7-A449-791D10C5FD88}">
    <text>without driver</text>
  </threadedComment>
  <threadedComment ref="G6" dT="2021-07-31T13:02:45.60" personId="{FDFBB03C-7A38-4EF3-A5B0-64708E03A64A}" id="{56777946-8B40-4A71-ACEF-6797D88CD835}">
    <text>https://www.evspecifications.com/en/model/2b8eff</text>
  </threadedComment>
  <threadedComment ref="G6" dT="2021-07-31T13:03:06.95" personId="{FDFBB03C-7A38-4EF3-A5B0-64708E03A64A}" id="{E03F3A69-D665-445E-9A62-F5C2D51BCAD0}" parentId="{56777946-8B40-4A71-ACEF-6797D88CD835}">
    <text>NB: NCM 712</text>
  </threadedComment>
  <threadedComment ref="G6" dT="2021-07-31T20:44:11.80" personId="{FDFBB03C-7A38-4EF3-A5B0-64708E03A64A}" id="{E1FF2F7C-6718-4FD8-B8CB-07A8A6D585F6}" parentId="{56777946-8B40-4A71-ACEF-6797D88CD835}">
    <text>https://www.volkswagen.fr/idhub/content/dam/onehub_pkw/importers/fr/pdf/tarifs/id_4.pdf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63FE-AB4E-4363-ADA0-3DF7F0BEE18F}">
  <dimension ref="A1"/>
  <sheetViews>
    <sheetView topLeftCell="A27" workbookViewId="0">
      <selection activeCell="K39" sqref="K39"/>
    </sheetView>
  </sheetViews>
  <sheetFormatPr defaultRowHeight="15" x14ac:dyDescent="0.25"/>
  <cols>
    <col min="1" max="16384" width="9.140625" style="5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J14"/>
  <sheetViews>
    <sheetView workbookViewId="0">
      <selection activeCell="F18" sqref="F18"/>
    </sheetView>
  </sheetViews>
  <sheetFormatPr defaultRowHeight="15" x14ac:dyDescent="0.25"/>
  <cols>
    <col min="2" max="2" width="16.140625" customWidth="1"/>
    <col min="3" max="3" width="9.5703125" bestFit="1" customWidth="1"/>
    <col min="4" max="7" width="10.42578125" customWidth="1"/>
  </cols>
  <sheetData>
    <row r="1" spans="1:10" ht="15.75" thickBot="1" x14ac:dyDescent="0.3">
      <c r="D1" s="46" t="s">
        <v>0</v>
      </c>
      <c r="E1" s="46" t="s">
        <v>1</v>
      </c>
      <c r="F1" s="46" t="s">
        <v>46</v>
      </c>
      <c r="G1" s="46" t="s">
        <v>47</v>
      </c>
    </row>
    <row r="2" spans="1:10" x14ac:dyDescent="0.25">
      <c r="A2" s="65" t="s">
        <v>2</v>
      </c>
      <c r="B2" s="35" t="s">
        <v>3</v>
      </c>
      <c r="C2" s="35" t="s">
        <v>8</v>
      </c>
      <c r="D2" s="65">
        <v>36.799999999999997</v>
      </c>
      <c r="E2" s="35">
        <f>'2020 models'!B5</f>
        <v>62</v>
      </c>
      <c r="F2" s="35">
        <f>'car specs'!F3</f>
        <v>82</v>
      </c>
      <c r="G2" s="71">
        <f>'car specs'!G3</f>
        <v>95</v>
      </c>
    </row>
    <row r="3" spans="1:10" x14ac:dyDescent="0.25">
      <c r="A3" s="9"/>
      <c r="B3" s="10" t="s">
        <v>10</v>
      </c>
      <c r="C3" s="10" t="s">
        <v>7</v>
      </c>
      <c r="D3" s="76">
        <f>'car specs'!D6</f>
        <v>4.7843000000000009</v>
      </c>
      <c r="E3" s="42">
        <f>'car specs'!E6</f>
        <v>6.4543000000000008</v>
      </c>
      <c r="F3" s="42">
        <f>'car specs'!F6</f>
        <v>8.5042999999999989</v>
      </c>
      <c r="G3" s="72">
        <f>'car specs'!G6</f>
        <v>9.8216900000000003</v>
      </c>
      <c r="H3" s="10"/>
      <c r="I3" s="10"/>
      <c r="J3" s="10"/>
    </row>
    <row r="4" spans="1:10" x14ac:dyDescent="0.25">
      <c r="A4" s="9"/>
      <c r="B4" s="10" t="s">
        <v>11</v>
      </c>
      <c r="C4" s="10" t="s">
        <v>8</v>
      </c>
      <c r="D4" s="77">
        <f>SUM(72/3.6, 23)*D2</f>
        <v>1582.3999999999999</v>
      </c>
      <c r="E4" s="43">
        <f>SUM(72/3.6, 23)*E2</f>
        <v>2666</v>
      </c>
      <c r="F4" s="43">
        <f t="shared" ref="F4" si="0">SUM(72/3.6, 23)*F2</f>
        <v>3526</v>
      </c>
      <c r="G4" s="73">
        <f>SUM(72/3.6, 23)*G2</f>
        <v>4085</v>
      </c>
      <c r="H4" s="10"/>
      <c r="I4" s="10"/>
      <c r="J4" s="10"/>
    </row>
    <row r="5" spans="1:10" x14ac:dyDescent="0.25">
      <c r="A5" s="9"/>
      <c r="B5" s="10" t="s">
        <v>12</v>
      </c>
      <c r="C5" s="10" t="s">
        <v>7</v>
      </c>
      <c r="D5" s="78">
        <f>75.0996*D2/1000</f>
        <v>2.7636652799999997</v>
      </c>
      <c r="E5" s="44">
        <f t="shared" ref="E5:G5" si="1">75.0996*E2/1000</f>
        <v>4.6561751999999998</v>
      </c>
      <c r="F5" s="44">
        <f t="shared" si="1"/>
        <v>6.1581672000000003</v>
      </c>
      <c r="G5" s="74">
        <f t="shared" si="1"/>
        <v>7.1344619999999992</v>
      </c>
      <c r="H5" s="10"/>
      <c r="I5" s="10"/>
      <c r="J5" s="10"/>
    </row>
    <row r="6" spans="1:10" x14ac:dyDescent="0.25">
      <c r="A6" s="9"/>
      <c r="B6" s="10" t="s">
        <v>16</v>
      </c>
      <c r="C6" s="10" t="s">
        <v>15</v>
      </c>
      <c r="D6" s="78">
        <v>1500</v>
      </c>
      <c r="E6" s="44">
        <v>1500</v>
      </c>
      <c r="F6" s="44">
        <v>1500</v>
      </c>
      <c r="G6" s="74">
        <v>1500</v>
      </c>
      <c r="H6" s="10"/>
      <c r="I6" s="10"/>
      <c r="J6" s="10"/>
    </row>
    <row r="7" spans="1:10" x14ac:dyDescent="0.25">
      <c r="A7" s="9"/>
      <c r="B7" s="10" t="s">
        <v>4</v>
      </c>
      <c r="C7" s="10" t="s">
        <v>9</v>
      </c>
      <c r="D7" s="79">
        <f>'2020 models'!C4</f>
        <v>145</v>
      </c>
      <c r="E7" s="16">
        <f>'2020 models'!C5</f>
        <v>180</v>
      </c>
      <c r="F7" s="16">
        <f>'2020 models'!C6</f>
        <v>184</v>
      </c>
      <c r="G7" s="75">
        <f>'2020 models'!C7</f>
        <v>272.5</v>
      </c>
      <c r="H7" s="10"/>
      <c r="I7" s="10"/>
      <c r="J7" s="10"/>
    </row>
    <row r="8" spans="1:10" ht="15.75" thickBot="1" x14ac:dyDescent="0.3">
      <c r="A8" s="38"/>
      <c r="B8" s="39" t="s">
        <v>5</v>
      </c>
      <c r="C8" s="39" t="s">
        <v>7</v>
      </c>
      <c r="D8" s="80">
        <f>'car specs'!D9</f>
        <v>0.49948396056859645</v>
      </c>
      <c r="E8" s="69">
        <f>'car specs'!E9</f>
        <v>0.71917333841657127</v>
      </c>
      <c r="F8" s="69">
        <f>'car specs'!F9</f>
        <v>0.92246796879254944</v>
      </c>
      <c r="G8" s="70">
        <f>'car specs'!G9</f>
        <v>1.1161425341076194</v>
      </c>
      <c r="H8" s="10"/>
      <c r="I8" s="10"/>
      <c r="J8" s="10"/>
    </row>
    <row r="9" spans="1:10" x14ac:dyDescent="0.25">
      <c r="A9" s="65" t="s">
        <v>6</v>
      </c>
      <c r="B9" s="35" t="s">
        <v>13</v>
      </c>
      <c r="C9" s="35" t="s">
        <v>7</v>
      </c>
      <c r="D9" s="81">
        <f>'car specs'!D18</f>
        <v>3.5724</v>
      </c>
      <c r="E9" s="66">
        <f>'car specs'!E18</f>
        <v>5.3319999999999999</v>
      </c>
      <c r="F9" s="66">
        <f>'car specs'!F18</f>
        <v>9.2796000000000003</v>
      </c>
      <c r="G9" s="67">
        <f>'car specs'!G18</f>
        <v>11.314500000000001</v>
      </c>
      <c r="H9" s="10"/>
      <c r="I9" s="10"/>
      <c r="J9" s="10"/>
    </row>
    <row r="10" spans="1:10" x14ac:dyDescent="0.25">
      <c r="A10" s="9"/>
      <c r="B10" s="10" t="s">
        <v>4</v>
      </c>
      <c r="C10" s="10" t="s">
        <v>14</v>
      </c>
      <c r="D10" s="82">
        <f>'car specs'!D15</f>
        <v>148.28177579999999</v>
      </c>
      <c r="E10" s="45">
        <f>'car specs'!E15</f>
        <v>167.686916</v>
      </c>
      <c r="F10" s="45">
        <f>'car specs'!F15</f>
        <v>240.1345796</v>
      </c>
      <c r="G10" s="68">
        <f>'car specs'!G15</f>
        <v>261.38971979999997</v>
      </c>
      <c r="H10" s="10"/>
      <c r="I10" s="10"/>
      <c r="J10" s="10"/>
    </row>
    <row r="11" spans="1:10" x14ac:dyDescent="0.25">
      <c r="A11" s="9"/>
      <c r="B11" s="10" t="s">
        <v>5</v>
      </c>
      <c r="C11" s="10" t="s">
        <v>7</v>
      </c>
      <c r="D11" s="9">
        <v>0.3</v>
      </c>
      <c r="E11" s="10">
        <v>0.5</v>
      </c>
      <c r="F11" s="10">
        <v>0.6</v>
      </c>
      <c r="G11" s="37">
        <v>0.7</v>
      </c>
    </row>
    <row r="12" spans="1:10" ht="15.75" thickBot="1" x14ac:dyDescent="0.3">
      <c r="A12" s="38"/>
      <c r="B12" s="39" t="s">
        <v>4</v>
      </c>
      <c r="C12" s="39" t="s">
        <v>7</v>
      </c>
      <c r="D12" s="80">
        <f>D10*180000/1000/1000</f>
        <v>26.690719643999998</v>
      </c>
      <c r="E12" s="69">
        <f t="shared" ref="E12:G12" si="2">E10*180000/1000/1000</f>
        <v>30.183644879999999</v>
      </c>
      <c r="F12" s="69">
        <f t="shared" si="2"/>
        <v>43.224224328000005</v>
      </c>
      <c r="G12" s="70">
        <f t="shared" si="2"/>
        <v>47.050149563999994</v>
      </c>
    </row>
    <row r="14" spans="1:10" x14ac:dyDescent="0.25">
      <c r="D14" s="2"/>
      <c r="E14" s="2"/>
      <c r="F14" s="2"/>
      <c r="G14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596D-5CE4-4504-93FB-8542EA3EC15C}">
  <sheetPr>
    <tabColor theme="9" tint="0.59999389629810485"/>
  </sheetPr>
  <dimension ref="A1:H2"/>
  <sheetViews>
    <sheetView workbookViewId="0">
      <selection activeCell="C11" sqref="C11"/>
    </sheetView>
  </sheetViews>
  <sheetFormatPr defaultRowHeight="15" x14ac:dyDescent="0.25"/>
  <cols>
    <col min="1" max="1" width="13.5703125" bestFit="1" customWidth="1"/>
    <col min="2" max="2" width="4.42578125" bestFit="1" customWidth="1"/>
    <col min="3" max="3" width="20.5703125" bestFit="1" customWidth="1"/>
    <col min="4" max="4" width="9.5703125" customWidth="1"/>
    <col min="5" max="8" width="10.42578125" customWidth="1"/>
  </cols>
  <sheetData>
    <row r="1" spans="1:8" x14ac:dyDescent="0.25">
      <c r="E1" t="str">
        <f>veh_emiss!D1</f>
        <v>A</v>
      </c>
      <c r="F1" t="str">
        <f>veh_emiss!E1</f>
        <v>C</v>
      </c>
      <c r="G1" t="str">
        <f>veh_emiss!F1</f>
        <v>JC</v>
      </c>
      <c r="H1" t="str">
        <f>veh_emiss!G1</f>
        <v>JE</v>
      </c>
    </row>
    <row r="2" spans="1:8" x14ac:dyDescent="0.25">
      <c r="A2" t="s">
        <v>36</v>
      </c>
      <c r="B2" t="s">
        <v>2</v>
      </c>
      <c r="C2" t="s">
        <v>11</v>
      </c>
      <c r="D2" t="s">
        <v>8</v>
      </c>
      <c r="E2">
        <f>65*veh_emiss!D$2</f>
        <v>2392</v>
      </c>
      <c r="F2">
        <f>65*veh_emiss!E$2</f>
        <v>4030</v>
      </c>
      <c r="G2">
        <f>65*veh_emiss!F$2</f>
        <v>5330</v>
      </c>
      <c r="H2">
        <f>65*veh_emiss!G$2</f>
        <v>6175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7DD5-4CCB-468E-A550-C45FDC40C8C5}">
  <dimension ref="A1:Y65"/>
  <sheetViews>
    <sheetView tabSelected="1" topLeftCell="B1" workbookViewId="0">
      <selection activeCell="B18" sqref="B18"/>
    </sheetView>
  </sheetViews>
  <sheetFormatPr defaultRowHeight="15" x14ac:dyDescent="0.25"/>
  <cols>
    <col min="2" max="2" width="45.42578125" customWidth="1"/>
    <col min="3" max="3" width="11" customWidth="1"/>
    <col min="4" max="6" width="10.5703125" bestFit="1" customWidth="1"/>
    <col min="7" max="7" width="11.5703125" bestFit="1" customWidth="1"/>
    <col min="10" max="10" width="22.28515625" customWidth="1"/>
    <col min="13" max="14" width="9.140625" style="16"/>
    <col min="16" max="16" width="20.28515625" customWidth="1"/>
    <col min="17" max="17" width="15.42578125" bestFit="1" customWidth="1"/>
  </cols>
  <sheetData>
    <row r="1" spans="1:25" s="3" customFormat="1" ht="30" x14ac:dyDescent="0.25">
      <c r="D1" s="18" t="s">
        <v>43</v>
      </c>
      <c r="E1" s="19" t="s">
        <v>34</v>
      </c>
      <c r="F1" s="19" t="s">
        <v>44</v>
      </c>
      <c r="G1" s="20" t="s">
        <v>45</v>
      </c>
      <c r="J1" s="7" t="s">
        <v>59</v>
      </c>
      <c r="K1" s="35"/>
      <c r="L1" s="35"/>
      <c r="M1" s="36" t="s">
        <v>20</v>
      </c>
      <c r="N1" s="16"/>
      <c r="O1" s="7"/>
      <c r="P1" s="8"/>
      <c r="Q1" s="8"/>
      <c r="R1" s="8" t="s">
        <v>61</v>
      </c>
      <c r="S1" s="50"/>
      <c r="T1" s="8"/>
      <c r="U1" s="8"/>
      <c r="W1" s="8"/>
      <c r="X1" s="12"/>
      <c r="Y1" s="12"/>
    </row>
    <row r="2" spans="1:25" x14ac:dyDescent="0.25">
      <c r="D2" s="21" t="s">
        <v>0</v>
      </c>
      <c r="E2" s="15" t="s">
        <v>1</v>
      </c>
      <c r="F2" s="15" t="s">
        <v>46</v>
      </c>
      <c r="G2" s="22" t="s">
        <v>47</v>
      </c>
      <c r="J2" s="9" t="s">
        <v>60</v>
      </c>
      <c r="K2" s="10" t="s">
        <v>21</v>
      </c>
      <c r="L2" s="10">
        <f>42.3*0.746</f>
        <v>31.555799999999998</v>
      </c>
      <c r="M2" s="37" t="s">
        <v>28</v>
      </c>
      <c r="O2" s="9" t="s">
        <v>6</v>
      </c>
      <c r="P2" s="16" t="s">
        <v>69</v>
      </c>
      <c r="Q2" s="10" t="s">
        <v>62</v>
      </c>
      <c r="R2" s="11">
        <v>0.37</v>
      </c>
      <c r="S2" s="51" t="s">
        <v>64</v>
      </c>
      <c r="T2" s="10"/>
      <c r="U2" s="10"/>
      <c r="W2" s="10"/>
      <c r="X2" s="10"/>
      <c r="Y2" s="10"/>
    </row>
    <row r="3" spans="1:25" x14ac:dyDescent="0.25">
      <c r="A3" t="s">
        <v>2</v>
      </c>
      <c r="B3" t="s">
        <v>19</v>
      </c>
      <c r="C3" t="s">
        <v>8</v>
      </c>
      <c r="D3" s="21">
        <v>36.799999999999997</v>
      </c>
      <c r="E3" s="15">
        <f>'2020 models'!B5</f>
        <v>62</v>
      </c>
      <c r="F3" s="15">
        <v>82</v>
      </c>
      <c r="G3" s="22">
        <v>95</v>
      </c>
      <c r="J3" s="9" t="s">
        <v>22</v>
      </c>
      <c r="K3" s="10" t="s">
        <v>23</v>
      </c>
      <c r="L3" s="10">
        <v>73.3</v>
      </c>
      <c r="M3" s="37" t="s">
        <v>28</v>
      </c>
      <c r="O3" s="9" t="s">
        <v>2</v>
      </c>
      <c r="P3" s="10" t="s">
        <v>66</v>
      </c>
      <c r="Q3" s="16" t="s">
        <v>62</v>
      </c>
      <c r="R3" s="41">
        <v>0.44886807181889149</v>
      </c>
      <c r="S3" s="51" t="s">
        <v>65</v>
      </c>
      <c r="T3" s="10"/>
      <c r="U3" s="10"/>
      <c r="W3" s="10"/>
      <c r="X3" s="10"/>
      <c r="Y3" s="10"/>
    </row>
    <row r="4" spans="1:25" ht="15.75" thickBot="1" x14ac:dyDescent="0.3">
      <c r="B4" t="s">
        <v>53</v>
      </c>
      <c r="C4" t="s">
        <v>67</v>
      </c>
      <c r="D4" s="21">
        <f>'2020 models'!F4</f>
        <v>1160</v>
      </c>
      <c r="E4" s="15">
        <f>'2020 models'!F5</f>
        <v>1686</v>
      </c>
      <c r="F4" s="15">
        <f>'2020 models'!F6</f>
        <v>2149</v>
      </c>
      <c r="G4" s="22">
        <f>'2020 models'!F7</f>
        <v>2620</v>
      </c>
      <c r="J4" s="38" t="s">
        <v>24</v>
      </c>
      <c r="K4" s="39" t="s">
        <v>23</v>
      </c>
      <c r="L4" s="39">
        <v>17</v>
      </c>
      <c r="M4" s="40" t="s">
        <v>28</v>
      </c>
      <c r="O4" s="38"/>
      <c r="P4" s="39" t="s">
        <v>56</v>
      </c>
      <c r="Q4" s="39" t="s">
        <v>63</v>
      </c>
      <c r="R4" s="52">
        <v>0.36337209302325579</v>
      </c>
      <c r="S4" s="53" t="s">
        <v>37</v>
      </c>
      <c r="T4" s="10"/>
      <c r="U4" s="10"/>
      <c r="W4" s="10"/>
      <c r="X4" s="10"/>
      <c r="Y4" s="10"/>
    </row>
    <row r="5" spans="1:25" x14ac:dyDescent="0.25">
      <c r="B5" t="s">
        <v>18</v>
      </c>
      <c r="C5" t="s">
        <v>67</v>
      </c>
      <c r="D5" s="21">
        <f>'2020 models'!H4</f>
        <v>912</v>
      </c>
      <c r="E5" s="15">
        <f>'2020 models'!H5</f>
        <v>1246</v>
      </c>
      <c r="F5" s="15">
        <f>'2020 models'!H6</f>
        <v>1656</v>
      </c>
      <c r="G5" s="22">
        <f>'2020 models'!H7</f>
        <v>1919.4780000000001</v>
      </c>
      <c r="T5" s="10"/>
      <c r="U5" s="10"/>
      <c r="W5" s="10"/>
      <c r="X5" s="10"/>
      <c r="Y5" s="10"/>
    </row>
    <row r="6" spans="1:25" x14ac:dyDescent="0.25">
      <c r="B6" t="s">
        <v>49</v>
      </c>
      <c r="C6" t="s">
        <v>68</v>
      </c>
      <c r="D6" s="29">
        <f t="shared" ref="D6:G6" si="0">0.005*D5+0.2243</f>
        <v>4.7843000000000009</v>
      </c>
      <c r="E6" s="30">
        <f t="shared" si="0"/>
        <v>6.4543000000000008</v>
      </c>
      <c r="F6" s="30">
        <f>0.005*F5+0.2243</f>
        <v>8.5042999999999989</v>
      </c>
      <c r="G6" s="31">
        <f t="shared" si="0"/>
        <v>9.8216900000000003</v>
      </c>
      <c r="I6" s="10"/>
      <c r="L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25">
      <c r="B7" t="s">
        <v>39</v>
      </c>
      <c r="C7" t="s">
        <v>68</v>
      </c>
      <c r="D7" s="29">
        <f>D5*$R$3/1000</f>
        <v>0.40936768149882902</v>
      </c>
      <c r="E7" s="30">
        <f>E5*$R$3/1000</f>
        <v>0.55928961748633876</v>
      </c>
      <c r="F7" s="30">
        <f>F5*$R$3/1000</f>
        <v>0.74332552693208431</v>
      </c>
      <c r="G7" s="31">
        <f>G5*$R$3/1000</f>
        <v>0.8615923887587823</v>
      </c>
      <c r="I7" s="10"/>
      <c r="J7" s="10"/>
      <c r="K7" s="10"/>
      <c r="L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B8" t="s">
        <v>40</v>
      </c>
      <c r="C8" t="s">
        <v>68</v>
      </c>
      <c r="D8" s="29">
        <f>(D4-D5)*$R$4/1000</f>
        <v>9.0116279069767449E-2</v>
      </c>
      <c r="E8" s="30">
        <f>(E4-E5)*$R$4/1000</f>
        <v>0.15988372093023256</v>
      </c>
      <c r="F8" s="30">
        <f>(F4-F5)*$R$4/1000</f>
        <v>0.1791424418604651</v>
      </c>
      <c r="G8" s="31">
        <f>(G4-G5)*$R$4/1000</f>
        <v>0.25455014534883719</v>
      </c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thickBot="1" x14ac:dyDescent="0.3">
      <c r="B9" t="s">
        <v>41</v>
      </c>
      <c r="C9" t="s">
        <v>68</v>
      </c>
      <c r="D9" s="32">
        <f>SUM(D7:D8)</f>
        <v>0.49948396056859645</v>
      </c>
      <c r="E9" s="33">
        <f t="shared" ref="E9:G9" si="1">SUM(E7:E8)</f>
        <v>0.71917333841657127</v>
      </c>
      <c r="F9" s="33">
        <f>SUM(F7:F8)</f>
        <v>0.92246796879254944</v>
      </c>
      <c r="G9" s="34">
        <f t="shared" si="1"/>
        <v>1.1161425341076194</v>
      </c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45" x14ac:dyDescent="0.25">
      <c r="D10" s="18" t="s">
        <v>54</v>
      </c>
      <c r="E10" s="19" t="s">
        <v>55</v>
      </c>
      <c r="F10" s="19" t="s">
        <v>48</v>
      </c>
      <c r="G10" s="20" t="s">
        <v>73</v>
      </c>
      <c r="P10" s="10"/>
      <c r="Q10" s="10"/>
      <c r="R10" s="10"/>
      <c r="S10" s="10"/>
      <c r="T10" s="10"/>
      <c r="U10" s="10"/>
      <c r="V10" s="12"/>
      <c r="W10" s="10"/>
      <c r="X10" s="10"/>
      <c r="Y10" s="10"/>
    </row>
    <row r="11" spans="1:25" x14ac:dyDescent="0.25">
      <c r="A11" t="s">
        <v>6</v>
      </c>
      <c r="B11" t="s">
        <v>53</v>
      </c>
      <c r="D11" s="21">
        <f>991-75</f>
        <v>916</v>
      </c>
      <c r="E11" s="15">
        <f>1315-75</f>
        <v>1240</v>
      </c>
      <c r="F11" s="15">
        <v>1628</v>
      </c>
      <c r="G11" s="22">
        <v>1985</v>
      </c>
      <c r="P11" s="10"/>
      <c r="Q11" s="10"/>
      <c r="S11" s="10"/>
      <c r="T11" s="10"/>
      <c r="U11" s="10"/>
      <c r="V11" s="10"/>
      <c r="W11" s="10"/>
      <c r="X11" s="10"/>
      <c r="Y11" s="10"/>
    </row>
    <row r="12" spans="1:25" x14ac:dyDescent="0.25">
      <c r="B12" t="s">
        <v>74</v>
      </c>
      <c r="C12" t="s">
        <v>26</v>
      </c>
      <c r="D12" s="21">
        <f>AVERAGE(116,123.7)</f>
        <v>119.85</v>
      </c>
      <c r="E12" s="15">
        <f>AVERAGE(122,149)</f>
        <v>135.5</v>
      </c>
      <c r="F12" s="15">
        <v>194</v>
      </c>
      <c r="G12" s="22">
        <v>211.5</v>
      </c>
      <c r="H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B13" t="s">
        <v>75</v>
      </c>
      <c r="C13" t="s">
        <v>25</v>
      </c>
      <c r="D13" s="21">
        <f>AVERAGE(5.1,5.5)</f>
        <v>5.3</v>
      </c>
      <c r="E13" s="15">
        <f>AVERAGE(5.4,6.6)</f>
        <v>6</v>
      </c>
      <c r="F13" s="15">
        <v>8.6</v>
      </c>
      <c r="G13" s="22">
        <v>9.3000000000000007</v>
      </c>
      <c r="H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B14" t="s">
        <v>76</v>
      </c>
      <c r="C14" t="s">
        <v>77</v>
      </c>
      <c r="D14" s="23">
        <f>D13*$L$2*$L$4/100</f>
        <v>28.431775799999997</v>
      </c>
      <c r="E14" s="24">
        <f>E13*$L$2*$L$4/100</f>
        <v>32.186915999999997</v>
      </c>
      <c r="F14" s="24">
        <f>F13*$L$2*$L$4/100</f>
        <v>46.134579599999995</v>
      </c>
      <c r="G14" s="25">
        <f>G13*$L$2*$L$4/100</f>
        <v>49.889719799999995</v>
      </c>
      <c r="H14" t="s">
        <v>28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B15" t="s">
        <v>27</v>
      </c>
      <c r="C15" t="s">
        <v>14</v>
      </c>
      <c r="D15" s="61">
        <f>SUM(D14,D12)</f>
        <v>148.28177579999999</v>
      </c>
      <c r="E15" s="62">
        <f>SUM(E14,E12)</f>
        <v>167.686916</v>
      </c>
      <c r="F15" s="62">
        <f>SUM(F14,F12)</f>
        <v>240.1345796</v>
      </c>
      <c r="G15" s="63">
        <f>SUM(G14,G12)</f>
        <v>261.38971979999997</v>
      </c>
      <c r="H15" t="s">
        <v>28</v>
      </c>
      <c r="I15" s="10"/>
      <c r="J15" s="10"/>
      <c r="K15" s="10"/>
      <c r="L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B16" t="s">
        <v>38</v>
      </c>
      <c r="C16" t="s">
        <v>29</v>
      </c>
      <c r="D16" s="58">
        <f>D13/100*$L$2</f>
        <v>1.6724573999999999</v>
      </c>
      <c r="E16" s="59">
        <f>E13/100*$L$2</f>
        <v>1.8933479999999998</v>
      </c>
      <c r="F16" s="59">
        <f>F13/100*$L$2</f>
        <v>2.7137987999999997</v>
      </c>
      <c r="G16" s="60">
        <f>G13/100*$L$2</f>
        <v>2.9346894000000003</v>
      </c>
      <c r="H16" t="s">
        <v>28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25" x14ac:dyDescent="0.25">
      <c r="C17" t="s">
        <v>9</v>
      </c>
      <c r="D17" s="23">
        <f>D16/3.6*1000</f>
        <v>464.57149999999996</v>
      </c>
      <c r="E17" s="24">
        <f t="shared" ref="E17" si="2">E16/3.6*1000</f>
        <v>525.92999999999995</v>
      </c>
      <c r="F17" s="24">
        <f t="shared" ref="F17" si="3">F16/3.6*1000</f>
        <v>753.83299999999986</v>
      </c>
      <c r="G17" s="25">
        <f t="shared" ref="G17" si="4">G16/3.6*1000</f>
        <v>815.19150000000002</v>
      </c>
      <c r="H17" s="10"/>
      <c r="I17" s="10"/>
      <c r="J17" s="10"/>
      <c r="K17" s="10"/>
      <c r="L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25" x14ac:dyDescent="0.25">
      <c r="B18" t="s">
        <v>57</v>
      </c>
      <c r="C18" t="s">
        <v>58</v>
      </c>
      <c r="D18" s="23">
        <f>3.9*(D11/1000)</f>
        <v>3.5724</v>
      </c>
      <c r="E18" s="24">
        <f>4.3*(E11/1000)</f>
        <v>5.3319999999999999</v>
      </c>
      <c r="F18" s="24">
        <f>5.7*(F11/1000)</f>
        <v>9.2796000000000003</v>
      </c>
      <c r="G18" s="25">
        <f>5.7*(G11/1000)</f>
        <v>11.314500000000001</v>
      </c>
      <c r="H18" s="10"/>
      <c r="I18" s="10"/>
      <c r="J18" s="10"/>
      <c r="K18" s="10"/>
      <c r="L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2:25" x14ac:dyDescent="0.25">
      <c r="B19" t="s">
        <v>5</v>
      </c>
      <c r="C19" t="s">
        <v>68</v>
      </c>
      <c r="D19" s="23">
        <f>D11/1000*$R$2</f>
        <v>0.33892</v>
      </c>
      <c r="E19" s="24">
        <f>E11/1000*$R$2</f>
        <v>0.45879999999999999</v>
      </c>
      <c r="F19" s="24">
        <f>F11/1000*$R$2</f>
        <v>0.60236000000000001</v>
      </c>
      <c r="G19" s="25">
        <f>G11/1000*$R$2</f>
        <v>0.73445000000000005</v>
      </c>
      <c r="H19" s="10"/>
      <c r="I19" s="10"/>
      <c r="J19" s="10"/>
      <c r="K19" s="10"/>
      <c r="L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2:25" ht="15.75" thickBot="1" x14ac:dyDescent="0.3">
      <c r="D20" s="26"/>
      <c r="E20" s="27"/>
      <c r="F20" s="27"/>
      <c r="G20" s="28"/>
    </row>
    <row r="22" spans="2:25" x14ac:dyDescent="0.25">
      <c r="B22" s="1"/>
      <c r="C22" s="1"/>
      <c r="D22" s="1"/>
      <c r="E22" s="6"/>
      <c r="F22" s="1"/>
      <c r="G22" s="1"/>
    </row>
    <row r="23" spans="2:25" x14ac:dyDescent="0.25">
      <c r="B23" s="1" t="s">
        <v>78</v>
      </c>
      <c r="C23" s="1"/>
      <c r="D23" s="64">
        <f>180000/(1500*0.9*D3*1000/veh_emiss!D7)</f>
        <v>0.52536231884057982</v>
      </c>
      <c r="E23" s="64">
        <f>180000/(1500*0.9*E3*1000/veh_emiss!E7)</f>
        <v>0.38709677419354838</v>
      </c>
      <c r="F23" s="64">
        <f>180000/(1500*0.9*F3*1000/veh_emiss!F7)</f>
        <v>0.29918699186991871</v>
      </c>
      <c r="G23" s="64">
        <f>180000/(1500*0.9*G3*1000/veh_emiss!G7)</f>
        <v>0.38245614035087716</v>
      </c>
    </row>
    <row r="24" spans="2:25" x14ac:dyDescent="0.25">
      <c r="B24" s="1"/>
      <c r="C24" s="1"/>
      <c r="D24" s="1"/>
      <c r="E24" s="1"/>
      <c r="F24" s="1"/>
      <c r="G24" s="1"/>
    </row>
    <row r="25" spans="2:25" x14ac:dyDescent="0.25">
      <c r="B25" s="1"/>
      <c r="C25" s="1"/>
      <c r="D25" s="1"/>
      <c r="E25" s="1"/>
      <c r="F25" s="1"/>
      <c r="G25" s="1"/>
    </row>
    <row r="26" spans="2:25" x14ac:dyDescent="0.25">
      <c r="B26" s="1"/>
      <c r="C26" s="1"/>
      <c r="D26" s="1"/>
      <c r="E26" s="1"/>
      <c r="F26" s="1"/>
      <c r="G26" s="1"/>
    </row>
    <row r="27" spans="2:25" x14ac:dyDescent="0.25">
      <c r="B27" s="1"/>
      <c r="C27" s="1"/>
      <c r="D27" s="6"/>
      <c r="E27" s="1"/>
      <c r="F27" s="1"/>
      <c r="G27" s="1"/>
    </row>
    <row r="28" spans="2:25" x14ac:dyDescent="0.25">
      <c r="B28" s="1"/>
      <c r="C28" s="1"/>
      <c r="D28" s="1"/>
      <c r="E28" s="1"/>
      <c r="F28" s="1"/>
      <c r="G28" s="1"/>
    </row>
    <row r="29" spans="2:25" x14ac:dyDescent="0.25">
      <c r="B29" s="1"/>
      <c r="C29" s="1"/>
      <c r="D29" s="1"/>
      <c r="E29" s="1"/>
      <c r="F29" s="1"/>
      <c r="G29" s="1"/>
    </row>
    <row r="30" spans="2:25" x14ac:dyDescent="0.25">
      <c r="B30" s="1"/>
      <c r="C30" s="1"/>
      <c r="D30" s="1"/>
      <c r="E30" s="1"/>
      <c r="F30" s="1"/>
      <c r="G30" s="1"/>
    </row>
    <row r="33" spans="5:19" x14ac:dyDescent="0.25">
      <c r="H33" s="1"/>
      <c r="I33" s="1"/>
      <c r="J33" s="1"/>
      <c r="K33" s="1"/>
      <c r="L33" s="1"/>
      <c r="O33" s="1"/>
      <c r="P33" s="1"/>
      <c r="Q33" s="1"/>
      <c r="R33" s="13"/>
    </row>
    <row r="34" spans="5:19" x14ac:dyDescent="0.25">
      <c r="H34" s="1"/>
      <c r="I34" s="1"/>
      <c r="J34" s="1"/>
      <c r="K34" s="1"/>
      <c r="L34" s="1"/>
      <c r="O34" s="1"/>
      <c r="P34" s="1"/>
      <c r="Q34" s="1"/>
      <c r="R34" s="1"/>
    </row>
    <row r="35" spans="5:19" x14ac:dyDescent="0.25">
      <c r="H35" s="1"/>
      <c r="I35" s="1"/>
      <c r="J35" s="1"/>
      <c r="K35" s="1"/>
      <c r="L35" s="1"/>
      <c r="O35" s="1"/>
      <c r="P35" s="1"/>
      <c r="Q35" s="1"/>
      <c r="R35" s="1"/>
    </row>
    <row r="36" spans="5:19" x14ac:dyDescent="0.25">
      <c r="H36" s="1"/>
      <c r="I36" s="1"/>
      <c r="J36" s="1"/>
      <c r="K36" s="1"/>
      <c r="L36" s="14"/>
      <c r="M36" s="17"/>
      <c r="N36" s="17"/>
      <c r="O36" s="14"/>
      <c r="P36" s="1"/>
      <c r="Q36" s="1"/>
      <c r="R36" s="1"/>
    </row>
    <row r="37" spans="5:19" x14ac:dyDescent="0.25">
      <c r="E37" s="55"/>
      <c r="H37" s="1"/>
      <c r="I37" s="1"/>
      <c r="J37" s="1"/>
      <c r="K37" s="1"/>
      <c r="L37" s="1"/>
      <c r="O37" s="1"/>
      <c r="P37" s="1"/>
      <c r="Q37" s="1"/>
      <c r="R37" s="1"/>
    </row>
    <row r="38" spans="5:19" x14ac:dyDescent="0.25">
      <c r="H38" s="1"/>
      <c r="I38" s="1"/>
      <c r="J38" s="1"/>
      <c r="K38" s="1"/>
      <c r="L38" s="1"/>
      <c r="O38" s="1"/>
      <c r="P38" s="1"/>
      <c r="Q38" s="1"/>
      <c r="R38" s="1"/>
    </row>
    <row r="39" spans="5:19" x14ac:dyDescent="0.25">
      <c r="H39" s="1"/>
      <c r="I39" s="1"/>
      <c r="J39" s="1"/>
      <c r="K39" s="1"/>
      <c r="L39" s="1"/>
      <c r="O39" s="1"/>
      <c r="P39" s="1"/>
      <c r="Q39" s="1"/>
      <c r="R39" s="1"/>
    </row>
    <row r="40" spans="5:19" x14ac:dyDescent="0.25">
      <c r="H40" s="1"/>
      <c r="I40" s="1"/>
      <c r="J40" s="1"/>
      <c r="K40" s="1"/>
      <c r="L40" s="1"/>
      <c r="O40" s="1"/>
      <c r="P40" s="1"/>
      <c r="Q40" s="1"/>
      <c r="R40" s="1"/>
    </row>
    <row r="41" spans="5:19" x14ac:dyDescent="0.25">
      <c r="H41" s="1"/>
      <c r="I41" s="1"/>
      <c r="J41" s="1"/>
      <c r="K41" s="1"/>
      <c r="L41" s="1"/>
      <c r="O41" s="1"/>
      <c r="P41" s="1"/>
      <c r="Q41" s="1"/>
      <c r="R41" s="1"/>
    </row>
    <row r="42" spans="5:19" x14ac:dyDescent="0.25">
      <c r="H42" s="1"/>
      <c r="I42" s="1"/>
      <c r="J42" s="1"/>
      <c r="K42" s="1"/>
      <c r="L42" s="1"/>
      <c r="O42" s="1"/>
      <c r="P42" s="1"/>
      <c r="Q42" s="1"/>
      <c r="R42" s="1"/>
    </row>
    <row r="47" spans="5:19" x14ac:dyDescent="0.25">
      <c r="J47" s="16"/>
      <c r="K47" s="16"/>
      <c r="L47" s="16"/>
      <c r="O47" s="16"/>
      <c r="P47" s="16"/>
      <c r="Q47" s="16"/>
      <c r="R47" s="16"/>
      <c r="S47" s="16"/>
    </row>
    <row r="48" spans="5:19" x14ac:dyDescent="0.25">
      <c r="G48" s="10"/>
      <c r="H48" s="10"/>
      <c r="I48" s="10"/>
      <c r="J48" s="16"/>
      <c r="K48" s="16"/>
      <c r="L48" s="16"/>
      <c r="O48" s="16"/>
      <c r="P48" s="16"/>
      <c r="Q48" s="16"/>
      <c r="R48" s="16"/>
      <c r="S48" s="16"/>
    </row>
    <row r="49" spans="7:19" x14ac:dyDescent="0.25">
      <c r="G49" s="10"/>
      <c r="H49" s="10"/>
      <c r="I49" s="10"/>
      <c r="J49" s="16"/>
      <c r="K49" s="16"/>
      <c r="L49" s="16"/>
      <c r="O49" s="16"/>
      <c r="P49" s="16"/>
      <c r="Q49" s="16"/>
      <c r="R49" s="16"/>
      <c r="S49" s="16"/>
    </row>
    <row r="50" spans="7:19" x14ac:dyDescent="0.25">
      <c r="G50" s="10"/>
      <c r="H50" s="10"/>
      <c r="I50" s="10"/>
      <c r="J50" s="16"/>
      <c r="K50" s="16"/>
      <c r="L50" s="16"/>
      <c r="O50" s="16"/>
      <c r="P50" s="16"/>
      <c r="Q50" s="16"/>
      <c r="R50" s="16"/>
      <c r="S50" s="16"/>
    </row>
    <row r="51" spans="7:19" x14ac:dyDescent="0.25">
      <c r="G51" s="10"/>
      <c r="H51" s="10"/>
      <c r="I51" s="10"/>
      <c r="J51" s="16"/>
      <c r="K51" s="16"/>
      <c r="L51" s="16"/>
      <c r="O51" s="16"/>
      <c r="P51" s="16"/>
      <c r="Q51" s="16"/>
      <c r="R51" s="16"/>
      <c r="S51" s="16"/>
    </row>
    <row r="52" spans="7:19" x14ac:dyDescent="0.25">
      <c r="G52" s="10"/>
      <c r="H52" s="10"/>
      <c r="I52" s="10"/>
      <c r="J52" s="16"/>
      <c r="K52" s="16"/>
      <c r="L52" s="16"/>
      <c r="O52" s="16"/>
      <c r="P52" s="16"/>
      <c r="Q52" s="16"/>
      <c r="R52" s="16"/>
      <c r="S52" s="16"/>
    </row>
    <row r="53" spans="7:19" x14ac:dyDescent="0.25">
      <c r="G53" s="10"/>
      <c r="H53" s="10"/>
      <c r="I53" s="10"/>
      <c r="J53" s="16"/>
      <c r="K53" s="16"/>
      <c r="L53" s="16"/>
      <c r="O53" s="16"/>
      <c r="P53" s="16"/>
      <c r="Q53" s="16"/>
      <c r="R53" s="16"/>
      <c r="S53" s="16"/>
    </row>
    <row r="54" spans="7:19" x14ac:dyDescent="0.25">
      <c r="G54" s="10"/>
      <c r="H54" s="10"/>
      <c r="I54" s="10"/>
      <c r="J54" s="16"/>
      <c r="K54" s="16"/>
      <c r="L54" s="16"/>
      <c r="O54" s="16"/>
      <c r="P54" s="16"/>
      <c r="Q54" s="16"/>
      <c r="R54" s="16"/>
      <c r="S54" s="16"/>
    </row>
    <row r="55" spans="7:19" x14ac:dyDescent="0.25">
      <c r="G55" s="10"/>
      <c r="H55" s="10"/>
      <c r="I55" s="10"/>
      <c r="J55" s="10"/>
      <c r="K55" s="10"/>
      <c r="L55" s="10"/>
      <c r="O55" s="10"/>
      <c r="P55" s="10"/>
      <c r="Q55" s="10"/>
      <c r="R55" s="10"/>
      <c r="S55" s="10"/>
    </row>
    <row r="56" spans="7:19" x14ac:dyDescent="0.25">
      <c r="G56" s="10"/>
      <c r="H56" s="10"/>
      <c r="I56" s="10"/>
      <c r="J56" s="10"/>
      <c r="K56" s="10"/>
      <c r="L56" s="10"/>
      <c r="O56" s="10"/>
      <c r="P56" s="10"/>
      <c r="Q56" s="10"/>
      <c r="R56" s="10"/>
      <c r="S56" s="10"/>
    </row>
    <row r="57" spans="7:19" x14ac:dyDescent="0.25">
      <c r="G57" s="10"/>
      <c r="H57" s="10"/>
      <c r="I57" s="10"/>
      <c r="J57" s="10"/>
      <c r="K57" s="10"/>
      <c r="L57" s="10"/>
      <c r="O57" s="10"/>
      <c r="P57" s="10"/>
      <c r="Q57" s="10"/>
      <c r="R57" s="10"/>
      <c r="S57" s="10"/>
    </row>
    <row r="58" spans="7:19" x14ac:dyDescent="0.25">
      <c r="G58" s="10"/>
      <c r="H58" s="10"/>
      <c r="I58" s="10"/>
      <c r="J58" s="10"/>
      <c r="K58" s="10"/>
      <c r="L58" s="10"/>
      <c r="O58" s="10"/>
      <c r="P58" s="10"/>
      <c r="Q58" s="10"/>
      <c r="R58" s="10"/>
      <c r="S58" s="10"/>
    </row>
    <row r="59" spans="7:19" x14ac:dyDescent="0.25">
      <c r="G59" s="10"/>
      <c r="H59" s="10"/>
      <c r="I59" s="10"/>
      <c r="J59" s="10"/>
      <c r="K59" s="10"/>
      <c r="L59" s="10"/>
      <c r="O59" s="10"/>
      <c r="P59" s="10"/>
      <c r="Q59" s="10"/>
      <c r="R59" s="10"/>
      <c r="S59" s="10"/>
    </row>
    <row r="60" spans="7:19" x14ac:dyDescent="0.25">
      <c r="G60" s="10"/>
      <c r="H60" s="10"/>
      <c r="I60" s="10"/>
      <c r="J60" s="10"/>
      <c r="K60" s="10"/>
      <c r="L60" s="10"/>
      <c r="O60" s="10"/>
      <c r="P60" s="10"/>
      <c r="Q60" s="10"/>
      <c r="R60" s="10"/>
      <c r="S60" s="10"/>
    </row>
    <row r="61" spans="7:19" x14ac:dyDescent="0.25">
      <c r="G61" s="10"/>
      <c r="H61" s="10"/>
      <c r="I61" s="10"/>
      <c r="J61" s="10"/>
      <c r="K61" s="10"/>
      <c r="L61" s="10"/>
      <c r="O61" s="10"/>
      <c r="P61" s="10"/>
      <c r="Q61" s="10"/>
      <c r="R61" s="10"/>
      <c r="S61" s="10"/>
    </row>
    <row r="62" spans="7:19" x14ac:dyDescent="0.25">
      <c r="G62" s="10"/>
      <c r="H62" s="10"/>
      <c r="I62" s="10"/>
      <c r="J62" s="10"/>
      <c r="K62" s="10"/>
      <c r="L62" s="10"/>
      <c r="O62" s="10"/>
      <c r="P62" s="10"/>
      <c r="Q62" s="10"/>
      <c r="R62" s="10"/>
      <c r="S62" s="10"/>
    </row>
    <row r="63" spans="7:19" x14ac:dyDescent="0.25">
      <c r="G63" s="10"/>
      <c r="H63" s="10"/>
      <c r="I63" s="10"/>
      <c r="J63" s="10"/>
      <c r="K63" s="10"/>
      <c r="L63" s="10"/>
      <c r="O63" s="10"/>
      <c r="P63" s="10"/>
      <c r="Q63" s="10"/>
      <c r="R63" s="10"/>
      <c r="S63" s="10"/>
    </row>
    <row r="64" spans="7:19" x14ac:dyDescent="0.25">
      <c r="G64" s="10"/>
      <c r="H64" s="10"/>
      <c r="I64" s="10"/>
      <c r="J64" s="10"/>
      <c r="K64" s="10"/>
      <c r="L64" s="10"/>
      <c r="O64" s="10"/>
      <c r="P64" s="10"/>
      <c r="Q64" s="10"/>
      <c r="R64" s="10"/>
      <c r="S64" s="10"/>
    </row>
    <row r="65" spans="7:19" x14ac:dyDescent="0.25">
      <c r="G65" s="10"/>
      <c r="H65" s="10"/>
      <c r="I65" s="10"/>
      <c r="J65" s="10"/>
      <c r="K65" s="10"/>
      <c r="L65" s="10"/>
      <c r="O65" s="10"/>
      <c r="P65" s="10"/>
      <c r="Q65" s="10"/>
      <c r="R65" s="10"/>
      <c r="S65" s="10"/>
    </row>
  </sheetData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2C82-EB00-4A5D-A27B-5772CF4BA5F1}">
  <dimension ref="A1:L29"/>
  <sheetViews>
    <sheetView workbookViewId="0">
      <selection activeCell="C20" sqref="C20"/>
    </sheetView>
  </sheetViews>
  <sheetFormatPr defaultRowHeight="15" x14ac:dyDescent="0.25"/>
  <cols>
    <col min="1" max="1" width="37.140625" customWidth="1"/>
  </cols>
  <sheetData>
    <row r="1" spans="1:12" x14ac:dyDescent="0.25">
      <c r="C1" s="57" t="s">
        <v>31</v>
      </c>
      <c r="D1" s="57"/>
      <c r="E1" s="57"/>
    </row>
    <row r="2" spans="1:12" s="3" customFormat="1" ht="45" x14ac:dyDescent="0.25">
      <c r="B2" s="3" t="s">
        <v>30</v>
      </c>
      <c r="C2" s="3" t="s">
        <v>72</v>
      </c>
      <c r="D2" s="3" t="s">
        <v>70</v>
      </c>
      <c r="E2" s="3" t="s">
        <v>71</v>
      </c>
      <c r="F2" s="3" t="s">
        <v>17</v>
      </c>
      <c r="G2" s="3" t="s">
        <v>32</v>
      </c>
      <c r="H2" s="3" t="s">
        <v>33</v>
      </c>
      <c r="J2" s="3" t="s">
        <v>20</v>
      </c>
    </row>
    <row r="3" spans="1:12" x14ac:dyDescent="0.25">
      <c r="A3" s="5"/>
      <c r="B3" s="5" t="s">
        <v>8</v>
      </c>
      <c r="C3" s="5" t="s">
        <v>9</v>
      </c>
      <c r="D3" s="5" t="s">
        <v>9</v>
      </c>
      <c r="E3" s="5" t="s">
        <v>9</v>
      </c>
      <c r="F3" s="5" t="s">
        <v>67</v>
      </c>
      <c r="G3" s="5" t="s">
        <v>67</v>
      </c>
      <c r="H3" s="5" t="s">
        <v>67</v>
      </c>
    </row>
    <row r="4" spans="1:12" x14ac:dyDescent="0.25">
      <c r="A4" t="s">
        <v>35</v>
      </c>
      <c r="B4">
        <v>36.799999999999997</v>
      </c>
      <c r="C4">
        <v>145</v>
      </c>
      <c r="F4">
        <f>1235-75</f>
        <v>1160</v>
      </c>
      <c r="G4">
        <v>248</v>
      </c>
      <c r="H4">
        <f>F4-G4</f>
        <v>912</v>
      </c>
      <c r="J4" t="s">
        <v>52</v>
      </c>
    </row>
    <row r="5" spans="1:12" x14ac:dyDescent="0.25">
      <c r="A5" t="s">
        <v>34</v>
      </c>
      <c r="B5">
        <v>62</v>
      </c>
      <c r="C5">
        <v>180</v>
      </c>
      <c r="F5">
        <f>AVERAGE(1731,1791)-75</f>
        <v>1686</v>
      </c>
      <c r="G5">
        <v>440</v>
      </c>
      <c r="H5">
        <f t="shared" ref="H5" si="0">F5-G5</f>
        <v>1246</v>
      </c>
      <c r="J5" t="s">
        <v>50</v>
      </c>
    </row>
    <row r="6" spans="1:12" x14ac:dyDescent="0.25">
      <c r="A6" t="s">
        <v>42</v>
      </c>
      <c r="B6">
        <v>82</v>
      </c>
      <c r="C6">
        <f>AVERAGE(182, 186)</f>
        <v>184</v>
      </c>
      <c r="F6">
        <f>2224-75</f>
        <v>2149</v>
      </c>
      <c r="G6" s="4">
        <v>493</v>
      </c>
      <c r="H6">
        <f>F6-G6</f>
        <v>1656</v>
      </c>
      <c r="J6" t="s">
        <v>51</v>
      </c>
    </row>
    <row r="7" spans="1:12" x14ac:dyDescent="0.25">
      <c r="A7" t="s">
        <v>45</v>
      </c>
      <c r="B7">
        <v>95</v>
      </c>
      <c r="C7" s="56">
        <f>AVERAGE(D7:E7)</f>
        <v>272.5</v>
      </c>
      <c r="D7">
        <v>261</v>
      </c>
      <c r="E7">
        <v>284</v>
      </c>
      <c r="F7">
        <f>2695-75</f>
        <v>2620</v>
      </c>
      <c r="G7">
        <f>1543*0.454</f>
        <v>700.52200000000005</v>
      </c>
      <c r="H7">
        <f>F7-G7</f>
        <v>1919.4780000000001</v>
      </c>
    </row>
    <row r="8" spans="1:12" x14ac:dyDescent="0.25">
      <c r="A8" s="5"/>
      <c r="B8" s="5"/>
      <c r="C8" s="5"/>
      <c r="D8" s="5"/>
      <c r="E8" s="5"/>
      <c r="F8" s="5"/>
      <c r="G8" s="5"/>
      <c r="H8" s="5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7"/>
      <c r="B25" s="47"/>
      <c r="C25" s="47"/>
      <c r="D25" s="47"/>
      <c r="E25" s="47"/>
      <c r="F25" s="47"/>
      <c r="G25" s="48"/>
      <c r="H25" s="47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49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49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49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1">
    <mergeCell ref="C1:E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veh_emiss</vt:lpstr>
      <vt:lpstr>alt_energy</vt:lpstr>
      <vt:lpstr>car specs</vt:lpstr>
      <vt:lpstr>2020 models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Hung</dc:creator>
  <cp:lastModifiedBy>Christine Hung</cp:lastModifiedBy>
  <dcterms:created xsi:type="dcterms:W3CDTF">2018-06-04T07:32:30Z</dcterms:created>
  <dcterms:modified xsi:type="dcterms:W3CDTF">2021-08-25T20:56:11Z</dcterms:modified>
</cp:coreProperties>
</file>