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Aca_Courseware\Java FullStack Web Developer\Java\FTF_FullJavaWebDev_v2.0\ORM\"/>
    </mc:Choice>
  </mc:AlternateContent>
  <bookViews>
    <workbookView xWindow="0" yWindow="0" windowWidth="28800" windowHeight="12300"/>
  </bookViews>
  <sheets>
    <sheet name="ORM_Schedule" sheetId="11" r:id="rId1"/>
    <sheet name="DV-IDENTITY-0" sheetId="10" state="veryHidden" r:id="rId2"/>
  </sheets>
  <definedNames>
    <definedName name="_xlnm._FilterDatabase" localSheetId="0" hidden="1">ORM_Schedule!$A$2:$J$41</definedName>
    <definedName name="_xlnm._FilterDatabase" hidden="1">#REF!</definedName>
  </definedNames>
  <calcPr calcId="162913"/>
</workbook>
</file>

<file path=xl/calcChain.xml><?xml version="1.0" encoding="utf-8"?>
<calcChain xmlns="http://schemas.openxmlformats.org/spreadsheetml/2006/main">
  <c r="H44" i="11" l="1"/>
  <c r="H45" i="11"/>
  <c r="H46" i="11"/>
  <c r="H47" i="11"/>
  <c r="H48" i="11"/>
  <c r="H43" i="11"/>
  <c r="H52" i="11"/>
  <c r="H51" i="11"/>
  <c r="A1" i="10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H49" i="11" l="1"/>
  <c r="I47" i="11" s="1"/>
  <c r="I45" i="11"/>
  <c r="I43" i="11" l="1"/>
  <c r="I48" i="11"/>
  <c r="I46" i="11"/>
  <c r="I44" i="11"/>
  <c r="I49" i="11"/>
</calcChain>
</file>

<file path=xl/sharedStrings.xml><?xml version="1.0" encoding="utf-8"?>
<sst xmlns="http://schemas.openxmlformats.org/spreadsheetml/2006/main" count="225" uniqueCount="90">
  <si>
    <t>Concept/Lecture</t>
  </si>
  <si>
    <t>Assignment/Lab</t>
  </si>
  <si>
    <t>Test/Quiz</t>
  </si>
  <si>
    <t>Guides/Review</t>
  </si>
  <si>
    <t>Final Test</t>
  </si>
  <si>
    <t>Delivery Type</t>
  </si>
  <si>
    <t>Content</t>
  </si>
  <si>
    <t>Training Materials / Logistics &amp; General Notes
(Required, For Reference, etc.)</t>
  </si>
  <si>
    <t>Total</t>
  </si>
  <si>
    <t>Exam</t>
  </si>
  <si>
    <t>AAAAAH/rVCM=</t>
  </si>
  <si>
    <t>AAAAAH/rVCQ=</t>
  </si>
  <si>
    <t>AAAAAH/rVCU=</t>
  </si>
  <si>
    <t>Training Unit/Chapter</t>
  </si>
  <si>
    <t>Lecture</t>
  </si>
  <si>
    <t>Learning Objectives</t>
  </si>
  <si>
    <t>Training Format</t>
  </si>
  <si>
    <t>Offline</t>
  </si>
  <si>
    <t>Seminar/Workshop</t>
  </si>
  <si>
    <t>Hibernate Introduction</t>
  </si>
  <si>
    <t>Hibernate Mapping</t>
  </si>
  <si>
    <t>K4SD</t>
  </si>
  <si>
    <t>H2SD</t>
  </si>
  <si>
    <t>- Dạng bài tập học viên tự giải
- Mỗi assignment có 3 types: S - Short (thời gian hoàn thành &lt;60 phút, M - Medium (thời gian hoàn thành 60-&lt;=90 phút), L - Long (thời gian hoàn thành &gt;90 phút)</t>
  </si>
  <si>
    <t>Assignment 1</t>
  </si>
  <si>
    <t>Assignment 2</t>
  </si>
  <si>
    <t>Topic Exam</t>
  </si>
  <si>
    <t>Theory Part</t>
  </si>
  <si>
    <t>Practice Part</t>
  </si>
  <si>
    <t>Session 1</t>
  </si>
  <si>
    <t>Lecture 01</t>
  </si>
  <si>
    <t>ORM.S.A101</t>
  </si>
  <si>
    <t>Session 2</t>
  </si>
  <si>
    <t>Session 3</t>
  </si>
  <si>
    <t>Session 4</t>
  </si>
  <si>
    <t>Hibernate Validator</t>
  </si>
  <si>
    <t>Session 5</t>
  </si>
  <si>
    <t>Hibernate Caching</t>
  </si>
  <si>
    <t>Session 6</t>
  </si>
  <si>
    <t>Homework</t>
  </si>
  <si>
    <t>ORM.L.A101</t>
  </si>
  <si>
    <t>`</t>
  </si>
  <si>
    <t>Lab 1</t>
  </si>
  <si>
    <t>Lab 2</t>
  </si>
  <si>
    <t>Lab 4</t>
  </si>
  <si>
    <t>Lab 3</t>
  </si>
  <si>
    <t>Duration (hours)</t>
  </si>
  <si>
    <t>Session</t>
  </si>
  <si>
    <t>Online Lecture</t>
  </si>
  <si>
    <t>Course Introduction</t>
  </si>
  <si>
    <t>Syllabus</t>
  </si>
  <si>
    <t>Hibernate Introduction
Hibernate Advantages
Hibernate Architecture
Core Objects
Configuration
Session and SessionFactory</t>
  </si>
  <si>
    <t>Practice</t>
  </si>
  <si>
    <t>Code Demo/Offline Practice time</t>
  </si>
  <si>
    <t>Hibernate Introduction/Lecture Quiz</t>
  </si>
  <si>
    <t>Annotations
Hibernate relationship
Collection Mapping
Lazy loading and Eager loading
Hibernate Application
Hibernate Mapping</t>
  </si>
  <si>
    <t>Hibernate Mapping/Lecture Quiz</t>
  </si>
  <si>
    <t>Queries Intro
Native SQL
HQL
Proxy Object
Get and Load method
Save, Persist, Update, Merge, SaveOrUpdate
Hibernate Criteria Query Language
Advantage of HCQL
Criteria interface
Restrictions class</t>
  </si>
  <si>
    <t>Hibernate Queries and Criteria/Lecture Quiz</t>
  </si>
  <si>
    <t>Assignment</t>
  </si>
  <si>
    <t>ORM.L.A101 (con't)</t>
  </si>
  <si>
    <t>Hibernate Queries</t>
  </si>
  <si>
    <t>Hibernate Criteria Query Language
Advantage of HCQL
Criteria interface
Restrictions class</t>
  </si>
  <si>
    <t>ORM.L.L101 (Con't)</t>
  </si>
  <si>
    <t>ORM.L.L101</t>
  </si>
  <si>
    <t>Criteria Query Language</t>
  </si>
  <si>
    <t>Named Query (@NamedQueries and @NamedQuery)
Validation annotations
Validating Ranges
Validating Strings
Hibernate validation @Pattern</t>
  </si>
  <si>
    <t>Hibernate Validator/Lecture Quiz</t>
  </si>
  <si>
    <t>Caching in Hibernate
First Level Cache
Second Level Cache
Query Cache</t>
  </si>
  <si>
    <t>Hibernate Caching/Lecture Quiz</t>
  </si>
  <si>
    <t>ORM.L.L401</t>
  </si>
  <si>
    <t>ORM.L.L301</t>
  </si>
  <si>
    <t>ORM.L.L201</t>
  </si>
  <si>
    <t>https://codelearn.io/learning/hibernate-orm</t>
  </si>
  <si>
    <t>Homework/Online</t>
  </si>
  <si>
    <t>Unit06_Hibernate Caching.pptx</t>
  </si>
  <si>
    <t>Unit05_Hibernate Validator.pptx</t>
  </si>
  <si>
    <t>Unit04_Criteria Query Language.pptx</t>
  </si>
  <si>
    <t>Unit03_Hibernate Queries.pptx</t>
  </si>
  <si>
    <t>Unit02_Hibernate Mapping.pptx</t>
  </si>
  <si>
    <t>Unit01_Hibernate Introduction.pptx</t>
  </si>
  <si>
    <t>Sesson 8</t>
  </si>
  <si>
    <t>Day 1</t>
  </si>
  <si>
    <t>Day 2</t>
  </si>
  <si>
    <t>Day 3</t>
  </si>
  <si>
    <t>Day 4</t>
  </si>
  <si>
    <t>Day 5</t>
  </si>
  <si>
    <t>Day 6</t>
  </si>
  <si>
    <t>Hoàn thành bài tập</t>
  </si>
  <si>
    <t>Chấm bài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</si>
</sst>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4.9989318521683403E-2"/>
      <name val="Arial"/>
      <family val="2"/>
    </font>
    <font>
      <sz val="6"/>
      <name val="ＭＳ Ｐゴシック"/>
      <family val="3"/>
      <charset val="128"/>
    </font>
    <font>
      <sz val="10"/>
      <name val="Cambria"/>
      <family val="3"/>
      <charset val="128"/>
      <scheme val="major"/>
    </font>
    <font>
      <sz val="10"/>
      <color theme="1"/>
      <name val="Cambria"/>
      <family val="3"/>
      <charset val="128"/>
      <scheme val="major"/>
    </font>
    <font>
      <sz val="10"/>
      <color rgb="FF000000"/>
      <name val="Cambria"/>
      <family val="3"/>
      <charset val="128"/>
      <scheme val="major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3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8" fillId="0" borderId="0" xfId="2"/>
    <xf numFmtId="9" fontId="2" fillId="0" borderId="0" xfId="3" applyFont="1"/>
    <xf numFmtId="0" fontId="5" fillId="3" borderId="1" xfId="2" applyFont="1" applyFill="1" applyBorder="1"/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6" fillId="3" borderId="0" xfId="2" applyFont="1" applyFill="1" applyAlignment="1">
      <alignment horizontal="right"/>
    </xf>
    <xf numFmtId="9" fontId="6" fillId="3" borderId="1" xfId="3" applyNumberFormat="1" applyFont="1" applyFill="1" applyBorder="1" applyAlignment="1">
      <alignment horizontal="left"/>
    </xf>
    <xf numFmtId="0" fontId="5" fillId="3" borderId="0" xfId="2" applyFont="1" applyFill="1"/>
    <xf numFmtId="0" fontId="5" fillId="3" borderId="3" xfId="2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left" vertical="top"/>
    </xf>
    <xf numFmtId="0" fontId="6" fillId="2" borderId="4" xfId="0" applyNumberFormat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2" fontId="6" fillId="2" borderId="4" xfId="2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/>
    </xf>
    <xf numFmtId="0" fontId="0" fillId="0" borderId="4" xfId="0" applyBorder="1" applyAlignment="1">
      <alignment wrapText="1"/>
    </xf>
    <xf numFmtId="0" fontId="6" fillId="2" borderId="4" xfId="0" quotePrefix="1" applyFont="1" applyFill="1" applyBorder="1" applyAlignment="1">
      <alignment horizontal="justify" vertical="top" wrapText="1"/>
    </xf>
    <xf numFmtId="0" fontId="6" fillId="2" borderId="5" xfId="0" applyNumberFormat="1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/>
    </xf>
    <xf numFmtId="0" fontId="6" fillId="2" borderId="6" xfId="2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top"/>
    </xf>
    <xf numFmtId="0" fontId="6" fillId="2" borderId="3" xfId="0" applyFont="1" applyFill="1" applyBorder="1" applyAlignment="1">
      <alignment vertical="top"/>
    </xf>
    <xf numFmtId="0" fontId="6" fillId="2" borderId="4" xfId="2" applyFont="1" applyFill="1" applyBorder="1" applyAlignment="1">
      <alignment vertical="top" wrapText="1"/>
    </xf>
    <xf numFmtId="0" fontId="6" fillId="2" borderId="5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vertical="top"/>
    </xf>
    <xf numFmtId="2" fontId="6" fillId="0" borderId="4" xfId="2" applyNumberFormat="1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left" vertical="top" wrapText="1"/>
    </xf>
    <xf numFmtId="0" fontId="10" fillId="2" borderId="4" xfId="0" applyNumberFormat="1" applyFont="1" applyFill="1" applyBorder="1" applyAlignment="1">
      <alignment vertical="top" wrapText="1"/>
    </xf>
    <xf numFmtId="0" fontId="10" fillId="2" borderId="3" xfId="0" applyNumberFormat="1" applyFont="1" applyFill="1" applyBorder="1" applyAlignment="1">
      <alignment horizontal="left" vertical="center" wrapText="1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1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6" fillId="2" borderId="1" xfId="2" applyFont="1" applyFill="1" applyBorder="1" applyAlignment="1">
      <alignment horizontal="left" vertical="top"/>
    </xf>
    <xf numFmtId="2" fontId="5" fillId="3" borderId="3" xfId="2" applyNumberFormat="1" applyFont="1" applyFill="1" applyBorder="1" applyAlignment="1">
      <alignment horizontal="center" vertical="center" wrapText="1"/>
    </xf>
    <xf numFmtId="2" fontId="12" fillId="2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top"/>
    </xf>
    <xf numFmtId="2" fontId="12" fillId="2" borderId="4" xfId="0" applyNumberFormat="1" applyFont="1" applyFill="1" applyBorder="1" applyAlignment="1">
      <alignment horizontal="center" vertical="top" wrapText="1"/>
    </xf>
    <xf numFmtId="2" fontId="14" fillId="0" borderId="4" xfId="0" applyNumberFormat="1" applyFont="1" applyBorder="1" applyAlignment="1">
      <alignment horizontal="center" vertical="top"/>
    </xf>
    <xf numFmtId="2" fontId="12" fillId="2" borderId="3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top"/>
    </xf>
    <xf numFmtId="2" fontId="6" fillId="3" borderId="0" xfId="2" applyNumberFormat="1" applyFont="1" applyFill="1"/>
    <xf numFmtId="2" fontId="6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2" fontId="6" fillId="3" borderId="0" xfId="2" applyNumberFormat="1" applyFont="1" applyFill="1" applyAlignment="1">
      <alignment horizontal="right"/>
    </xf>
    <xf numFmtId="0" fontId="9" fillId="2" borderId="5" xfId="1" applyFill="1" applyBorder="1" applyAlignment="1" applyProtection="1">
      <alignment horizontal="justify" vertical="top" wrapText="1"/>
    </xf>
    <xf numFmtId="0" fontId="9" fillId="2" borderId="5" xfId="1" applyFill="1" applyBorder="1" applyAlignment="1" applyProtection="1">
      <alignment vertical="top"/>
    </xf>
    <xf numFmtId="0" fontId="0" fillId="0" borderId="4" xfId="0" applyFont="1" applyBorder="1" applyAlignment="1">
      <alignment horizontal="left" vertical="top"/>
    </xf>
    <xf numFmtId="2" fontId="12" fillId="2" borderId="5" xfId="0" applyNumberFormat="1" applyFont="1" applyFill="1" applyBorder="1" applyAlignment="1">
      <alignment horizontal="center" vertical="top" wrapText="1"/>
    </xf>
    <xf numFmtId="2" fontId="6" fillId="2" borderId="5" xfId="2" applyNumberFormat="1" applyFont="1" applyFill="1" applyBorder="1" applyAlignment="1">
      <alignment horizontal="center" vertical="center"/>
    </xf>
    <xf numFmtId="0" fontId="9" fillId="0" borderId="5" xfId="1" applyBorder="1" applyAlignment="1" applyProtection="1">
      <alignment wrapText="1"/>
    </xf>
    <xf numFmtId="0" fontId="6" fillId="2" borderId="3" xfId="2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0" fillId="2" borderId="3" xfId="0" applyFont="1" applyFill="1" applyBorder="1" applyAlignment="1">
      <alignment vertical="top"/>
    </xf>
    <xf numFmtId="2" fontId="10" fillId="0" borderId="3" xfId="0" applyNumberFormat="1" applyFont="1" applyBorder="1" applyAlignment="1">
      <alignment horizontal="center" vertical="top"/>
    </xf>
    <xf numFmtId="0" fontId="10" fillId="2" borderId="3" xfId="1" applyNumberFormat="1" applyFont="1" applyFill="1" applyBorder="1" applyAlignment="1" applyProtection="1">
      <alignment vertical="top" wrapText="1"/>
    </xf>
    <xf numFmtId="2" fontId="13" fillId="0" borderId="4" xfId="0" applyNumberFormat="1" applyFont="1" applyFill="1" applyBorder="1" applyAlignment="1">
      <alignment horizontal="center" vertical="top"/>
    </xf>
    <xf numFmtId="2" fontId="14" fillId="0" borderId="4" xfId="0" applyNumberFormat="1" applyFont="1" applyFill="1" applyBorder="1" applyAlignment="1">
      <alignment horizontal="center" vertical="top"/>
    </xf>
    <xf numFmtId="2" fontId="15" fillId="2" borderId="3" xfId="0" applyNumberFormat="1" applyFont="1" applyFill="1" applyBorder="1" applyAlignment="1">
      <alignment horizontal="center" vertical="top"/>
    </xf>
    <xf numFmtId="2" fontId="12" fillId="0" borderId="4" xfId="0" applyNumberFormat="1" applyFont="1" applyFill="1" applyBorder="1" applyAlignment="1">
      <alignment horizontal="center" vertical="top"/>
    </xf>
    <xf numFmtId="0" fontId="6" fillId="2" borderId="6" xfId="2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/>
    </xf>
    <xf numFmtId="2" fontId="13" fillId="0" borderId="6" xfId="0" applyNumberFormat="1" applyFont="1" applyBorder="1" applyAlignment="1">
      <alignment horizontal="center" vertical="top"/>
    </xf>
    <xf numFmtId="2" fontId="6" fillId="2" borderId="6" xfId="2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2" fontId="6" fillId="3" borderId="1" xfId="2" applyNumberFormat="1" applyFont="1" applyFill="1" applyBorder="1" applyAlignment="1">
      <alignment horizontal="right" vertical="center"/>
    </xf>
    <xf numFmtId="0" fontId="6" fillId="2" borderId="1" xfId="0" applyNumberFormat="1" applyFont="1" applyFill="1" applyBorder="1" applyAlignment="1">
      <alignment vertical="top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top"/>
    </xf>
    <xf numFmtId="0" fontId="9" fillId="2" borderId="1" xfId="1" applyFill="1" applyBorder="1" applyAlignment="1" applyProtection="1">
      <alignment vertical="top"/>
    </xf>
    <xf numFmtId="2" fontId="12" fillId="2" borderId="9" xfId="0" applyNumberFormat="1" applyFont="1" applyFill="1" applyBorder="1" applyAlignment="1">
      <alignment horizontal="center" vertical="center" wrapText="1"/>
    </xf>
    <xf numFmtId="2" fontId="12" fillId="2" borderId="2" xfId="0" applyNumberFormat="1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top"/>
    </xf>
    <xf numFmtId="0" fontId="6" fillId="2" borderId="8" xfId="2" applyFont="1" applyFill="1" applyBorder="1" applyAlignment="1">
      <alignment horizontal="center" vertical="top"/>
    </xf>
    <xf numFmtId="0" fontId="6" fillId="2" borderId="2" xfId="2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/>
    </xf>
    <xf numFmtId="0" fontId="7" fillId="3" borderId="0" xfId="2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7" xfId="2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 customBuiltin="1"/>
    <cellStyle name="Normal 2" xfId="2"/>
    <cellStyle name="Normal 2 2" xfId="4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learn.io/learning/hibernate-or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delearn.io/learning/hibernate-orm" TargetMode="External"/><Relationship Id="rId1" Type="http://schemas.openxmlformats.org/officeDocument/2006/relationships/hyperlink" Target="https://codelearn.io/learning/hibernate-orm" TargetMode="External"/><Relationship Id="rId6" Type="http://schemas.openxmlformats.org/officeDocument/2006/relationships/hyperlink" Target="https://codelearn.io/learning/hibernate-orm" TargetMode="External"/><Relationship Id="rId5" Type="http://schemas.openxmlformats.org/officeDocument/2006/relationships/hyperlink" Target="https://codelearn.io/learning/hibernate-orm" TargetMode="External"/><Relationship Id="rId4" Type="http://schemas.openxmlformats.org/officeDocument/2006/relationships/hyperlink" Target="https://codelearn.io/learning/hibernate-or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4"/>
  <sheetViews>
    <sheetView tabSelected="1" zoomScale="85" zoomScaleNormal="85" zoomScaleSheetLayoutView="100" workbookViewId="0">
      <pane ySplit="2" topLeftCell="A3" activePane="bottomLeft" state="frozen"/>
      <selection pane="bottomLeft" activeCell="F12" sqref="F12"/>
    </sheetView>
  </sheetViews>
  <sheetFormatPr defaultColWidth="9" defaultRowHeight="12.75"/>
  <cols>
    <col min="1" max="1" width="8.28515625" style="4" customWidth="1"/>
    <col min="2" max="2" width="18.28515625" style="4" customWidth="1"/>
    <col min="3" max="3" width="9.42578125" style="5" customWidth="1"/>
    <col min="4" max="4" width="15.42578125" style="5" customWidth="1"/>
    <col min="5" max="5" width="37" style="4" customWidth="1"/>
    <col min="6" max="6" width="10.42578125" style="76" customWidth="1"/>
    <col min="7" max="7" width="14.85546875" style="4" customWidth="1"/>
    <col min="8" max="8" width="9.140625" style="50" customWidth="1"/>
    <col min="9" max="9" width="15.85546875" style="6" customWidth="1"/>
    <col min="10" max="10" width="59.42578125" style="6" customWidth="1"/>
    <col min="11" max="16384" width="9" style="4"/>
  </cols>
  <sheetData>
    <row r="1" spans="1:10" ht="36.75" customHeight="1">
      <c r="A1" s="96" t="e">
        <f>#REF! &amp; " - Training Schedule"</f>
        <v>#REF!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42" customHeight="1">
      <c r="A2" s="97" t="s">
        <v>13</v>
      </c>
      <c r="B2" s="97"/>
      <c r="C2" s="9" t="s">
        <v>47</v>
      </c>
      <c r="D2" s="9" t="s">
        <v>14</v>
      </c>
      <c r="E2" s="36" t="s">
        <v>6</v>
      </c>
      <c r="F2" s="10" t="s">
        <v>15</v>
      </c>
      <c r="G2" s="9" t="s">
        <v>5</v>
      </c>
      <c r="H2" s="39" t="s">
        <v>46</v>
      </c>
      <c r="I2" s="9" t="s">
        <v>16</v>
      </c>
      <c r="J2" s="9" t="s">
        <v>7</v>
      </c>
    </row>
    <row r="3" spans="1:10">
      <c r="A3" s="111" t="s">
        <v>82</v>
      </c>
      <c r="B3" s="105" t="s">
        <v>19</v>
      </c>
      <c r="C3" s="110" t="s">
        <v>29</v>
      </c>
      <c r="D3" s="11"/>
      <c r="E3" s="12" t="s">
        <v>49</v>
      </c>
      <c r="F3" s="70"/>
      <c r="G3" s="13" t="s">
        <v>0</v>
      </c>
      <c r="H3" s="40">
        <v>0.5</v>
      </c>
      <c r="I3" s="30" t="s">
        <v>17</v>
      </c>
      <c r="J3" s="15" t="s">
        <v>50</v>
      </c>
    </row>
    <row r="4" spans="1:10" ht="76.5">
      <c r="A4" s="112"/>
      <c r="B4" s="106"/>
      <c r="C4" s="86"/>
      <c r="D4" s="11" t="s">
        <v>14</v>
      </c>
      <c r="E4" s="16" t="s">
        <v>51</v>
      </c>
      <c r="F4" s="70" t="s">
        <v>21</v>
      </c>
      <c r="G4" s="17" t="s">
        <v>0</v>
      </c>
      <c r="H4" s="41">
        <v>1.5</v>
      </c>
      <c r="I4" s="14" t="s">
        <v>17</v>
      </c>
      <c r="J4" s="37" t="s">
        <v>80</v>
      </c>
    </row>
    <row r="5" spans="1:10">
      <c r="A5" s="112"/>
      <c r="B5" s="106"/>
      <c r="C5" s="86"/>
      <c r="D5" s="11" t="s">
        <v>52</v>
      </c>
      <c r="E5" s="53" t="s">
        <v>53</v>
      </c>
      <c r="F5" s="70" t="s">
        <v>21</v>
      </c>
      <c r="G5" s="17" t="s">
        <v>3</v>
      </c>
      <c r="H5" s="42">
        <v>1</v>
      </c>
      <c r="I5" s="14" t="s">
        <v>17</v>
      </c>
      <c r="J5" s="18"/>
    </row>
    <row r="6" spans="1:10" ht="51">
      <c r="A6" s="112"/>
      <c r="B6" s="106"/>
      <c r="C6" s="86"/>
      <c r="D6" s="31" t="s">
        <v>24</v>
      </c>
      <c r="E6" s="32" t="s">
        <v>31</v>
      </c>
      <c r="F6" s="70" t="s">
        <v>21</v>
      </c>
      <c r="G6" s="17" t="s">
        <v>1</v>
      </c>
      <c r="H6" s="43">
        <v>1.5</v>
      </c>
      <c r="I6" s="14" t="s">
        <v>39</v>
      </c>
      <c r="J6" s="19" t="s">
        <v>23</v>
      </c>
    </row>
    <row r="7" spans="1:10" ht="29.25" customHeight="1">
      <c r="A7" s="112"/>
      <c r="B7" s="106"/>
      <c r="C7" s="86"/>
      <c r="D7" s="31" t="s">
        <v>42</v>
      </c>
      <c r="E7" s="32" t="s">
        <v>64</v>
      </c>
      <c r="F7" s="70" t="s">
        <v>21</v>
      </c>
      <c r="G7" s="17" t="s">
        <v>1</v>
      </c>
      <c r="H7" s="43">
        <v>1</v>
      </c>
      <c r="I7" s="14" t="s">
        <v>39</v>
      </c>
      <c r="J7" s="19"/>
    </row>
    <row r="8" spans="1:10">
      <c r="A8" s="112"/>
      <c r="B8" s="89"/>
      <c r="C8" s="87"/>
      <c r="D8" s="28" t="s">
        <v>48</v>
      </c>
      <c r="E8" s="20" t="s">
        <v>54</v>
      </c>
      <c r="F8" s="72" t="s">
        <v>21</v>
      </c>
      <c r="G8" s="21" t="s">
        <v>0</v>
      </c>
      <c r="H8" s="54">
        <v>1</v>
      </c>
      <c r="I8" s="55" t="s">
        <v>39</v>
      </c>
      <c r="J8" s="56" t="s">
        <v>73</v>
      </c>
    </row>
    <row r="9" spans="1:10" s="8" customFormat="1">
      <c r="A9" s="112"/>
      <c r="B9" s="107" t="s">
        <v>20</v>
      </c>
      <c r="C9" s="85" t="s">
        <v>32</v>
      </c>
      <c r="D9" s="57"/>
      <c r="E9" s="58"/>
      <c r="F9" s="73"/>
      <c r="G9" s="59"/>
      <c r="H9" s="60"/>
      <c r="I9" s="60"/>
      <c r="J9" s="61"/>
    </row>
    <row r="10" spans="1:10" ht="76.5">
      <c r="A10" s="112"/>
      <c r="B10" s="108"/>
      <c r="C10" s="86"/>
      <c r="D10" s="11" t="s">
        <v>14</v>
      </c>
      <c r="E10" s="16" t="s">
        <v>55</v>
      </c>
      <c r="F10" s="74" t="s">
        <v>22</v>
      </c>
      <c r="G10" s="17" t="s">
        <v>0</v>
      </c>
      <c r="H10" s="41">
        <v>1.25</v>
      </c>
      <c r="I10" s="14" t="s">
        <v>17</v>
      </c>
      <c r="J10" s="37" t="s">
        <v>79</v>
      </c>
    </row>
    <row r="11" spans="1:10">
      <c r="A11" s="112"/>
      <c r="B11" s="108"/>
      <c r="C11" s="86"/>
      <c r="D11" s="11" t="s">
        <v>52</v>
      </c>
      <c r="E11" s="53" t="s">
        <v>53</v>
      </c>
      <c r="F11" s="70" t="s">
        <v>22</v>
      </c>
      <c r="G11" s="17" t="s">
        <v>3</v>
      </c>
      <c r="H11" s="42">
        <v>1</v>
      </c>
      <c r="I11" s="14" t="s">
        <v>17</v>
      </c>
      <c r="J11" s="18"/>
    </row>
    <row r="12" spans="1:10" ht="51">
      <c r="A12" s="112"/>
      <c r="B12" s="108"/>
      <c r="C12" s="86"/>
      <c r="D12" s="31" t="s">
        <v>25</v>
      </c>
      <c r="E12" s="32" t="s">
        <v>40</v>
      </c>
      <c r="F12" s="70" t="s">
        <v>22</v>
      </c>
      <c r="G12" s="17" t="s">
        <v>1</v>
      </c>
      <c r="H12" s="43">
        <v>2</v>
      </c>
      <c r="I12" s="14" t="s">
        <v>39</v>
      </c>
      <c r="J12" s="19" t="s">
        <v>23</v>
      </c>
    </row>
    <row r="13" spans="1:10" ht="18.95" customHeight="1">
      <c r="A13" s="112"/>
      <c r="B13" s="108"/>
      <c r="C13" s="86"/>
      <c r="D13" s="31" t="s">
        <v>42</v>
      </c>
      <c r="E13" s="32" t="s">
        <v>63</v>
      </c>
      <c r="F13" s="70" t="s">
        <v>22</v>
      </c>
      <c r="G13" s="17" t="s">
        <v>1</v>
      </c>
      <c r="H13" s="43">
        <v>1</v>
      </c>
      <c r="I13" s="14" t="s">
        <v>39</v>
      </c>
      <c r="J13" s="19"/>
    </row>
    <row r="14" spans="1:10" ht="18.95" customHeight="1">
      <c r="A14" s="113"/>
      <c r="B14" s="109"/>
      <c r="C14" s="87"/>
      <c r="D14" s="28" t="s">
        <v>48</v>
      </c>
      <c r="E14" s="20" t="s">
        <v>56</v>
      </c>
      <c r="F14" s="72" t="s">
        <v>22</v>
      </c>
      <c r="G14" s="21" t="s">
        <v>0</v>
      </c>
      <c r="H14" s="54">
        <v>1</v>
      </c>
      <c r="I14" s="55" t="s">
        <v>39</v>
      </c>
      <c r="J14" s="56" t="s">
        <v>73</v>
      </c>
    </row>
    <row r="15" spans="1:10" s="8" customFormat="1">
      <c r="A15" s="102" t="s">
        <v>83</v>
      </c>
      <c r="B15" s="107" t="s">
        <v>61</v>
      </c>
      <c r="C15" s="85" t="s">
        <v>33</v>
      </c>
      <c r="D15" s="25"/>
      <c r="E15" s="33"/>
      <c r="F15" s="71"/>
      <c r="G15" s="23"/>
      <c r="H15" s="44"/>
      <c r="I15" s="34"/>
      <c r="J15" s="24"/>
    </row>
    <row r="16" spans="1:10" s="8" customFormat="1" ht="140.25">
      <c r="A16" s="103"/>
      <c r="B16" s="108"/>
      <c r="C16" s="86"/>
      <c r="D16" s="11" t="s">
        <v>14</v>
      </c>
      <c r="E16" s="12" t="s">
        <v>57</v>
      </c>
      <c r="F16" s="70" t="s">
        <v>22</v>
      </c>
      <c r="G16" s="13" t="s">
        <v>0</v>
      </c>
      <c r="H16" s="45">
        <v>1.5</v>
      </c>
      <c r="I16" s="14" t="s">
        <v>17</v>
      </c>
      <c r="J16" s="37" t="s">
        <v>78</v>
      </c>
    </row>
    <row r="17" spans="1:10" s="8" customFormat="1">
      <c r="A17" s="103"/>
      <c r="B17" s="108"/>
      <c r="C17" s="86"/>
      <c r="D17" s="11" t="s">
        <v>52</v>
      </c>
      <c r="E17" s="53" t="s">
        <v>53</v>
      </c>
      <c r="F17" s="70" t="s">
        <v>22</v>
      </c>
      <c r="G17" s="17" t="s">
        <v>3</v>
      </c>
      <c r="H17" s="42">
        <v>1</v>
      </c>
      <c r="I17" s="14" t="s">
        <v>17</v>
      </c>
      <c r="J17" s="18"/>
    </row>
    <row r="18" spans="1:10" ht="25.5">
      <c r="A18" s="103"/>
      <c r="B18" s="108"/>
      <c r="C18" s="86"/>
      <c r="D18" s="31" t="s">
        <v>25</v>
      </c>
      <c r="E18" s="32" t="s">
        <v>60</v>
      </c>
      <c r="F18" s="70" t="s">
        <v>22</v>
      </c>
      <c r="G18" s="17" t="s">
        <v>0</v>
      </c>
      <c r="H18" s="62">
        <v>2</v>
      </c>
      <c r="I18" s="14" t="s">
        <v>39</v>
      </c>
      <c r="J18" s="16"/>
    </row>
    <row r="19" spans="1:10">
      <c r="A19" s="103"/>
      <c r="B19" s="108"/>
      <c r="C19" s="86"/>
      <c r="D19" s="31" t="s">
        <v>43</v>
      </c>
      <c r="E19" s="32" t="s">
        <v>72</v>
      </c>
      <c r="F19" s="70" t="s">
        <v>22</v>
      </c>
      <c r="G19" s="17" t="s">
        <v>1</v>
      </c>
      <c r="H19" s="43">
        <v>1</v>
      </c>
      <c r="I19" s="14" t="s">
        <v>39</v>
      </c>
      <c r="J19" s="16"/>
    </row>
    <row r="20" spans="1:10" ht="17.45" customHeight="1">
      <c r="A20" s="104"/>
      <c r="B20" s="109"/>
      <c r="C20" s="87"/>
      <c r="D20" s="28" t="s">
        <v>48</v>
      </c>
      <c r="E20" s="20" t="s">
        <v>58</v>
      </c>
      <c r="F20" s="72" t="s">
        <v>22</v>
      </c>
      <c r="G20" s="21" t="s">
        <v>0</v>
      </c>
      <c r="H20" s="54">
        <v>1</v>
      </c>
      <c r="I20" s="55" t="s">
        <v>39</v>
      </c>
      <c r="J20" s="56" t="s">
        <v>73</v>
      </c>
    </row>
    <row r="21" spans="1:10" s="8" customFormat="1" ht="24.95" customHeight="1">
      <c r="A21" s="102" t="s">
        <v>84</v>
      </c>
      <c r="B21" s="107" t="s">
        <v>65</v>
      </c>
      <c r="C21" s="85" t="s">
        <v>34</v>
      </c>
      <c r="D21" s="57"/>
      <c r="E21" s="58"/>
      <c r="F21" s="73"/>
      <c r="G21" s="59"/>
      <c r="H21" s="60"/>
      <c r="I21" s="60"/>
      <c r="J21" s="61"/>
    </row>
    <row r="22" spans="1:10" s="8" customFormat="1" ht="54" customHeight="1">
      <c r="A22" s="103"/>
      <c r="B22" s="108"/>
      <c r="C22" s="86"/>
      <c r="D22" s="11" t="s">
        <v>14</v>
      </c>
      <c r="E22" s="12" t="s">
        <v>62</v>
      </c>
      <c r="F22" s="70" t="s">
        <v>22</v>
      </c>
      <c r="G22" s="13" t="s">
        <v>0</v>
      </c>
      <c r="H22" s="45">
        <v>1.25</v>
      </c>
      <c r="I22" s="14" t="s">
        <v>17</v>
      </c>
      <c r="J22" s="37" t="s">
        <v>77</v>
      </c>
    </row>
    <row r="23" spans="1:10" s="8" customFormat="1">
      <c r="A23" s="103"/>
      <c r="B23" s="108"/>
      <c r="C23" s="86"/>
      <c r="D23" s="11" t="s">
        <v>52</v>
      </c>
      <c r="E23" s="53" t="s">
        <v>53</v>
      </c>
      <c r="F23" s="70" t="s">
        <v>22</v>
      </c>
      <c r="G23" s="17" t="s">
        <v>3</v>
      </c>
      <c r="H23" s="42">
        <v>1</v>
      </c>
      <c r="I23" s="14" t="s">
        <v>17</v>
      </c>
      <c r="J23" s="18"/>
    </row>
    <row r="24" spans="1:10" ht="25.5">
      <c r="A24" s="103"/>
      <c r="B24" s="108"/>
      <c r="C24" s="86"/>
      <c r="D24" s="31" t="s">
        <v>25</v>
      </c>
      <c r="E24" s="32" t="s">
        <v>60</v>
      </c>
      <c r="F24" s="70" t="s">
        <v>22</v>
      </c>
      <c r="G24" s="17" t="s">
        <v>0</v>
      </c>
      <c r="H24" s="62">
        <v>1.5</v>
      </c>
      <c r="I24" s="14" t="s">
        <v>39</v>
      </c>
      <c r="J24" s="16"/>
    </row>
    <row r="25" spans="1:10">
      <c r="A25" s="103"/>
      <c r="B25" s="108"/>
      <c r="C25" s="86"/>
      <c r="D25" s="31" t="s">
        <v>45</v>
      </c>
      <c r="E25" s="32" t="s">
        <v>71</v>
      </c>
      <c r="F25" s="70" t="s">
        <v>22</v>
      </c>
      <c r="G25" s="17" t="s">
        <v>1</v>
      </c>
      <c r="H25" s="43">
        <v>1</v>
      </c>
      <c r="I25" s="14" t="s">
        <v>39</v>
      </c>
      <c r="J25" s="16"/>
    </row>
    <row r="26" spans="1:10" ht="17.45" customHeight="1">
      <c r="A26" s="104"/>
      <c r="B26" s="109"/>
      <c r="C26" s="87"/>
      <c r="D26" s="28" t="s">
        <v>48</v>
      </c>
      <c r="E26" s="20" t="s">
        <v>58</v>
      </c>
      <c r="F26" s="72" t="s">
        <v>22</v>
      </c>
      <c r="G26" s="21" t="s">
        <v>0</v>
      </c>
      <c r="H26" s="54">
        <v>1</v>
      </c>
      <c r="I26" s="55" t="s">
        <v>39</v>
      </c>
      <c r="J26" s="56" t="s">
        <v>73</v>
      </c>
    </row>
    <row r="27" spans="1:10">
      <c r="A27" s="102" t="s">
        <v>85</v>
      </c>
      <c r="B27" s="92" t="s">
        <v>35</v>
      </c>
      <c r="C27" s="85" t="s">
        <v>36</v>
      </c>
      <c r="D27" s="57"/>
      <c r="E27" s="58"/>
      <c r="F27" s="73"/>
      <c r="G27" s="59"/>
      <c r="H27" s="60"/>
      <c r="I27" s="60"/>
      <c r="J27" s="61"/>
    </row>
    <row r="28" spans="1:10" ht="76.5">
      <c r="A28" s="103"/>
      <c r="B28" s="93"/>
      <c r="C28" s="86"/>
      <c r="D28" s="11" t="s">
        <v>30</v>
      </c>
      <c r="E28" s="16" t="s">
        <v>66</v>
      </c>
      <c r="F28" s="70" t="s">
        <v>22</v>
      </c>
      <c r="G28" s="13" t="s">
        <v>0</v>
      </c>
      <c r="H28" s="63">
        <v>1.25</v>
      </c>
      <c r="I28" s="14" t="s">
        <v>17</v>
      </c>
      <c r="J28" s="16" t="s">
        <v>76</v>
      </c>
    </row>
    <row r="29" spans="1:10">
      <c r="A29" s="103"/>
      <c r="B29" s="93"/>
      <c r="C29" s="86"/>
      <c r="D29" s="11" t="s">
        <v>52</v>
      </c>
      <c r="E29" s="53" t="s">
        <v>53</v>
      </c>
      <c r="F29" s="70" t="s">
        <v>22</v>
      </c>
      <c r="G29" s="17" t="s">
        <v>3</v>
      </c>
      <c r="H29" s="42">
        <v>1</v>
      </c>
      <c r="I29" s="14" t="s">
        <v>17</v>
      </c>
      <c r="J29" s="16"/>
    </row>
    <row r="30" spans="1:10" ht="51">
      <c r="A30" s="103"/>
      <c r="B30" s="93"/>
      <c r="C30" s="86"/>
      <c r="D30" s="31" t="s">
        <v>25</v>
      </c>
      <c r="E30" s="32" t="s">
        <v>60</v>
      </c>
      <c r="F30" s="70" t="s">
        <v>22</v>
      </c>
      <c r="G30" s="17" t="s">
        <v>1</v>
      </c>
      <c r="H30" s="43">
        <v>1.5</v>
      </c>
      <c r="I30" s="14" t="s">
        <v>39</v>
      </c>
      <c r="J30" s="19" t="s">
        <v>23</v>
      </c>
    </row>
    <row r="31" spans="1:10">
      <c r="A31" s="103"/>
      <c r="B31" s="93"/>
      <c r="C31" s="86"/>
      <c r="D31" s="31" t="s">
        <v>44</v>
      </c>
      <c r="E31" s="32" t="s">
        <v>70</v>
      </c>
      <c r="F31" s="70" t="s">
        <v>22</v>
      </c>
      <c r="G31" s="17" t="s">
        <v>1</v>
      </c>
      <c r="H31" s="43">
        <v>1</v>
      </c>
      <c r="I31" s="14" t="s">
        <v>39</v>
      </c>
      <c r="J31" s="19"/>
    </row>
    <row r="32" spans="1:10">
      <c r="A32" s="104"/>
      <c r="B32" s="94"/>
      <c r="C32" s="87"/>
      <c r="D32" s="28" t="s">
        <v>48</v>
      </c>
      <c r="E32" s="20" t="s">
        <v>67</v>
      </c>
      <c r="F32" s="72" t="s">
        <v>22</v>
      </c>
      <c r="G32" s="21" t="s">
        <v>0</v>
      </c>
      <c r="H32" s="54">
        <v>1</v>
      </c>
      <c r="I32" s="55" t="s">
        <v>39</v>
      </c>
      <c r="J32" s="51" t="s">
        <v>73</v>
      </c>
    </row>
    <row r="33" spans="1:10">
      <c r="A33" s="102" t="s">
        <v>86</v>
      </c>
      <c r="B33" s="90" t="s">
        <v>37</v>
      </c>
      <c r="C33" s="85" t="s">
        <v>38</v>
      </c>
      <c r="D33" s="25"/>
      <c r="E33" s="33"/>
      <c r="F33" s="71"/>
      <c r="G33" s="26"/>
      <c r="H33" s="64"/>
      <c r="I33" s="34"/>
      <c r="J33" s="24"/>
    </row>
    <row r="34" spans="1:10" ht="51">
      <c r="A34" s="103"/>
      <c r="B34" s="95"/>
      <c r="C34" s="86"/>
      <c r="D34" s="11" t="s">
        <v>14</v>
      </c>
      <c r="E34" s="16" t="s">
        <v>68</v>
      </c>
      <c r="F34" s="70" t="s">
        <v>22</v>
      </c>
      <c r="G34" s="17" t="s">
        <v>3</v>
      </c>
      <c r="H34" s="65">
        <v>1.5</v>
      </c>
      <c r="I34" s="14" t="s">
        <v>17</v>
      </c>
      <c r="J34" s="16" t="s">
        <v>75</v>
      </c>
    </row>
    <row r="35" spans="1:10" ht="18.95" customHeight="1">
      <c r="A35" s="103"/>
      <c r="B35" s="95"/>
      <c r="C35" s="86"/>
      <c r="D35" s="11" t="s">
        <v>52</v>
      </c>
      <c r="E35" s="53" t="s">
        <v>53</v>
      </c>
      <c r="F35" s="70" t="s">
        <v>22</v>
      </c>
      <c r="G35" s="17" t="s">
        <v>3</v>
      </c>
      <c r="H35" s="42">
        <v>1</v>
      </c>
      <c r="I35" s="14" t="s">
        <v>17</v>
      </c>
      <c r="J35" s="16"/>
    </row>
    <row r="36" spans="1:10">
      <c r="A36" s="103"/>
      <c r="B36" s="95"/>
      <c r="C36" s="86"/>
      <c r="D36" s="31" t="s">
        <v>59</v>
      </c>
      <c r="E36" s="32" t="s">
        <v>60</v>
      </c>
      <c r="F36" s="70" t="s">
        <v>22</v>
      </c>
      <c r="G36" s="17" t="s">
        <v>1</v>
      </c>
      <c r="H36" s="41">
        <v>0.75</v>
      </c>
      <c r="I36" s="14" t="s">
        <v>39</v>
      </c>
      <c r="J36" s="27"/>
    </row>
    <row r="37" spans="1:10">
      <c r="A37" s="104"/>
      <c r="B37" s="91"/>
      <c r="C37" s="87"/>
      <c r="D37" s="28" t="s">
        <v>48</v>
      </c>
      <c r="E37" s="20" t="s">
        <v>69</v>
      </c>
      <c r="F37" s="72" t="s">
        <v>22</v>
      </c>
      <c r="G37" s="21" t="s">
        <v>0</v>
      </c>
      <c r="H37" s="54">
        <v>1</v>
      </c>
      <c r="I37" s="55" t="s">
        <v>39</v>
      </c>
      <c r="J37" s="52" t="s">
        <v>73</v>
      </c>
    </row>
    <row r="38" spans="1:10">
      <c r="A38" s="88" t="s">
        <v>87</v>
      </c>
      <c r="B38" s="90"/>
      <c r="C38" s="85"/>
      <c r="D38" s="38"/>
      <c r="E38" s="79" t="s">
        <v>88</v>
      </c>
      <c r="F38" s="80" t="s">
        <v>22</v>
      </c>
      <c r="G38" s="81" t="s">
        <v>18</v>
      </c>
      <c r="H38" s="83">
        <v>3</v>
      </c>
      <c r="I38" s="35" t="s">
        <v>39</v>
      </c>
      <c r="J38" s="82"/>
    </row>
    <row r="39" spans="1:10">
      <c r="A39" s="89"/>
      <c r="B39" s="91"/>
      <c r="C39" s="87"/>
      <c r="D39" s="38"/>
      <c r="E39" s="79" t="s">
        <v>89</v>
      </c>
      <c r="F39" s="80" t="s">
        <v>22</v>
      </c>
      <c r="G39" s="81" t="s">
        <v>18</v>
      </c>
      <c r="H39" s="84">
        <v>3</v>
      </c>
      <c r="I39" s="35" t="s">
        <v>17</v>
      </c>
      <c r="J39" s="82"/>
    </row>
    <row r="40" spans="1:10" ht="16.5" customHeight="1">
      <c r="A40" s="100" t="s">
        <v>4</v>
      </c>
      <c r="B40" s="98" t="s">
        <v>4</v>
      </c>
      <c r="C40" s="108" t="s">
        <v>81</v>
      </c>
      <c r="D40" s="22" t="s">
        <v>26</v>
      </c>
      <c r="E40" s="66" t="s">
        <v>27</v>
      </c>
      <c r="F40" s="75" t="s">
        <v>22</v>
      </c>
      <c r="G40" s="67" t="s">
        <v>9</v>
      </c>
      <c r="H40" s="68">
        <v>0.75</v>
      </c>
      <c r="I40" s="69" t="s">
        <v>17</v>
      </c>
      <c r="J40" s="66"/>
    </row>
    <row r="41" spans="1:10" ht="16.5" customHeight="1">
      <c r="A41" s="101"/>
      <c r="B41" s="99"/>
      <c r="C41" s="109"/>
      <c r="D41" s="28" t="s">
        <v>26</v>
      </c>
      <c r="E41" s="20" t="s">
        <v>28</v>
      </c>
      <c r="F41" s="72" t="s">
        <v>22</v>
      </c>
      <c r="G41" s="21" t="s">
        <v>9</v>
      </c>
      <c r="H41" s="46">
        <v>3</v>
      </c>
      <c r="I41" s="55" t="s">
        <v>17</v>
      </c>
      <c r="J41" s="29"/>
    </row>
    <row r="42" spans="1:10">
      <c r="H42" s="47"/>
      <c r="I42" s="4"/>
    </row>
    <row r="43" spans="1:10">
      <c r="G43" s="3" t="s">
        <v>0</v>
      </c>
      <c r="H43" s="48">
        <f>SUMIF(G$3:G$41,G43,H$3:H$41)</f>
        <v>16.75</v>
      </c>
      <c r="I43" s="7">
        <f>H43/$H$49</f>
        <v>0.37430167597765363</v>
      </c>
    </row>
    <row r="44" spans="1:10">
      <c r="G44" s="3" t="s">
        <v>1</v>
      </c>
      <c r="H44" s="48">
        <f t="shared" ref="H44:H48" si="0">SUMIF(G$3:G$41,G44,H$3:H$41)</f>
        <v>10.75</v>
      </c>
      <c r="I44" s="7">
        <f t="shared" ref="I44:I48" si="1">H44/$H$49</f>
        <v>0.24022346368715083</v>
      </c>
    </row>
    <row r="45" spans="1:10">
      <c r="G45" s="3" t="s">
        <v>3</v>
      </c>
      <c r="H45" s="48">
        <f t="shared" si="0"/>
        <v>7.5</v>
      </c>
      <c r="I45" s="7">
        <f t="shared" si="1"/>
        <v>0.16759776536312848</v>
      </c>
    </row>
    <row r="46" spans="1:10">
      <c r="G46" s="3" t="s">
        <v>2</v>
      </c>
      <c r="H46" s="48">
        <f t="shared" si="0"/>
        <v>0</v>
      </c>
      <c r="I46" s="7">
        <f t="shared" si="1"/>
        <v>0</v>
      </c>
    </row>
    <row r="47" spans="1:10">
      <c r="G47" s="3" t="s">
        <v>18</v>
      </c>
      <c r="H47" s="48">
        <f t="shared" si="0"/>
        <v>6</v>
      </c>
      <c r="I47" s="7">
        <f t="shared" si="1"/>
        <v>0.13407821229050279</v>
      </c>
    </row>
    <row r="48" spans="1:10">
      <c r="G48" s="3" t="s">
        <v>9</v>
      </c>
      <c r="H48" s="48">
        <f t="shared" si="0"/>
        <v>3.75</v>
      </c>
      <c r="I48" s="7">
        <f t="shared" si="1"/>
        <v>8.3798882681564241E-2</v>
      </c>
    </row>
    <row r="49" spans="5:9">
      <c r="G49" s="3" t="s">
        <v>8</v>
      </c>
      <c r="H49" s="49">
        <f>SUM(H43:H48)</f>
        <v>44.75</v>
      </c>
      <c r="I49" s="7">
        <f>H49/$H$49</f>
        <v>1</v>
      </c>
    </row>
    <row r="50" spans="5:9">
      <c r="G50" s="4" t="s">
        <v>41</v>
      </c>
    </row>
    <row r="51" spans="5:9">
      <c r="G51" s="77" t="s">
        <v>17</v>
      </c>
      <c r="H51" s="78">
        <f>SUMIF($I$3:$I$41,G51,$H$3:$H$41)</f>
        <v>21.5</v>
      </c>
    </row>
    <row r="52" spans="5:9">
      <c r="G52" s="77" t="s">
        <v>74</v>
      </c>
      <c r="H52" s="78">
        <f>SUMIF($I$3:$I$41,"Homework",$H$3:$H$41)</f>
        <v>23.25</v>
      </c>
    </row>
    <row r="64" spans="5:9">
      <c r="E64" s="4">
        <v>0.5</v>
      </c>
    </row>
    <row r="65" spans="5:5">
      <c r="E65" s="4">
        <v>0.05</v>
      </c>
    </row>
    <row r="66" spans="5:5">
      <c r="E66" s="4">
        <v>0.25</v>
      </c>
    </row>
    <row r="67" spans="5:5">
      <c r="E67" s="4">
        <v>0.5</v>
      </c>
    </row>
    <row r="68" spans="5:5">
      <c r="E68" s="4">
        <v>8.3333333333333329E-2</v>
      </c>
    </row>
    <row r="69" spans="5:5">
      <c r="E69" s="4">
        <v>0.1</v>
      </c>
    </row>
    <row r="70" spans="5:5">
      <c r="E70" s="4">
        <v>0.1</v>
      </c>
    </row>
    <row r="71" spans="5:5">
      <c r="E71" s="4">
        <v>1.5</v>
      </c>
    </row>
    <row r="72" spans="5:5">
      <c r="E72" s="4">
        <v>1.5</v>
      </c>
    </row>
    <row r="73" spans="5:5">
      <c r="E73" s="4">
        <v>0.33333333333333331</v>
      </c>
    </row>
    <row r="74" spans="5:5">
      <c r="E74" s="4">
        <v>0.5</v>
      </c>
    </row>
    <row r="75" spans="5:5">
      <c r="E75" s="4">
        <v>0.16666666666666666</v>
      </c>
    </row>
    <row r="76" spans="5:5">
      <c r="E76" s="4">
        <v>0.1</v>
      </c>
    </row>
    <row r="77" spans="5:5">
      <c r="E77" s="4">
        <v>0.4</v>
      </c>
    </row>
    <row r="78" spans="5:5">
      <c r="E78" s="4">
        <v>0.28333333333333333</v>
      </c>
    </row>
    <row r="79" spans="5:5">
      <c r="E79" s="4">
        <v>0.16666666666666666</v>
      </c>
    </row>
    <row r="80" spans="5:5">
      <c r="E80" s="4">
        <v>4</v>
      </c>
    </row>
    <row r="81" spans="5:5">
      <c r="E81" s="4">
        <v>1.5</v>
      </c>
    </row>
    <row r="82" spans="5:5">
      <c r="E82" s="4">
        <v>0.33333333333333331</v>
      </c>
    </row>
    <row r="83" spans="5:5">
      <c r="E83" s="4">
        <v>0.33333333333333331</v>
      </c>
    </row>
    <row r="84" spans="5:5">
      <c r="E84" s="4">
        <v>8.3333333333333329E-2</v>
      </c>
    </row>
    <row r="85" spans="5:5">
      <c r="E85" s="4">
        <v>0.25</v>
      </c>
    </row>
    <row r="86" spans="5:5">
      <c r="E86" s="4">
        <v>0.25</v>
      </c>
    </row>
    <row r="87" spans="5:5">
      <c r="E87" s="4">
        <v>8.3333333333333329E-2</v>
      </c>
    </row>
    <row r="88" spans="5:5">
      <c r="E88" s="4">
        <v>0.25</v>
      </c>
    </row>
    <row r="89" spans="5:5">
      <c r="E89" s="4">
        <v>0.33333333333333331</v>
      </c>
    </row>
    <row r="90" spans="5:5">
      <c r="E90" s="4">
        <v>0.41666666666666669</v>
      </c>
    </row>
    <row r="91" spans="5:5">
      <c r="E91" s="4">
        <v>0.25</v>
      </c>
    </row>
    <row r="92" spans="5:5">
      <c r="E92" s="4">
        <v>0.41666666666666669</v>
      </c>
    </row>
    <row r="93" spans="5:5">
      <c r="E93" s="4">
        <v>0.33333333333333331</v>
      </c>
    </row>
    <row r="94" spans="5:5">
      <c r="E94" s="4">
        <v>4</v>
      </c>
    </row>
    <row r="95" spans="5:5">
      <c r="E95" s="4">
        <v>1.5</v>
      </c>
    </row>
    <row r="96" spans="5:5">
      <c r="E96" s="4">
        <v>0.33333333333333331</v>
      </c>
    </row>
    <row r="97" spans="5:5">
      <c r="E97" s="4">
        <v>0.33333333333333331</v>
      </c>
    </row>
    <row r="98" spans="5:5">
      <c r="E98" s="4">
        <v>0.5</v>
      </c>
    </row>
    <row r="99" spans="5:5">
      <c r="E99" s="4">
        <v>0.5</v>
      </c>
    </row>
    <row r="100" spans="5:5">
      <c r="E100" s="4">
        <v>1</v>
      </c>
    </row>
    <row r="101" spans="5:5">
      <c r="E101" s="4">
        <v>0.33333333333333331</v>
      </c>
    </row>
    <row r="102" spans="5:5">
      <c r="E102" s="4">
        <v>4</v>
      </c>
    </row>
    <row r="103" spans="5:5">
      <c r="E103" s="4">
        <v>1.5</v>
      </c>
    </row>
    <row r="104" spans="5:5">
      <c r="E104" s="4">
        <v>0.33333333333333331</v>
      </c>
    </row>
    <row r="105" spans="5:5">
      <c r="E105" s="4">
        <v>0.33333333333333331</v>
      </c>
    </row>
    <row r="106" spans="5:5">
      <c r="E106" s="4">
        <v>0.33333333333333331</v>
      </c>
    </row>
    <row r="107" spans="5:5">
      <c r="E107" s="4">
        <v>0.5</v>
      </c>
    </row>
    <row r="108" spans="5:5">
      <c r="E108" s="4">
        <v>0.5</v>
      </c>
    </row>
    <row r="109" spans="5:5">
      <c r="E109" s="4">
        <v>0.5</v>
      </c>
    </row>
    <row r="110" spans="5:5">
      <c r="E110" s="4">
        <v>0.75</v>
      </c>
    </row>
    <row r="111" spans="5:5">
      <c r="E111" s="4">
        <v>2.5</v>
      </c>
    </row>
    <row r="112" spans="5:5">
      <c r="E112" s="4">
        <v>3</v>
      </c>
    </row>
    <row r="113" spans="5:5">
      <c r="E113" s="4">
        <v>0.75</v>
      </c>
    </row>
    <row r="114" spans="5:5">
      <c r="E114" s="4">
        <v>2.5</v>
      </c>
    </row>
  </sheetData>
  <autoFilter ref="A2:J41"/>
  <dataConsolidate/>
  <mergeCells count="25">
    <mergeCell ref="A1:J1"/>
    <mergeCell ref="A2:B2"/>
    <mergeCell ref="B40:B41"/>
    <mergeCell ref="A40:A41"/>
    <mergeCell ref="A27:A32"/>
    <mergeCell ref="A33:A37"/>
    <mergeCell ref="A21:A26"/>
    <mergeCell ref="A15:A20"/>
    <mergeCell ref="B3:B8"/>
    <mergeCell ref="B9:B14"/>
    <mergeCell ref="B15:B20"/>
    <mergeCell ref="B21:B26"/>
    <mergeCell ref="C40:C41"/>
    <mergeCell ref="C3:C8"/>
    <mergeCell ref="C9:C14"/>
    <mergeCell ref="A38:A39"/>
    <mergeCell ref="B38:B39"/>
    <mergeCell ref="C38:C39"/>
    <mergeCell ref="B27:B32"/>
    <mergeCell ref="B33:B37"/>
    <mergeCell ref="C15:C20"/>
    <mergeCell ref="C21:C26"/>
    <mergeCell ref="C27:C32"/>
    <mergeCell ref="C33:C37"/>
    <mergeCell ref="A3:A14"/>
  </mergeCells>
  <phoneticPr fontId="11"/>
  <dataValidations count="3">
    <dataValidation type="list" allowBlank="1" showInputMessage="1" showErrorMessage="1" sqref="I3:I8 I10:I20 I22:I26 I28:I41">
      <formula1>"Online, Offline, Homework"</formula1>
    </dataValidation>
    <dataValidation type="list" allowBlank="1" showInputMessage="1" showErrorMessage="1" sqref="I9 I21 I27">
      <formula1>"Online,Offline,Homework"</formula1>
    </dataValidation>
    <dataValidation type="list" allowBlank="1" showErrorMessage="1" sqref="G3:G41">
      <formula1>"Concept/Lecture, Assignment/Lab, Test/Quiz, Exam, Guides/Review, Seminar/Workshop, Class Meeting"</formula1>
    </dataValidation>
  </dataValidations>
  <hyperlinks>
    <hyperlink ref="J8" r:id="rId1"/>
    <hyperlink ref="J14" r:id="rId2"/>
    <hyperlink ref="J20" r:id="rId3"/>
    <hyperlink ref="J26" r:id="rId4"/>
    <hyperlink ref="J32" r:id="rId5"/>
    <hyperlink ref="J37" r:id="rId6"/>
  </hyperlinks>
  <pageMargins left="0.44" right="0.70866141732283505" top="0.4" bottom="0.55000000000000004" header="0.31496062992126" footer="0.31496062992126"/>
  <pageSetup paperSize="9" scale="42" fitToHeight="2" orientation="landscape" r:id="rId7"/>
  <headerFooter>
    <oddFooter>&amp;L18e-BM/DT/FSOFT v1/1&amp;CInternal use&amp;R&amp;P/&amp;N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F3:F41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RowHeight="12.75"/>
  <sheetData>
    <row r="1" spans="1:256">
      <c r="A1" t="e">
        <f>IF(#REF!,"AAAAAH7b/wA=",0)</f>
        <v>#REF!</v>
      </c>
      <c r="B1" t="e">
        <f>AND(#REF!,"AAAAAH7b/wE=")</f>
        <v>#REF!</v>
      </c>
      <c r="C1" t="e">
        <f>AND(#REF!,"AAAAAH7b/wI=")</f>
        <v>#REF!</v>
      </c>
      <c r="D1" t="e">
        <f>AND(#REF!,"AAAAAH7b/wM=")</f>
        <v>#REF!</v>
      </c>
      <c r="E1" t="e">
        <f>AND(#REF!,"AAAAAH7b/wQ=")</f>
        <v>#REF!</v>
      </c>
      <c r="F1" t="e">
        <f>AND(#REF!,"AAAAAH7b/wU=")</f>
        <v>#REF!</v>
      </c>
      <c r="G1" t="e">
        <f>AND(#REF!,"AAAAAH7b/wY=")</f>
        <v>#REF!</v>
      </c>
      <c r="H1" t="e">
        <f>AND(#REF!,"AAAAAH7b/wc=")</f>
        <v>#REF!</v>
      </c>
      <c r="I1" t="e">
        <f>IF(#REF!,"AAAAAH7b/wg=",0)</f>
        <v>#REF!</v>
      </c>
      <c r="J1" t="e">
        <f>AND(#REF!,"AAAAAH7b/wk=")</f>
        <v>#REF!</v>
      </c>
      <c r="K1" t="e">
        <f>AND(#REF!,"AAAAAH7b/wo=")</f>
        <v>#REF!</v>
      </c>
      <c r="L1" t="e">
        <f>AND(#REF!,"AAAAAH7b/ws=")</f>
        <v>#REF!</v>
      </c>
      <c r="M1" t="e">
        <f>AND(#REF!,"AAAAAH7b/ww=")</f>
        <v>#REF!</v>
      </c>
      <c r="N1" t="e">
        <f>AND(#REF!,"AAAAAH7b/w0=")</f>
        <v>#REF!</v>
      </c>
      <c r="O1" t="e">
        <f>AND(#REF!,"AAAAAH7b/w4=")</f>
        <v>#REF!</v>
      </c>
      <c r="P1" t="e">
        <f>AND(#REF!,"AAAAAH7b/w8=")</f>
        <v>#REF!</v>
      </c>
      <c r="Q1" t="e">
        <f>IF(#REF!,"AAAAAH7b/xA=",0)</f>
        <v>#REF!</v>
      </c>
      <c r="R1" t="e">
        <f>AND(#REF!,"AAAAAH7b/xE=")</f>
        <v>#REF!</v>
      </c>
      <c r="S1" t="e">
        <f>AND(#REF!,"AAAAAH7b/xI=")</f>
        <v>#REF!</v>
      </c>
      <c r="T1" t="e">
        <f>AND(#REF!,"AAAAAH7b/xM=")</f>
        <v>#REF!</v>
      </c>
      <c r="U1" t="e">
        <f>AND(#REF!,"AAAAAH7b/xQ=")</f>
        <v>#REF!</v>
      </c>
      <c r="V1" t="e">
        <f>AND(#REF!,"AAAAAH7b/xU=")</f>
        <v>#REF!</v>
      </c>
      <c r="W1" t="e">
        <f>AND(#REF!,"AAAAAH7b/xY=")</f>
        <v>#REF!</v>
      </c>
      <c r="X1" t="e">
        <f>AND(#REF!,"AAAAAH7b/xc=")</f>
        <v>#REF!</v>
      </c>
      <c r="Y1" t="e">
        <f>IF(#REF!,"AAAAAH7b/xg=",0)</f>
        <v>#REF!</v>
      </c>
      <c r="Z1" t="e">
        <f>AND(#REF!,"AAAAAH7b/xk=")</f>
        <v>#REF!</v>
      </c>
      <c r="AA1" t="e">
        <f>AND(#REF!,"AAAAAH7b/xo=")</f>
        <v>#REF!</v>
      </c>
      <c r="AB1" t="e">
        <f>AND(#REF!,"AAAAAH7b/xs=")</f>
        <v>#REF!</v>
      </c>
      <c r="AC1" t="e">
        <f>AND(#REF!,"AAAAAH7b/xw=")</f>
        <v>#REF!</v>
      </c>
      <c r="AD1" t="e">
        <f>AND(#REF!,"AAAAAH7b/x0=")</f>
        <v>#REF!</v>
      </c>
      <c r="AE1" t="e">
        <f>AND(#REF!,"AAAAAH7b/x4=")</f>
        <v>#REF!</v>
      </c>
      <c r="AF1" t="e">
        <f>AND(#REF!,"AAAAAH7b/x8=")</f>
        <v>#REF!</v>
      </c>
      <c r="AG1" t="e">
        <f>IF(#REF!,"AAAAAH7b/yA=",0)</f>
        <v>#REF!</v>
      </c>
      <c r="AH1" t="e">
        <f>AND(#REF!,"AAAAAH7b/yE=")</f>
        <v>#REF!</v>
      </c>
      <c r="AI1" t="e">
        <f>AND(#REF!,"AAAAAH7b/yI=")</f>
        <v>#REF!</v>
      </c>
      <c r="AJ1" t="e">
        <f>AND(#REF!,"AAAAAH7b/yM=")</f>
        <v>#REF!</v>
      </c>
      <c r="AK1" t="e">
        <f>AND(#REF!,"AAAAAH7b/yQ=")</f>
        <v>#REF!</v>
      </c>
      <c r="AL1" t="e">
        <f>AND(#REF!,"AAAAAH7b/yU=")</f>
        <v>#REF!</v>
      </c>
      <c r="AM1" t="e">
        <f>AND(#REF!,"AAAAAH7b/yY=")</f>
        <v>#REF!</v>
      </c>
      <c r="AN1" t="e">
        <f>AND(#REF!,"AAAAAH7b/yc=")</f>
        <v>#REF!</v>
      </c>
      <c r="AO1" t="e">
        <f>IF(#REF!,"AAAAAH7b/yg=",0)</f>
        <v>#REF!</v>
      </c>
      <c r="AP1" t="e">
        <f>AND(#REF!,"AAAAAH7b/yk=")</f>
        <v>#REF!</v>
      </c>
      <c r="AQ1" t="e">
        <f>AND(#REF!,"AAAAAH7b/yo=")</f>
        <v>#REF!</v>
      </c>
      <c r="AR1" t="e">
        <f>AND(#REF!,"AAAAAH7b/ys=")</f>
        <v>#REF!</v>
      </c>
      <c r="AS1" t="e">
        <f>AND(#REF!,"AAAAAH7b/yw=")</f>
        <v>#REF!</v>
      </c>
      <c r="AT1" t="e">
        <f>AND(#REF!,"AAAAAH7b/y0=")</f>
        <v>#REF!</v>
      </c>
      <c r="AU1" t="e">
        <f>AND(#REF!,"AAAAAH7b/y4=")</f>
        <v>#REF!</v>
      </c>
      <c r="AV1" t="e">
        <f>AND(#REF!,"AAAAAH7b/y8=")</f>
        <v>#REF!</v>
      </c>
      <c r="AW1" t="e">
        <f>IF(#REF!,"AAAAAH7b/zA=",0)</f>
        <v>#REF!</v>
      </c>
      <c r="AX1" t="e">
        <f>AND(#REF!,"AAAAAH7b/zE=")</f>
        <v>#REF!</v>
      </c>
      <c r="AY1" t="e">
        <f>AND(#REF!,"AAAAAH7b/zI=")</f>
        <v>#REF!</v>
      </c>
      <c r="AZ1" t="e">
        <f>AND(#REF!,"AAAAAH7b/zM=")</f>
        <v>#REF!</v>
      </c>
      <c r="BA1" t="e">
        <f>AND(#REF!,"AAAAAH7b/zQ=")</f>
        <v>#REF!</v>
      </c>
      <c r="BB1" t="e">
        <f>AND(#REF!,"AAAAAH7b/zU=")</f>
        <v>#REF!</v>
      </c>
      <c r="BC1" t="e">
        <f>AND(#REF!,"AAAAAH7b/zY=")</f>
        <v>#REF!</v>
      </c>
      <c r="BD1" t="e">
        <f>AND(#REF!,"AAAAAH7b/zc=")</f>
        <v>#REF!</v>
      </c>
      <c r="BE1" t="e">
        <f>IF(#REF!,"AAAAAH7b/zg=",0)</f>
        <v>#REF!</v>
      </c>
      <c r="BF1" t="e">
        <f>AND(#REF!,"AAAAAH7b/zk=")</f>
        <v>#REF!</v>
      </c>
      <c r="BG1" t="e">
        <f>AND(#REF!,"AAAAAH7b/zo=")</f>
        <v>#REF!</v>
      </c>
      <c r="BH1" t="e">
        <f>AND(#REF!,"AAAAAH7b/zs=")</f>
        <v>#REF!</v>
      </c>
      <c r="BI1" t="e">
        <f>AND(#REF!,"AAAAAH7b/zw=")</f>
        <v>#REF!</v>
      </c>
      <c r="BJ1" t="e">
        <f>AND(#REF!,"AAAAAH7b/z0=")</f>
        <v>#REF!</v>
      </c>
      <c r="BK1" t="e">
        <f>AND(#REF!,"AAAAAH7b/z4=")</f>
        <v>#REF!</v>
      </c>
      <c r="BL1" t="e">
        <f>AND(#REF!,"AAAAAH7b/z8=")</f>
        <v>#REF!</v>
      </c>
      <c r="BM1" t="e">
        <f>IF(#REF!,"AAAAAH7b/0A=",0)</f>
        <v>#REF!</v>
      </c>
      <c r="BN1" t="e">
        <f>AND(#REF!,"AAAAAH7b/0E=")</f>
        <v>#REF!</v>
      </c>
      <c r="BO1" t="e">
        <f>AND(#REF!,"AAAAAH7b/0I=")</f>
        <v>#REF!</v>
      </c>
      <c r="BP1" t="e">
        <f>AND(#REF!,"AAAAAH7b/0M=")</f>
        <v>#REF!</v>
      </c>
      <c r="BQ1" t="e">
        <f>AND(#REF!,"AAAAAH7b/0Q=")</f>
        <v>#REF!</v>
      </c>
      <c r="BR1" t="e">
        <f>AND(#REF!,"AAAAAH7b/0U=")</f>
        <v>#REF!</v>
      </c>
      <c r="BS1" t="e">
        <f>AND(#REF!,"AAAAAH7b/0Y=")</f>
        <v>#REF!</v>
      </c>
      <c r="BT1" t="e">
        <f>AND(#REF!,"AAAAAH7b/0c=")</f>
        <v>#REF!</v>
      </c>
      <c r="BU1" t="e">
        <f>IF(#REF!,"AAAAAH7b/0g=",0)</f>
        <v>#REF!</v>
      </c>
      <c r="BV1" t="e">
        <f>AND(#REF!,"AAAAAH7b/0k=")</f>
        <v>#REF!</v>
      </c>
      <c r="BW1" t="e">
        <f>AND(#REF!,"AAAAAH7b/0o=")</f>
        <v>#REF!</v>
      </c>
      <c r="BX1" t="e">
        <f>AND(#REF!,"AAAAAH7b/0s=")</f>
        <v>#REF!</v>
      </c>
      <c r="BY1" t="e">
        <f>AND(#REF!,"AAAAAH7b/0w=")</f>
        <v>#REF!</v>
      </c>
      <c r="BZ1" t="e">
        <f>AND(#REF!,"AAAAAH7b/00=")</f>
        <v>#REF!</v>
      </c>
      <c r="CA1" t="e">
        <f>AND(#REF!,"AAAAAH7b/04=")</f>
        <v>#REF!</v>
      </c>
      <c r="CB1" t="e">
        <f>AND(#REF!,"AAAAAH7b/08=")</f>
        <v>#REF!</v>
      </c>
      <c r="CC1" t="e">
        <f>IF(#REF!,"AAAAAH7b/1A=",0)</f>
        <v>#REF!</v>
      </c>
      <c r="CD1" t="e">
        <f>AND(#REF!,"AAAAAH7b/1E=")</f>
        <v>#REF!</v>
      </c>
      <c r="CE1" t="e">
        <f>AND(#REF!,"AAAAAH7b/1I=")</f>
        <v>#REF!</v>
      </c>
      <c r="CF1" t="e">
        <f>AND(#REF!,"AAAAAH7b/1M=")</f>
        <v>#REF!</v>
      </c>
      <c r="CG1" t="e">
        <f>AND(#REF!,"AAAAAH7b/1Q=")</f>
        <v>#REF!</v>
      </c>
      <c r="CH1" t="e">
        <f>AND(#REF!,"AAAAAH7b/1U=")</f>
        <v>#REF!</v>
      </c>
      <c r="CI1" t="e">
        <f>AND(#REF!,"AAAAAH7b/1Y=")</f>
        <v>#REF!</v>
      </c>
      <c r="CJ1" t="e">
        <f>AND(#REF!,"AAAAAH7b/1c=")</f>
        <v>#REF!</v>
      </c>
      <c r="CK1" t="e">
        <f>IF(#REF!,"AAAAAH7b/1g=",0)</f>
        <v>#REF!</v>
      </c>
      <c r="CL1" t="e">
        <f>AND(#REF!,"AAAAAH7b/1k=")</f>
        <v>#REF!</v>
      </c>
      <c r="CM1" t="e">
        <f>AND(#REF!,"AAAAAH7b/1o=")</f>
        <v>#REF!</v>
      </c>
      <c r="CN1" t="e">
        <f>AND(#REF!,"AAAAAH7b/1s=")</f>
        <v>#REF!</v>
      </c>
      <c r="CO1" t="e">
        <f>AND(#REF!,"AAAAAH7b/1w=")</f>
        <v>#REF!</v>
      </c>
      <c r="CP1" t="e">
        <f>AND(#REF!,"AAAAAH7b/10=")</f>
        <v>#REF!</v>
      </c>
      <c r="CQ1" t="e">
        <f>AND(#REF!,"AAAAAH7b/14=")</f>
        <v>#REF!</v>
      </c>
      <c r="CR1" t="e">
        <f>AND(#REF!,"AAAAAH7b/18=")</f>
        <v>#REF!</v>
      </c>
      <c r="CS1" t="e">
        <f>IF(#REF!,"AAAAAH7b/2A=",0)</f>
        <v>#REF!</v>
      </c>
      <c r="CT1" t="e">
        <f>AND(#REF!,"AAAAAH7b/2E=")</f>
        <v>#REF!</v>
      </c>
      <c r="CU1" t="e">
        <f>AND(#REF!,"AAAAAH7b/2I=")</f>
        <v>#REF!</v>
      </c>
      <c r="CV1" t="e">
        <f>AND(#REF!,"AAAAAH7b/2M=")</f>
        <v>#REF!</v>
      </c>
      <c r="CW1" t="e">
        <f>AND(#REF!,"AAAAAH7b/2Q=")</f>
        <v>#REF!</v>
      </c>
      <c r="CX1" t="e">
        <f>AND(#REF!,"AAAAAH7b/2U=")</f>
        <v>#REF!</v>
      </c>
      <c r="CY1" t="e">
        <f>AND(#REF!,"AAAAAH7b/2Y=")</f>
        <v>#REF!</v>
      </c>
      <c r="CZ1" t="e">
        <f>AND(#REF!,"AAAAAH7b/2c=")</f>
        <v>#REF!</v>
      </c>
      <c r="DA1" t="e">
        <f>IF(#REF!,"AAAAAH7b/2g=",0)</f>
        <v>#REF!</v>
      </c>
      <c r="DB1" t="e">
        <f>AND(#REF!,"AAAAAH7b/2k=")</f>
        <v>#REF!</v>
      </c>
      <c r="DC1" t="e">
        <f>AND(#REF!,"AAAAAH7b/2o=")</f>
        <v>#REF!</v>
      </c>
      <c r="DD1" t="e">
        <f>AND(#REF!,"AAAAAH7b/2s=")</f>
        <v>#REF!</v>
      </c>
      <c r="DE1" t="e">
        <f>AND(#REF!,"AAAAAH7b/2w=")</f>
        <v>#REF!</v>
      </c>
      <c r="DF1" t="e">
        <f>AND(#REF!,"AAAAAH7b/20=")</f>
        <v>#REF!</v>
      </c>
      <c r="DG1" t="e">
        <f>AND(#REF!,"AAAAAH7b/24=")</f>
        <v>#REF!</v>
      </c>
      <c r="DH1" t="e">
        <f>AND(#REF!,"AAAAAH7b/28=")</f>
        <v>#REF!</v>
      </c>
      <c r="DI1" t="e">
        <f>IF(#REF!,"AAAAAH7b/3A=",0)</f>
        <v>#REF!</v>
      </c>
      <c r="DJ1" t="e">
        <f>AND(#REF!,"AAAAAH7b/3E=")</f>
        <v>#REF!</v>
      </c>
      <c r="DK1" t="e">
        <f>AND(#REF!,"AAAAAH7b/3I=")</f>
        <v>#REF!</v>
      </c>
      <c r="DL1" t="e">
        <f>AND(#REF!,"AAAAAH7b/3M=")</f>
        <v>#REF!</v>
      </c>
      <c r="DM1" t="e">
        <f>AND(#REF!,"AAAAAH7b/3Q=")</f>
        <v>#REF!</v>
      </c>
      <c r="DN1" t="e">
        <f>AND(#REF!,"AAAAAH7b/3U=")</f>
        <v>#REF!</v>
      </c>
      <c r="DO1" t="e">
        <f>AND(#REF!,"AAAAAH7b/3Y=")</f>
        <v>#REF!</v>
      </c>
      <c r="DP1" t="e">
        <f>AND(#REF!,"AAAAAH7b/3c=")</f>
        <v>#REF!</v>
      </c>
      <c r="DQ1" t="e">
        <f>IF(#REF!,"AAAAAH7b/3g=",0)</f>
        <v>#REF!</v>
      </c>
      <c r="DR1" t="e">
        <f>AND(#REF!,"AAAAAH7b/3k=")</f>
        <v>#REF!</v>
      </c>
      <c r="DS1" t="e">
        <f>AND(#REF!,"AAAAAH7b/3o=")</f>
        <v>#REF!</v>
      </c>
      <c r="DT1" t="e">
        <f>AND(#REF!,"AAAAAH7b/3s=")</f>
        <v>#REF!</v>
      </c>
      <c r="DU1" t="e">
        <f>AND(#REF!,"AAAAAH7b/3w=")</f>
        <v>#REF!</v>
      </c>
      <c r="DV1" t="e">
        <f>AND(#REF!,"AAAAAH7b/30=")</f>
        <v>#REF!</v>
      </c>
      <c r="DW1" t="e">
        <f>AND(#REF!,"AAAAAH7b/34=")</f>
        <v>#REF!</v>
      </c>
      <c r="DX1" t="e">
        <f>AND(#REF!,"AAAAAH7b/38=")</f>
        <v>#REF!</v>
      </c>
      <c r="DY1" t="e">
        <f>IF(#REF!,"AAAAAH7b/4A=",0)</f>
        <v>#REF!</v>
      </c>
      <c r="DZ1" t="e">
        <f>AND(#REF!,"AAAAAH7b/4E=")</f>
        <v>#REF!</v>
      </c>
      <c r="EA1" t="e">
        <f>AND(#REF!,"AAAAAH7b/4I=")</f>
        <v>#REF!</v>
      </c>
      <c r="EB1" t="e">
        <f>AND(#REF!,"AAAAAH7b/4M=")</f>
        <v>#REF!</v>
      </c>
      <c r="EC1" t="e">
        <f>AND(#REF!,"AAAAAH7b/4Q=")</f>
        <v>#REF!</v>
      </c>
      <c r="ED1" t="e">
        <f>AND(#REF!,"AAAAAH7b/4U=")</f>
        <v>#REF!</v>
      </c>
      <c r="EE1" t="e">
        <f>AND(#REF!,"AAAAAH7b/4Y=")</f>
        <v>#REF!</v>
      </c>
      <c r="EF1" t="e">
        <f>AND(#REF!,"AAAAAH7b/4c=")</f>
        <v>#REF!</v>
      </c>
      <c r="EG1" t="e">
        <f>IF(#REF!,"AAAAAH7b/4g=",0)</f>
        <v>#REF!</v>
      </c>
      <c r="EH1" t="e">
        <f>AND(#REF!,"AAAAAH7b/4k=")</f>
        <v>#REF!</v>
      </c>
      <c r="EI1" t="e">
        <f>AND(#REF!,"AAAAAH7b/4o=")</f>
        <v>#REF!</v>
      </c>
      <c r="EJ1" t="e">
        <f>AND(#REF!,"AAAAAH7b/4s=")</f>
        <v>#REF!</v>
      </c>
      <c r="EK1" t="e">
        <f>AND(#REF!,"AAAAAH7b/4w=")</f>
        <v>#REF!</v>
      </c>
      <c r="EL1" t="e">
        <f>AND(#REF!,"AAAAAH7b/40=")</f>
        <v>#REF!</v>
      </c>
      <c r="EM1" t="e">
        <f>AND(#REF!,"AAAAAH7b/44=")</f>
        <v>#REF!</v>
      </c>
      <c r="EN1" t="e">
        <f>AND(#REF!,"AAAAAH7b/48=")</f>
        <v>#REF!</v>
      </c>
      <c r="EO1" t="e">
        <f>IF(#REF!,"AAAAAH7b/5A=",0)</f>
        <v>#REF!</v>
      </c>
      <c r="EP1" t="e">
        <f>AND(#REF!,"AAAAAH7b/5E=")</f>
        <v>#REF!</v>
      </c>
      <c r="EQ1" t="e">
        <f>AND(#REF!,"AAAAAH7b/5I=")</f>
        <v>#REF!</v>
      </c>
      <c r="ER1" t="e">
        <f>AND(#REF!,"AAAAAH7b/5M=")</f>
        <v>#REF!</v>
      </c>
      <c r="ES1" t="e">
        <f>AND(#REF!,"AAAAAH7b/5Q=")</f>
        <v>#REF!</v>
      </c>
      <c r="ET1" t="e">
        <f>AND(#REF!,"AAAAAH7b/5U=")</f>
        <v>#REF!</v>
      </c>
      <c r="EU1" t="e">
        <f>AND(#REF!,"AAAAAH7b/5Y=")</f>
        <v>#REF!</v>
      </c>
      <c r="EV1" t="e">
        <f>AND(#REF!,"AAAAAH7b/5c=")</f>
        <v>#REF!</v>
      </c>
      <c r="EW1" t="e">
        <f>IF(#REF!,"AAAAAH7b/5g=",0)</f>
        <v>#REF!</v>
      </c>
      <c r="EX1" t="e">
        <f>AND(#REF!,"AAAAAH7b/5k=")</f>
        <v>#REF!</v>
      </c>
      <c r="EY1" t="e">
        <f>AND(#REF!,"AAAAAH7b/5o=")</f>
        <v>#REF!</v>
      </c>
      <c r="EZ1" t="e">
        <f>AND(#REF!,"AAAAAH7b/5s=")</f>
        <v>#REF!</v>
      </c>
      <c r="FA1" t="e">
        <f>AND(#REF!,"AAAAAH7b/5w=")</f>
        <v>#REF!</v>
      </c>
      <c r="FB1" t="e">
        <f>AND(#REF!,"AAAAAH7b/50=")</f>
        <v>#REF!</v>
      </c>
      <c r="FC1" t="e">
        <f>AND(#REF!,"AAAAAH7b/54=")</f>
        <v>#REF!</v>
      </c>
      <c r="FD1" t="e">
        <f>AND(#REF!,"AAAAAH7b/58=")</f>
        <v>#REF!</v>
      </c>
      <c r="FE1" t="e">
        <f>IF(#REF!,"AAAAAH7b/6A=",0)</f>
        <v>#REF!</v>
      </c>
      <c r="FF1" t="e">
        <f>AND(#REF!,"AAAAAH7b/6E=")</f>
        <v>#REF!</v>
      </c>
      <c r="FG1" t="e">
        <f>AND(#REF!,"AAAAAH7b/6I=")</f>
        <v>#REF!</v>
      </c>
      <c r="FH1" t="e">
        <f>AND(#REF!,"AAAAAH7b/6M=")</f>
        <v>#REF!</v>
      </c>
      <c r="FI1" t="e">
        <f>AND(#REF!,"AAAAAH7b/6Q=")</f>
        <v>#REF!</v>
      </c>
      <c r="FJ1" t="e">
        <f>AND(#REF!,"AAAAAH7b/6U=")</f>
        <v>#REF!</v>
      </c>
      <c r="FK1" t="e">
        <f>AND(#REF!,"AAAAAH7b/6Y=")</f>
        <v>#REF!</v>
      </c>
      <c r="FL1" t="e">
        <f>AND(#REF!,"AAAAAH7b/6c=")</f>
        <v>#REF!</v>
      </c>
      <c r="FM1" t="e">
        <f>IF(#REF!,"AAAAAH7b/6g=",0)</f>
        <v>#REF!</v>
      </c>
      <c r="FN1" t="e">
        <f>AND(#REF!,"AAAAAH7b/6k=")</f>
        <v>#REF!</v>
      </c>
      <c r="FO1" t="e">
        <f>AND(#REF!,"AAAAAH7b/6o=")</f>
        <v>#REF!</v>
      </c>
      <c r="FP1" t="e">
        <f>AND(#REF!,"AAAAAH7b/6s=")</f>
        <v>#REF!</v>
      </c>
      <c r="FQ1" t="e">
        <f>AND(#REF!,"AAAAAH7b/6w=")</f>
        <v>#REF!</v>
      </c>
      <c r="FR1" t="e">
        <f>AND(#REF!,"AAAAAH7b/60=")</f>
        <v>#REF!</v>
      </c>
      <c r="FS1" t="e">
        <f>AND(#REF!,"AAAAAH7b/64=")</f>
        <v>#REF!</v>
      </c>
      <c r="FT1" t="e">
        <f>AND(#REF!,"AAAAAH7b/68=")</f>
        <v>#REF!</v>
      </c>
      <c r="FU1" t="e">
        <f>IF(#REF!,"AAAAAH7b/7A=",0)</f>
        <v>#REF!</v>
      </c>
      <c r="FV1" t="e">
        <f>AND(#REF!,"AAAAAH7b/7E=")</f>
        <v>#REF!</v>
      </c>
      <c r="FW1" t="e">
        <f>AND(#REF!,"AAAAAH7b/7I=")</f>
        <v>#REF!</v>
      </c>
      <c r="FX1" t="e">
        <f>AND(#REF!,"AAAAAH7b/7M=")</f>
        <v>#REF!</v>
      </c>
      <c r="FY1" t="e">
        <f>AND(#REF!,"AAAAAH7b/7Q=")</f>
        <v>#REF!</v>
      </c>
      <c r="FZ1" t="e">
        <f>AND(#REF!,"AAAAAH7b/7U=")</f>
        <v>#REF!</v>
      </c>
      <c r="GA1" t="e">
        <f>AND(#REF!,"AAAAAH7b/7Y=")</f>
        <v>#REF!</v>
      </c>
      <c r="GB1" t="e">
        <f>AND(#REF!,"AAAAAH7b/7c=")</f>
        <v>#REF!</v>
      </c>
      <c r="GC1" t="e">
        <f>IF(#REF!,"AAAAAH7b/7g=",0)</f>
        <v>#REF!</v>
      </c>
      <c r="GD1" t="e">
        <f>AND(#REF!,"AAAAAH7b/7k=")</f>
        <v>#REF!</v>
      </c>
      <c r="GE1" t="e">
        <f>AND(#REF!,"AAAAAH7b/7o=")</f>
        <v>#REF!</v>
      </c>
      <c r="GF1" t="e">
        <f>AND(#REF!,"AAAAAH7b/7s=")</f>
        <v>#REF!</v>
      </c>
      <c r="GG1" t="e">
        <f>AND(#REF!,"AAAAAH7b/7w=")</f>
        <v>#REF!</v>
      </c>
      <c r="GH1" t="e">
        <f>AND(#REF!,"AAAAAH7b/70=")</f>
        <v>#REF!</v>
      </c>
      <c r="GI1" t="e">
        <f>AND(#REF!,"AAAAAH7b/74=")</f>
        <v>#REF!</v>
      </c>
      <c r="GJ1" t="e">
        <f>AND(#REF!,"AAAAAH7b/78=")</f>
        <v>#REF!</v>
      </c>
      <c r="GK1" t="e">
        <f>IF(#REF!,"AAAAAH7b/8A=",0)</f>
        <v>#REF!</v>
      </c>
      <c r="GL1" t="e">
        <f>AND(#REF!,"AAAAAH7b/8E=")</f>
        <v>#REF!</v>
      </c>
      <c r="GM1" t="e">
        <f>AND(#REF!,"AAAAAH7b/8I=")</f>
        <v>#REF!</v>
      </c>
      <c r="GN1" t="e">
        <f>AND(#REF!,"AAAAAH7b/8M=")</f>
        <v>#REF!</v>
      </c>
      <c r="GO1" t="e">
        <f>AND(#REF!,"AAAAAH7b/8Q=")</f>
        <v>#REF!</v>
      </c>
      <c r="GP1" t="e">
        <f>AND(#REF!,"AAAAAH7b/8U=")</f>
        <v>#REF!</v>
      </c>
      <c r="GQ1" t="e">
        <f>AND(#REF!,"AAAAAH7b/8Y=")</f>
        <v>#REF!</v>
      </c>
      <c r="GR1" t="e">
        <f>AND(#REF!,"AAAAAH7b/8c=")</f>
        <v>#REF!</v>
      </c>
      <c r="GS1" t="e">
        <f>IF(#REF!,"AAAAAH7b/8g=",0)</f>
        <v>#REF!</v>
      </c>
      <c r="GT1" t="e">
        <f>AND(#REF!,"AAAAAH7b/8k=")</f>
        <v>#REF!</v>
      </c>
      <c r="GU1" t="e">
        <f>AND(#REF!,"AAAAAH7b/8o=")</f>
        <v>#REF!</v>
      </c>
      <c r="GV1" t="e">
        <f>AND(#REF!,"AAAAAH7b/8s=")</f>
        <v>#REF!</v>
      </c>
      <c r="GW1" t="e">
        <f>AND(#REF!,"AAAAAH7b/8w=")</f>
        <v>#REF!</v>
      </c>
      <c r="GX1" t="e">
        <f>AND(#REF!,"AAAAAH7b/80=")</f>
        <v>#REF!</v>
      </c>
      <c r="GY1" t="e">
        <f>AND(#REF!,"AAAAAH7b/84=")</f>
        <v>#REF!</v>
      </c>
      <c r="GZ1" t="e">
        <f>AND(#REF!,"AAAAAH7b/88=")</f>
        <v>#REF!</v>
      </c>
      <c r="HA1" t="e">
        <f>IF(#REF!,"AAAAAH7b/9A=",0)</f>
        <v>#REF!</v>
      </c>
      <c r="HB1" t="e">
        <f>AND(#REF!,"AAAAAH7b/9E=")</f>
        <v>#REF!</v>
      </c>
      <c r="HC1" t="e">
        <f>AND(#REF!,"AAAAAH7b/9I=")</f>
        <v>#REF!</v>
      </c>
      <c r="HD1" t="e">
        <f>AND(#REF!,"AAAAAH7b/9M=")</f>
        <v>#REF!</v>
      </c>
      <c r="HE1" t="e">
        <f>AND(#REF!,"AAAAAH7b/9Q=")</f>
        <v>#REF!</v>
      </c>
      <c r="HF1" t="e">
        <f>AND(#REF!,"AAAAAH7b/9U=")</f>
        <v>#REF!</v>
      </c>
      <c r="HG1" t="e">
        <f>AND(#REF!,"AAAAAH7b/9Y=")</f>
        <v>#REF!</v>
      </c>
      <c r="HH1" t="e">
        <f>AND(#REF!,"AAAAAH7b/9c=")</f>
        <v>#REF!</v>
      </c>
      <c r="HI1" t="e">
        <f>IF(#REF!,"AAAAAH7b/9g=",0)</f>
        <v>#REF!</v>
      </c>
      <c r="HJ1" t="e">
        <f>AND(#REF!,"AAAAAH7b/9k=")</f>
        <v>#REF!</v>
      </c>
      <c r="HK1" t="e">
        <f>AND(#REF!,"AAAAAH7b/9o=")</f>
        <v>#REF!</v>
      </c>
      <c r="HL1" t="e">
        <f>AND(#REF!,"AAAAAH7b/9s=")</f>
        <v>#REF!</v>
      </c>
      <c r="HM1" t="e">
        <f>AND(#REF!,"AAAAAH7b/9w=")</f>
        <v>#REF!</v>
      </c>
      <c r="HN1" t="e">
        <f>AND(#REF!,"AAAAAH7b/90=")</f>
        <v>#REF!</v>
      </c>
      <c r="HO1" t="e">
        <f>AND(#REF!,"AAAAAH7b/94=")</f>
        <v>#REF!</v>
      </c>
      <c r="HP1" t="e">
        <f>AND(#REF!,"AAAAAH7b/98=")</f>
        <v>#REF!</v>
      </c>
      <c r="HQ1" t="e">
        <f>IF(#REF!,"AAAAAH7b/+A=",0)</f>
        <v>#REF!</v>
      </c>
      <c r="HR1" t="e">
        <f>AND(#REF!,"AAAAAH7b/+E=")</f>
        <v>#REF!</v>
      </c>
      <c r="HS1" t="e">
        <f>AND(#REF!,"AAAAAH7b/+I=")</f>
        <v>#REF!</v>
      </c>
      <c r="HT1" t="e">
        <f>AND(#REF!,"AAAAAH7b/+M=")</f>
        <v>#REF!</v>
      </c>
      <c r="HU1" t="e">
        <f>AND(#REF!,"AAAAAH7b/+Q=")</f>
        <v>#REF!</v>
      </c>
      <c r="HV1" t="e">
        <f>AND(#REF!,"AAAAAH7b/+U=")</f>
        <v>#REF!</v>
      </c>
      <c r="HW1" t="e">
        <f>AND(#REF!,"AAAAAH7b/+Y=")</f>
        <v>#REF!</v>
      </c>
      <c r="HX1" t="e">
        <f>AND(#REF!,"AAAAAH7b/+c=")</f>
        <v>#REF!</v>
      </c>
      <c r="HY1" t="e">
        <f>IF(#REF!,"AAAAAH7b/+g=",0)</f>
        <v>#REF!</v>
      </c>
      <c r="HZ1" t="e">
        <f>AND(#REF!,"AAAAAH7b/+k=")</f>
        <v>#REF!</v>
      </c>
      <c r="IA1" t="e">
        <f>AND(#REF!,"AAAAAH7b/+o=")</f>
        <v>#REF!</v>
      </c>
      <c r="IB1" t="e">
        <f>AND(#REF!,"AAAAAH7b/+s=")</f>
        <v>#REF!</v>
      </c>
      <c r="IC1" t="e">
        <f>AND(#REF!,"AAAAAH7b/+w=")</f>
        <v>#REF!</v>
      </c>
      <c r="ID1" t="e">
        <f>AND(#REF!,"AAAAAH7b/+0=")</f>
        <v>#REF!</v>
      </c>
      <c r="IE1" t="e">
        <f>AND(#REF!,"AAAAAH7b/+4=")</f>
        <v>#REF!</v>
      </c>
      <c r="IF1" t="e">
        <f>AND(#REF!,"AAAAAH7b/+8=")</f>
        <v>#REF!</v>
      </c>
      <c r="IG1" t="e">
        <f>IF(#REF!,"AAAAAH7b//A=",0)</f>
        <v>#REF!</v>
      </c>
      <c r="IH1" t="e">
        <f>AND(#REF!,"AAAAAH7b//E=")</f>
        <v>#REF!</v>
      </c>
      <c r="II1" t="e">
        <f>AND(#REF!,"AAAAAH7b//I=")</f>
        <v>#REF!</v>
      </c>
      <c r="IJ1" t="e">
        <f>AND(#REF!,"AAAAAH7b//M=")</f>
        <v>#REF!</v>
      </c>
      <c r="IK1" t="e">
        <f>AND(#REF!,"AAAAAH7b//Q=")</f>
        <v>#REF!</v>
      </c>
      <c r="IL1" t="e">
        <f>AND(#REF!,"AAAAAH7b//U=")</f>
        <v>#REF!</v>
      </c>
      <c r="IM1" t="e">
        <f>AND(#REF!,"AAAAAH7b//Y=")</f>
        <v>#REF!</v>
      </c>
      <c r="IN1" t="e">
        <f>AND(#REF!,"AAAAAH7b//c=")</f>
        <v>#REF!</v>
      </c>
      <c r="IO1" t="e">
        <f>IF(#REF!,"AAAAAH7b//g=",0)</f>
        <v>#REF!</v>
      </c>
      <c r="IP1" t="e">
        <f>AND(#REF!,"AAAAAH7b//k=")</f>
        <v>#REF!</v>
      </c>
      <c r="IQ1" t="e">
        <f>AND(#REF!,"AAAAAH7b//o=")</f>
        <v>#REF!</v>
      </c>
      <c r="IR1" t="e">
        <f>AND(#REF!,"AAAAAH7b//s=")</f>
        <v>#REF!</v>
      </c>
      <c r="IS1" t="e">
        <f>AND(#REF!,"AAAAAH7b//w=")</f>
        <v>#REF!</v>
      </c>
      <c r="IT1" t="e">
        <f>AND(#REF!,"AAAAAH7b//0=")</f>
        <v>#REF!</v>
      </c>
      <c r="IU1" t="e">
        <f>AND(#REF!,"AAAAAH7b//4=")</f>
        <v>#REF!</v>
      </c>
      <c r="IV1" t="e">
        <f>AND(#REF!,"AAAAAH7b//8=")</f>
        <v>#REF!</v>
      </c>
    </row>
    <row r="2" spans="1:256">
      <c r="A2" t="e">
        <f>IF(#REF!,"AAAAAH/vfwA=",0)</f>
        <v>#REF!</v>
      </c>
      <c r="B2" t="e">
        <f>AND(#REF!,"AAAAAH/vfwE=")</f>
        <v>#REF!</v>
      </c>
      <c r="C2" t="e">
        <f>AND(#REF!,"AAAAAH/vfwI=")</f>
        <v>#REF!</v>
      </c>
      <c r="D2" t="e">
        <f>AND(#REF!,"AAAAAH/vfwM=")</f>
        <v>#REF!</v>
      </c>
      <c r="E2" t="e">
        <f>AND(#REF!,"AAAAAH/vfwQ=")</f>
        <v>#REF!</v>
      </c>
      <c r="F2" t="e">
        <f>AND(#REF!,"AAAAAH/vfwU=")</f>
        <v>#REF!</v>
      </c>
      <c r="G2" t="e">
        <f>AND(#REF!,"AAAAAH/vfwY=")</f>
        <v>#REF!</v>
      </c>
      <c r="H2" t="e">
        <f>AND(#REF!,"AAAAAH/vfwc=")</f>
        <v>#REF!</v>
      </c>
      <c r="I2" t="e">
        <f>IF(#REF!,"AAAAAH/vfwg=",0)</f>
        <v>#REF!</v>
      </c>
      <c r="J2" t="e">
        <f>AND(#REF!,"AAAAAH/vfwk=")</f>
        <v>#REF!</v>
      </c>
      <c r="K2" t="e">
        <f>AND(#REF!,"AAAAAH/vfwo=")</f>
        <v>#REF!</v>
      </c>
      <c r="L2" t="e">
        <f>AND(#REF!,"AAAAAH/vfws=")</f>
        <v>#REF!</v>
      </c>
      <c r="M2" t="e">
        <f>AND(#REF!,"AAAAAH/vfww=")</f>
        <v>#REF!</v>
      </c>
      <c r="N2" t="e">
        <f>AND(#REF!,"AAAAAH/vfw0=")</f>
        <v>#REF!</v>
      </c>
      <c r="O2" t="e">
        <f>AND(#REF!,"AAAAAH/vfw4=")</f>
        <v>#REF!</v>
      </c>
      <c r="P2" t="e">
        <f>AND(#REF!,"AAAAAH/vfw8=")</f>
        <v>#REF!</v>
      </c>
      <c r="Q2" t="e">
        <f>IF(#REF!,"AAAAAH/vfxA=",0)</f>
        <v>#REF!</v>
      </c>
      <c r="R2" t="e">
        <f>IF(#REF!,"AAAAAH/vfxE=",0)</f>
        <v>#REF!</v>
      </c>
      <c r="S2" t="e">
        <f>IF(#REF!,"AAAAAH/vfxI=",0)</f>
        <v>#REF!</v>
      </c>
      <c r="T2" t="e">
        <f>IF(#REF!,"AAAAAH/vfxM=",0)</f>
        <v>#REF!</v>
      </c>
      <c r="U2" t="e">
        <f>IF(#REF!,"AAAAAH/vfxQ=",0)</f>
        <v>#REF!</v>
      </c>
      <c r="V2" t="e">
        <f>IF(#REF!,"AAAAAH/vfxU=",0)</f>
        <v>#REF!</v>
      </c>
      <c r="W2" t="e">
        <f>IF(#REF!,"AAAAAH/vfxY=",0)</f>
        <v>#REF!</v>
      </c>
      <c r="X2" t="e">
        <f>IF(#REF!,"AAAAAH/vfxc=",0)</f>
        <v>#REF!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5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10</v>
      </c>
      <c r="AK4" s="1" t="s">
        <v>11</v>
      </c>
      <c r="AL4" s="2" t="s">
        <v>12</v>
      </c>
      <c r="AM4" t="e">
        <f>IF("N",[0]!_xlnm._FilterDatabase,"AAAAAH/rVCY=")</f>
        <v>#VALUE!</v>
      </c>
    </row>
    <row r="5" spans="1:256">
      <c r="A5" t="e">
        <f>AND(#REF!,"AAAAACvx+wA=")</f>
        <v>#REF!</v>
      </c>
      <c r="B5" t="e">
        <f>IF(#REF!,"AAAAACvx+wE=",0)</f>
        <v>#REF!</v>
      </c>
      <c r="C5" t="e">
        <f>AND(#REF!,"AAAAACvx+wI=")</f>
        <v>#REF!</v>
      </c>
      <c r="D5" t="e">
        <f>AND(#REF!,"AAAAACvx+wM=")</f>
        <v>#REF!</v>
      </c>
      <c r="E5" t="e">
        <f>AND(#REF!,"AAAAACvx+wQ=")</f>
        <v>#REF!</v>
      </c>
      <c r="F5" t="e">
        <f>AND(#REF!,"AAAAACvx+wU=")</f>
        <v>#REF!</v>
      </c>
      <c r="G5" t="e">
        <f>AND(#REF!,"AAAAACvx+wY=")</f>
        <v>#REF!</v>
      </c>
      <c r="H5" t="e">
        <f>AND(#REF!,"AAAAACvx+wc=")</f>
        <v>#REF!</v>
      </c>
      <c r="I5" t="e">
        <f>AND(#REF!,"AAAAACvx+wg=")</f>
        <v>#REF!</v>
      </c>
      <c r="J5" t="e">
        <f>IF(#REF!,"AAAAACvx+wk=",0)</f>
        <v>#REF!</v>
      </c>
      <c r="K5" t="e">
        <f>AND(#REF!,"AAAAACvx+wo=")</f>
        <v>#REF!</v>
      </c>
      <c r="L5" t="e">
        <f>AND(#REF!,"AAAAACvx+ws=")</f>
        <v>#REF!</v>
      </c>
      <c r="M5" t="e">
        <f>AND(#REF!,"AAAAACvx+ww=")</f>
        <v>#REF!</v>
      </c>
      <c r="N5" t="e">
        <f>AND(#REF!,"AAAAACvx+w0=")</f>
        <v>#REF!</v>
      </c>
      <c r="O5" t="e">
        <f>AND(#REF!,"AAAAACvx+w4=")</f>
        <v>#REF!</v>
      </c>
      <c r="P5" t="e">
        <f>AND(#REF!,"AAAAACvx+w8=")</f>
        <v>#REF!</v>
      </c>
      <c r="Q5" t="e">
        <f>AND(#REF!,"AAAAACvx+xA=")</f>
        <v>#REF!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ORM_Schedule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Trung Kien</dc:creator>
  <cp:keywords>Syllabus</cp:keywords>
  <dc:description>- Sửa đổi toàn bộ cấu trúc &amp; nội dung tài liệu
Lý do:
Phục vụ nhu cầu thực tế</dc:description>
  <cp:lastModifiedBy>Ho Duc Linh (FWA.EC)</cp:lastModifiedBy>
  <cp:lastPrinted>2019-10-04T04:21:40Z</cp:lastPrinted>
  <dcterms:created xsi:type="dcterms:W3CDTF">2010-11-19T03:46:05Z</dcterms:created>
  <dcterms:modified xsi:type="dcterms:W3CDTF">2021-03-12T07:25:36Z</dcterms:modified>
  <cp:category>Template</cp:category>
  <cp:contentStatus>20/11/2012</cp:contentStatus>
</cp:coreProperties>
</file>