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ForTrainees\FAca_Courseware\Java FullStack Web Developer\Java\FTF_FullJavaWebDev_v1.0\ORM\"/>
    </mc:Choice>
  </mc:AlternateContent>
  <bookViews>
    <workbookView xWindow="0" yWindow="0" windowWidth="28800" windowHeight="11400"/>
  </bookViews>
  <sheets>
    <sheet name="ORM_Syllabus" sheetId="7" r:id="rId1"/>
    <sheet name="ORM_Schedule" sheetId="11" r:id="rId2"/>
    <sheet name="Author and Rec of Changes" sheetId="9" r:id="rId3"/>
    <sheet name="DV-IDENTITY-0" sheetId="10" state="veryHidden" r:id="rId4"/>
  </sheets>
  <definedNames>
    <definedName name="_xlnm._FilterDatabase" localSheetId="1" hidden="1">ORM_Schedule!$A$2:$J$41</definedName>
    <definedName name="_xlnm._FilterDatabase" hidden="1">#REF!</definedName>
    <definedName name="_xlnm.Print_Area" localSheetId="2">'Author and Rec of Changes'!$A$1:$F$17</definedName>
  </definedNames>
  <calcPr calcId="162913"/>
</workbook>
</file>

<file path=xl/calcChain.xml><?xml version="1.0" encoding="utf-8"?>
<calcChain xmlns="http://schemas.openxmlformats.org/spreadsheetml/2006/main">
  <c r="D15" i="7" l="1"/>
  <c r="D16" i="7"/>
  <c r="D17" i="7"/>
  <c r="D18" i="7"/>
  <c r="D19" i="7"/>
  <c r="D14" i="7"/>
  <c r="I44" i="11"/>
  <c r="I45" i="11"/>
  <c r="I46" i="11"/>
  <c r="I47" i="11"/>
  <c r="I48" i="11"/>
  <c r="H44" i="11"/>
  <c r="H45" i="11"/>
  <c r="H46" i="11"/>
  <c r="H47" i="11"/>
  <c r="H48" i="11"/>
  <c r="H43" i="11"/>
  <c r="H49" i="11"/>
  <c r="H52" i="11"/>
  <c r="H51" i="11"/>
  <c r="A1" i="7"/>
  <c r="A1" i="10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W1" i="10"/>
  <c r="CX1" i="10"/>
  <c r="CY1" i="10"/>
  <c r="CZ1" i="10"/>
  <c r="DA1" i="10"/>
  <c r="DB1" i="10"/>
  <c r="DC1" i="10"/>
  <c r="DD1" i="10"/>
  <c r="DE1" i="10"/>
  <c r="DF1" i="10"/>
  <c r="DG1" i="10"/>
  <c r="DH1" i="10"/>
  <c r="DI1" i="10"/>
  <c r="DJ1" i="10"/>
  <c r="DK1" i="10"/>
  <c r="DL1" i="10"/>
  <c r="DM1" i="10"/>
  <c r="DN1" i="10"/>
  <c r="DO1" i="10"/>
  <c r="DP1" i="10"/>
  <c r="DQ1" i="10"/>
  <c r="DR1" i="10"/>
  <c r="DS1" i="10"/>
  <c r="DT1" i="10"/>
  <c r="DU1" i="10"/>
  <c r="DV1" i="10"/>
  <c r="DW1" i="10"/>
  <c r="DX1" i="10"/>
  <c r="DY1" i="10"/>
  <c r="DZ1" i="10"/>
  <c r="EA1" i="10"/>
  <c r="EB1" i="10"/>
  <c r="EC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I43" i="11"/>
  <c r="I49" i="11"/>
</calcChain>
</file>

<file path=xl/sharedStrings.xml><?xml version="1.0" encoding="utf-8"?>
<sst xmlns="http://schemas.openxmlformats.org/spreadsheetml/2006/main" count="371" uniqueCount="190">
  <si>
    <t>Unit</t>
  </si>
  <si>
    <t>Notes</t>
  </si>
  <si>
    <t>References</t>
  </si>
  <si>
    <t>RECORD OF CHANGES</t>
  </si>
  <si>
    <t>*A - Added M - Modified D - Deleted</t>
  </si>
  <si>
    <t>Date</t>
  </si>
  <si>
    <t>Changes</t>
  </si>
  <si>
    <t>Contents</t>
  </si>
  <si>
    <t>Version</t>
  </si>
  <si>
    <t>A*
M, D</t>
  </si>
  <si>
    <t>Topic Code</t>
  </si>
  <si>
    <t>Topic Name</t>
  </si>
  <si>
    <t>Training Audience</t>
  </si>
  <si>
    <t>Course Objectives</t>
  </si>
  <si>
    <t>Topic Outline</t>
  </si>
  <si>
    <t>Time Allocation</t>
  </si>
  <si>
    <t>Concept/Lecture</t>
  </si>
  <si>
    <t>Assignment/Lab</t>
  </si>
  <si>
    <t>Test/Quiz</t>
  </si>
  <si>
    <t>Guides/Review</t>
  </si>
  <si>
    <t>Text book</t>
  </si>
  <si>
    <t>Technical requirements</t>
  </si>
  <si>
    <t>Assessment Scheme</t>
  </si>
  <si>
    <t>Quiz</t>
  </si>
  <si>
    <t>Assignments</t>
  </si>
  <si>
    <t>Final Test</t>
  </si>
  <si>
    <t>Passing criteria</t>
  </si>
  <si>
    <t>Name</t>
  </si>
  <si>
    <t>Code</t>
  </si>
  <si>
    <t>Training Materials &amp; Environments</t>
  </si>
  <si>
    <t>Training Delivery Principles</t>
  </si>
  <si>
    <t>Re-Test</t>
  </si>
  <si>
    <t>Trainees</t>
  </si>
  <si>
    <t>Trainer</t>
  </si>
  <si>
    <t>Training</t>
  </si>
  <si>
    <t>Others</t>
  </si>
  <si>
    <t>AUTHORSHIP</t>
  </si>
  <si>
    <t>Role</t>
  </si>
  <si>
    <t>Delivery Type</t>
  </si>
  <si>
    <t>Content</t>
  </si>
  <si>
    <t>Training Materials / Logistics &amp; General Notes
(Required, For Reference, etc.)</t>
  </si>
  <si>
    <t>Total</t>
  </si>
  <si>
    <t>Exam</t>
  </si>
  <si>
    <t>Marking</t>
  </si>
  <si>
    <t>AAAAAH/rVCM=</t>
  </si>
  <si>
    <t>AAAAAH/rVCQ=</t>
  </si>
  <si>
    <t>AAAAAH/rVCU=</t>
  </si>
  <si>
    <t>Creator</t>
  </si>
  <si>
    <t>Reviewer</t>
  </si>
  <si>
    <t>Approver</t>
  </si>
  <si>
    <t>Waiver Criteria</t>
  </si>
  <si>
    <t>Description</t>
  </si>
  <si>
    <t>Training Unit/Chapter</t>
  </si>
  <si>
    <t>Lecture</t>
  </si>
  <si>
    <t>Learning Objectives</t>
  </si>
  <si>
    <t>Training Format</t>
  </si>
  <si>
    <t>Offline</t>
  </si>
  <si>
    <t>Account</t>
  </si>
  <si>
    <t>Trainees who are software developers (SD) with basic backgroud and skills on programming language</t>
  </si>
  <si>
    <t>Nguyễn Thị Điệu</t>
  </si>
  <si>
    <t>DieuNT1</t>
  </si>
  <si>
    <t>Create new</t>
  </si>
  <si>
    <t>A</t>
  </si>
  <si>
    <t>Topic Revision</t>
  </si>
  <si>
    <t>Seminar/Workshop</t>
  </si>
  <si>
    <t>Concepts, theory</t>
  </si>
  <si>
    <t>Assignment, Lab</t>
  </si>
  <si>
    <t>JavaBasic Schedule</t>
  </si>
  <si>
    <t>Update</t>
  </si>
  <si>
    <t>Nguyễn Văn Vinh</t>
  </si>
  <si>
    <t>VinhNV</t>
  </si>
  <si>
    <t>Students pass the final test
Audited by the trainer: rank B</t>
  </si>
  <si>
    <t>ORM</t>
  </si>
  <si>
    <t>Hibernate Introduction</t>
  </si>
  <si>
    <t>Hibernate Mapping</t>
  </si>
  <si>
    <t>Database Design</t>
  </si>
  <si>
    <t>K4SD</t>
  </si>
  <si>
    <t>Hiểu về nguyên lí và các thuộc tính cơ bản của Cơ sở dữ liệu quan hệ</t>
  </si>
  <si>
    <t>Sử dụng ORM Framework (Object Relational Mapping) để quản lý tài nguyên, cài đặt truy cập dữ liệu, transaction strategies</t>
  </si>
  <si>
    <t>ORM Framework</t>
  </si>
  <si>
    <t>H2SD</t>
  </si>
  <si>
    <t>In details, after completing the course, trainees will:</t>
  </si>
  <si>
    <t>- Dạng bài tập học viên tự giải
- Mỗi assignment có 3 types: S - Short (thời gian hoàn thành &lt;60 phút, M - Medium (thời gian hoàn thành 60-&lt;=90 phút), L - Long (thời gian hoàn thành &gt;90 phút)</t>
  </si>
  <si>
    <t>Assignment 1</t>
  </si>
  <si>
    <t>Assignment 2</t>
  </si>
  <si>
    <t>https://docs.jboss.org/hibernate/orm/4.3/manual/en-US/html_single/</t>
  </si>
  <si>
    <t>Lecture1.1_Hibernate tutorial</t>
  </si>
  <si>
    <t>Lecture1.2_Hibernate Queries and Criteria</t>
  </si>
  <si>
    <t>Lecture1.3_Hibernate Caching and Stored Procedure</t>
  </si>
  <si>
    <t>https://www.baeldung.com/jpa-pagination</t>
  </si>
  <si>
    <t>Hibernate ORM</t>
  </si>
  <si>
    <t>Topic Exam</t>
  </si>
  <si>
    <t>Theory Part</t>
  </si>
  <si>
    <t>Practice Part</t>
  </si>
  <si>
    <t>Quiz 1</t>
  </si>
  <si>
    <t>Quiz 2</t>
  </si>
  <si>
    <t>10-20 Questions/15-30 minutes</t>
  </si>
  <si>
    <t>M</t>
  </si>
  <si>
    <t>Update review comments</t>
  </si>
  <si>
    <t>Approve</t>
  </si>
  <si>
    <t>Change course code
Apply Fsoft template
Add ORM Syllabus
Update ORM Schedule</t>
  </si>
  <si>
    <t>FWA.FA</t>
  </si>
  <si>
    <t>Session 1</t>
  </si>
  <si>
    <t>Lecture 01</t>
  </si>
  <si>
    <t>ORM.S.A101</t>
  </si>
  <si>
    <t>Session 2</t>
  </si>
  <si>
    <t>Session 3</t>
  </si>
  <si>
    <t>Session 4</t>
  </si>
  <si>
    <t>Hibernate Validator</t>
  </si>
  <si>
    <t>Session 5</t>
  </si>
  <si>
    <t>Hibernate Caching</t>
  </si>
  <si>
    <t>Session 6</t>
  </si>
  <si>
    <t>Homework</t>
  </si>
  <si>
    <t>ORM.L.A101</t>
  </si>
  <si>
    <t>`</t>
  </si>
  <si>
    <t>Lab 1</t>
  </si>
  <si>
    <t>Lab 2</t>
  </si>
  <si>
    <t>Lab 4</t>
  </si>
  <si>
    <t>Lab 3</t>
  </si>
  <si>
    <t>- Describe the architecture and components of the Hibernate framework
- Hibernate's benefits over using a JDBC connection
- Use properties in the Hibernate Configuration file
- Use Session, SessionFactory and Transaction
- Apply basic annotations: @Entity, @Table, @Id and @GeneratedValue, @Column, association related annotations, ... in specific situations
- Working with collections and associations: Value and Entity Types, bidirectional and unidirectional, relationships (1-1, 1-N, N-N)
- Install Lazy loading, Eager loading, Hibernate caching (First level cache, Second level cache, Query cache)
- Working with Hibernate queries, HQL, Criteria
- Build a Java application using Hibernate</t>
  </si>
  <si>
    <t>Duration (hours)</t>
  </si>
  <si>
    <t>Session</t>
  </si>
  <si>
    <t>Online Lecture</t>
  </si>
  <si>
    <t>v1.0</t>
  </si>
  <si>
    <r>
      <t xml:space="preserve">This topic is to introduce about Java programming language knowledge; adapt trainees with skills, lessons and practices which is specifically used in the Fsoft projects. 
</t>
    </r>
    <r>
      <rPr>
        <b/>
        <sz val="10"/>
        <rFont val="Aarial"/>
      </rPr>
      <t>The topic cover following output standards</t>
    </r>
  </si>
  <si>
    <t>Course Introduction</t>
  </si>
  <si>
    <t>Syllabus</t>
  </si>
  <si>
    <t>Hibernate Introduction
Hibernate Advantages
Hibernate Architecture
Core Objects
Configuration
Session and SessionFactory</t>
  </si>
  <si>
    <t>Practice</t>
  </si>
  <si>
    <t>Code Demo/Offline Practice time</t>
  </si>
  <si>
    <t>Hibernate Introduction/Lecture Quiz</t>
  </si>
  <si>
    <t>Assignment review and guides</t>
  </si>
  <si>
    <t>Online Video, Lecture quiz</t>
  </si>
  <si>
    <t>Pre-Test, Final Topic Test</t>
  </si>
  <si>
    <t>Trainees’ PCs need to have following softwares installed &amp; run without any issues:
• Java JDK v7 up
• Eclipse IDE for Java Developers
• Microsoft SQL Server 2008 Express or up (in which they create &amp; control on their DB)
• Maven</t>
  </si>
  <si>
    <t>15% (5 quizzes, to do in 30 minutes)</t>
  </si>
  <si>
    <t>Học viên đủ tiêu chuẩn đầu vào học Chương trình đào tạo Lập trình viên Java Web Fullstack (Fullstack Java Web Developer)</t>
  </si>
  <si>
    <t>Trainer and mentor has a good knowledge of the Java programming language that has been evaluated by FPT Software Academy.</t>
  </si>
  <si>
    <t>N/A</t>
  </si>
  <si>
    <t>Annotations
Hibernate relationship
Collection Mapping
Lazy loading and Eager loading
Hibernate Application
Hibernate Mapping</t>
  </si>
  <si>
    <t>Assignment Review</t>
  </si>
  <si>
    <t>Giảng viên chữa bài</t>
  </si>
  <si>
    <t>Hibernate Mapping/Lecture Quiz</t>
  </si>
  <si>
    <t>Queries Intro
Native SQL
HQL
Proxy Object
Get and Load method
Save, Persist, Update, Merge, SaveOrUpdate
Hibernate Criteria Query Language
Advantage of HCQL
Criteria interface
Restrictions class</t>
  </si>
  <si>
    <t>Hibernate Queries and Criteria/Lecture Quiz</t>
  </si>
  <si>
    <t>Assignment</t>
  </si>
  <si>
    <t>ORM.L.A101 (con't)</t>
  </si>
  <si>
    <t>Hibernate Queries</t>
  </si>
  <si>
    <t>Hibernate Criteria Query Language
Advantage of HCQL
Criteria interface
Restrictions class</t>
  </si>
  <si>
    <t>ORM.L.L101 (Con't)</t>
  </si>
  <si>
    <t>ORM.L.L101</t>
  </si>
  <si>
    <t>Criteria Query Language</t>
  </si>
  <si>
    <t>Unit05</t>
  </si>
  <si>
    <t>Unit04</t>
  </si>
  <si>
    <t>Unit03</t>
  </si>
  <si>
    <t>Unit02</t>
  </si>
  <si>
    <t>Unit01</t>
  </si>
  <si>
    <t>Named Query (@NamedQueries and @NamedQuery)
Validation annotations
Validating Ranges
Validating Strings
Hibernate validation @Pattern</t>
  </si>
  <si>
    <t>Hibernate Validator/Lecture Quiz</t>
  </si>
  <si>
    <t>Caching in Hibernate
First Level Cache
Second Level Cache
Query Cache</t>
  </si>
  <si>
    <t>Hibernate Caching/Lecture Quiz</t>
  </si>
  <si>
    <t>ORM.L.L401</t>
  </si>
  <si>
    <t>ORM.L.L301</t>
  </si>
  <si>
    <t>ORM.L.L201</t>
  </si>
  <si>
    <t xml:space="preserve">- Trainer will train concept and fix the assignment in 3 hours/session.
- The student must complete 2 Quizzes, each quiz in 15-30 minutes.
- Trainer/Mentor supports answering questions, guiding exercises at least 30 mins/trainee/week (or 6.0h/week).
- Trainee must complete all assignments, labs
- Trainee have 1 final test in 4 hours (0.75 hour theory + 3 hours of practice).
- Trainee be required to complete online learning according to MOOC links provided
</t>
  </si>
  <si>
    <t xml:space="preserve">Only allow each student to retake the test up to 2 times; Re-exam the same structure as the Final Test. </t>
  </si>
  <si>
    <t>- Trainer marks students on Assignments, Quiz, Final Test Theory, Final Test Practice.
- If the trainees have to retake the final test, the score will be taken on the latest exam.</t>
  </si>
  <si>
    <t>https://codelearn.io/learning/hibernate-orm</t>
  </si>
  <si>
    <t>Homework/Online</t>
  </si>
  <si>
    <t>Unit06</t>
  </si>
  <si>
    <t>Unit06_Hibernate Caching.pptx</t>
  </si>
  <si>
    <t>Unit05_Hibernate Validator.pptx</t>
  </si>
  <si>
    <t>Unit04_Criteria Query Language.pptx</t>
  </si>
  <si>
    <t>Unit03_Hibernate Queries.pptx</t>
  </si>
  <si>
    <t>Unit02_Hibernate Mapping.pptx</t>
  </si>
  <si>
    <t>Unit01_Hibernate Introduction.pptx</t>
  </si>
  <si>
    <t>v0.7</t>
  </si>
  <si>
    <t>v0.8</t>
  </si>
  <si>
    <r>
      <rPr>
        <b/>
        <sz val="10"/>
        <rFont val="Aarial"/>
      </rPr>
      <t>Session 1:</t>
    </r>
    <r>
      <rPr>
        <sz val="10"/>
        <rFont val="Aarial"/>
      </rPr>
      <t xml:space="preserve">
Unit01 Hibernate Introduction 
</t>
    </r>
    <r>
      <rPr>
        <b/>
        <sz val="10"/>
        <rFont val="Aarial"/>
      </rPr>
      <t>Session 2:</t>
    </r>
    <r>
      <rPr>
        <sz val="10"/>
        <rFont val="Aarial"/>
      </rPr>
      <t xml:space="preserve">
Unit02 Hibernate Mapping
</t>
    </r>
    <r>
      <rPr>
        <b/>
        <sz val="10"/>
        <rFont val="Aarial"/>
      </rPr>
      <t>Session 3:</t>
    </r>
    <r>
      <rPr>
        <sz val="10"/>
        <rFont val="Aarial"/>
      </rPr>
      <t xml:space="preserve">
Unit03 Hibernate Queries 
</t>
    </r>
    <r>
      <rPr>
        <b/>
        <sz val="10"/>
        <rFont val="Aarial"/>
      </rPr>
      <t>Session 4:</t>
    </r>
    <r>
      <rPr>
        <sz val="10"/>
        <rFont val="Aarial"/>
      </rPr>
      <t xml:space="preserve">
Unit04 Criteria Query Language 
</t>
    </r>
    <r>
      <rPr>
        <b/>
        <sz val="10"/>
        <rFont val="Aarial"/>
      </rPr>
      <t>Session 5:</t>
    </r>
    <r>
      <rPr>
        <sz val="10"/>
        <rFont val="Aarial"/>
      </rPr>
      <t xml:space="preserve">
Unit05 Hibernate Validator
</t>
    </r>
    <r>
      <rPr>
        <b/>
        <sz val="10"/>
        <rFont val="Aarial"/>
      </rPr>
      <t>Session 6:</t>
    </r>
    <r>
      <rPr>
        <sz val="10"/>
        <rFont val="Aarial"/>
      </rPr>
      <t xml:space="preserve">
Unit06 Hibernate Caching
</t>
    </r>
    <r>
      <rPr>
        <b/>
        <sz val="10"/>
        <rFont val="Aarial"/>
      </rPr>
      <t>Session 7:</t>
    </r>
    <r>
      <rPr>
        <sz val="10"/>
        <rFont val="Aarial"/>
      </rPr>
      <t xml:space="preserve">
- Topic Revision
- Presentation
</t>
    </r>
    <r>
      <rPr>
        <b/>
        <sz val="10"/>
        <rFont val="Aarial"/>
      </rPr>
      <t>Session 8:</t>
    </r>
    <r>
      <rPr>
        <sz val="10"/>
        <rFont val="Aarial"/>
      </rPr>
      <t xml:space="preserve">
- FinalTest</t>
    </r>
  </si>
  <si>
    <t>8 Sessions</t>
  </si>
  <si>
    <t>Presentation</t>
  </si>
  <si>
    <t>Session 7</t>
  </si>
  <si>
    <t>Sesson 8</t>
  </si>
  <si>
    <t>Update Course Objectives
Assessment Scheme: 15 % Daily Quiz, 25% Assignment, 60% FinalTest</t>
  </si>
  <si>
    <t>v0.9</t>
  </si>
  <si>
    <t>Nguyễn Văn Liêm</t>
  </si>
  <si>
    <t>LiemNV</t>
  </si>
  <si>
    <t>15% (Grade 1 long assignment, Review 1 short assignment)</t>
  </si>
  <si>
    <t>70%
------------------
30% theory (to do in 0.75 h) 
70% practice (to do in 3.0 h)</t>
  </si>
  <si>
    <t>Total topic mark &gt;= 6/10
-----------------------------
Completed 100% offline Lecture, Online video, Quiz, Assignments,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</si>
</sst>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arial"/>
    </font>
    <font>
      <sz val="10"/>
      <name val="Aarial"/>
    </font>
    <font>
      <i/>
      <sz val="10"/>
      <name val="A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4.9989318521683403E-2"/>
      <name val="Arial"/>
      <family val="2"/>
    </font>
    <font>
      <b/>
      <sz val="18"/>
      <name val="Aarial"/>
    </font>
    <font>
      <sz val="6"/>
      <name val="ＭＳ Ｐゴシック"/>
      <family val="3"/>
      <charset val="128"/>
    </font>
    <font>
      <sz val="10"/>
      <name val="Cambria"/>
      <family val="3"/>
      <charset val="128"/>
      <scheme val="major"/>
    </font>
    <font>
      <sz val="10"/>
      <color theme="1"/>
      <name val="Cambria"/>
      <family val="3"/>
      <charset val="128"/>
      <scheme val="major"/>
    </font>
    <font>
      <sz val="10"/>
      <color rgb="FF000000"/>
      <name val="Cambria"/>
      <family val="3"/>
      <charset val="128"/>
      <scheme val="major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3" fillId="0" borderId="0" applyFont="0" applyFill="0" applyBorder="0" applyAlignment="0" applyProtection="0"/>
    <xf numFmtId="0" fontId="1" fillId="0" borderId="0"/>
  </cellStyleXfs>
  <cellXfs count="188">
    <xf numFmtId="0" fontId="0" fillId="0" borderId="0" xfId="0"/>
    <xf numFmtId="0" fontId="12" fillId="0" borderId="0" xfId="2"/>
    <xf numFmtId="9" fontId="2" fillId="0" borderId="0" xfId="3" applyFont="1"/>
    <xf numFmtId="0" fontId="8" fillId="3" borderId="1" xfId="2" applyFont="1" applyFill="1" applyBorder="1"/>
    <xf numFmtId="0" fontId="10" fillId="2" borderId="2" xfId="0" applyFont="1" applyFill="1" applyBorder="1" applyAlignment="1">
      <alignment vertical="top" wrapText="1"/>
    </xf>
    <xf numFmtId="15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center" vertical="center" wrapText="1"/>
    </xf>
    <xf numFmtId="0" fontId="10" fillId="3" borderId="0" xfId="2" applyFont="1" applyFill="1"/>
    <xf numFmtId="0" fontId="10" fillId="3" borderId="0" xfId="2" applyFont="1" applyFill="1" applyAlignment="1">
      <alignment horizontal="left"/>
    </xf>
    <xf numFmtId="0" fontId="10" fillId="3" borderId="0" xfId="2" applyFont="1" applyFill="1" applyAlignment="1">
      <alignment horizontal="right"/>
    </xf>
    <xf numFmtId="9" fontId="10" fillId="3" borderId="1" xfId="3" applyNumberFormat="1" applyFont="1" applyFill="1" applyBorder="1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15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9" fontId="6" fillId="3" borderId="2" xfId="0" applyNumberFormat="1" applyFont="1" applyFill="1" applyBorder="1" applyAlignment="1">
      <alignment horizontal="center" vertical="center" wrapText="1"/>
    </xf>
    <xf numFmtId="0" fontId="8" fillId="3" borderId="0" xfId="2" applyFont="1" applyFill="1"/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13" fillId="2" borderId="10" xfId="1" applyFill="1" applyBorder="1" applyAlignment="1" applyProtection="1">
      <alignment vertical="center"/>
    </xf>
    <xf numFmtId="0" fontId="8" fillId="3" borderId="21" xfId="2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10" fillId="2" borderId="22" xfId="2" applyFont="1" applyFill="1" applyBorder="1" applyAlignment="1">
      <alignment horizontal="left" vertical="top"/>
    </xf>
    <xf numFmtId="0" fontId="10" fillId="2" borderId="22" xfId="0" applyNumberFormat="1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left" vertical="center"/>
    </xf>
    <xf numFmtId="2" fontId="10" fillId="2" borderId="22" xfId="2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left" vertical="center" wrapText="1"/>
    </xf>
    <xf numFmtId="0" fontId="10" fillId="2" borderId="22" xfId="0" applyNumberFormat="1" applyFont="1" applyFill="1" applyBorder="1" applyAlignment="1">
      <alignment vertical="top" wrapText="1"/>
    </xf>
    <xf numFmtId="0" fontId="10" fillId="2" borderId="22" xfId="0" applyFont="1" applyFill="1" applyBorder="1" applyAlignment="1">
      <alignment vertical="top"/>
    </xf>
    <xf numFmtId="0" fontId="0" fillId="0" borderId="22" xfId="0" applyBorder="1" applyAlignment="1">
      <alignment wrapText="1"/>
    </xf>
    <xf numFmtId="0" fontId="10" fillId="2" borderId="22" xfId="0" quotePrefix="1" applyFont="1" applyFill="1" applyBorder="1" applyAlignment="1">
      <alignment horizontal="justify" vertical="top" wrapText="1"/>
    </xf>
    <xf numFmtId="0" fontId="10" fillId="2" borderId="23" xfId="0" applyNumberFormat="1" applyFont="1" applyFill="1" applyBorder="1" applyAlignment="1">
      <alignment vertical="top" wrapText="1"/>
    </xf>
    <xf numFmtId="0" fontId="10" fillId="2" borderId="23" xfId="0" applyFont="1" applyFill="1" applyBorder="1" applyAlignment="1">
      <alignment vertical="top"/>
    </xf>
    <xf numFmtId="0" fontId="10" fillId="2" borderId="24" xfId="2" applyFont="1" applyFill="1" applyBorder="1" applyAlignment="1">
      <alignment horizontal="left" vertical="top"/>
    </xf>
    <xf numFmtId="0" fontId="10" fillId="2" borderId="21" xfId="0" applyFont="1" applyFill="1" applyBorder="1" applyAlignment="1">
      <alignment horizontal="left" vertical="center"/>
    </xf>
    <xf numFmtId="0" fontId="0" fillId="0" borderId="21" xfId="0" applyFont="1" applyBorder="1" applyAlignment="1">
      <alignment horizontal="left" vertical="center" wrapText="1"/>
    </xf>
    <xf numFmtId="0" fontId="14" fillId="2" borderId="21" xfId="2" applyFont="1" applyFill="1" applyBorder="1" applyAlignment="1">
      <alignment horizontal="left" vertical="top"/>
    </xf>
    <xf numFmtId="0" fontId="10" fillId="2" borderId="21" xfId="0" applyFont="1" applyFill="1" applyBorder="1" applyAlignment="1">
      <alignment vertical="top"/>
    </xf>
    <xf numFmtId="164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10" fillId="2" borderId="22" xfId="2" applyFont="1" applyFill="1" applyBorder="1" applyAlignment="1">
      <alignment vertical="top" wrapText="1"/>
    </xf>
    <xf numFmtId="0" fontId="10" fillId="2" borderId="23" xfId="2" applyFont="1" applyFill="1" applyBorder="1" applyAlignment="1">
      <alignment horizontal="left" vertical="top"/>
    </xf>
    <xf numFmtId="0" fontId="10" fillId="2" borderId="23" xfId="2" applyFont="1" applyFill="1" applyBorder="1" applyAlignment="1">
      <alignment vertical="top"/>
    </xf>
    <xf numFmtId="2" fontId="10" fillId="0" borderId="22" xfId="2" applyNumberFormat="1" applyFont="1" applyFill="1" applyBorder="1" applyAlignment="1">
      <alignment horizontal="center" vertical="center"/>
    </xf>
    <xf numFmtId="0" fontId="14" fillId="2" borderId="22" xfId="2" applyFont="1" applyFill="1" applyBorder="1" applyAlignment="1">
      <alignment horizontal="left" vertical="top" wrapText="1"/>
    </xf>
    <xf numFmtId="0" fontId="14" fillId="2" borderId="22" xfId="0" applyNumberFormat="1" applyFont="1" applyFill="1" applyBorder="1" applyAlignment="1">
      <alignment vertical="top" wrapText="1"/>
    </xf>
    <xf numFmtId="0" fontId="14" fillId="2" borderId="21" xfId="0" applyNumberFormat="1" applyFont="1" applyFill="1" applyBorder="1" applyAlignment="1">
      <alignment horizontal="left" vertical="center" wrapText="1"/>
    </xf>
    <xf numFmtId="2" fontId="10" fillId="2" borderId="21" xfId="2" applyNumberFormat="1" applyFont="1" applyFill="1" applyBorder="1" applyAlignment="1">
      <alignment horizontal="center" vertical="center"/>
    </xf>
    <xf numFmtId="2" fontId="10" fillId="2" borderId="1" xfId="2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vertical="top" wrapText="1"/>
    </xf>
    <xf numFmtId="0" fontId="10" fillId="2" borderId="1" xfId="2" applyFont="1" applyFill="1" applyBorder="1" applyAlignment="1">
      <alignment horizontal="left" vertical="top"/>
    </xf>
    <xf numFmtId="0" fontId="5" fillId="3" borderId="8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8" fillId="3" borderId="21" xfId="2" applyNumberFormat="1" applyFont="1" applyFill="1" applyBorder="1" applyAlignment="1">
      <alignment horizontal="center" vertical="center" wrapText="1"/>
    </xf>
    <xf numFmtId="2" fontId="17" fillId="2" borderId="22" xfId="0" applyNumberFormat="1" applyFont="1" applyFill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 vertical="top"/>
    </xf>
    <xf numFmtId="2" fontId="17" fillId="2" borderId="22" xfId="0" applyNumberFormat="1" applyFont="1" applyFill="1" applyBorder="1" applyAlignment="1">
      <alignment horizontal="center" vertical="top" wrapText="1"/>
    </xf>
    <xf numFmtId="2" fontId="19" fillId="0" borderId="22" xfId="0" applyNumberFormat="1" applyFont="1" applyBorder="1" applyAlignment="1">
      <alignment horizontal="center" vertical="top"/>
    </xf>
    <xf numFmtId="2" fontId="17" fillId="2" borderId="21" xfId="0" applyNumberFormat="1" applyFont="1" applyFill="1" applyBorder="1" applyAlignment="1">
      <alignment horizontal="center" vertical="center"/>
    </xf>
    <xf numFmtId="2" fontId="17" fillId="0" borderId="22" xfId="0" applyNumberFormat="1" applyFont="1" applyFill="1" applyBorder="1" applyAlignment="1">
      <alignment horizontal="center" vertical="center"/>
    </xf>
    <xf numFmtId="2" fontId="18" fillId="0" borderId="23" xfId="0" applyNumberFormat="1" applyFont="1" applyBorder="1" applyAlignment="1">
      <alignment horizontal="center" vertical="top"/>
    </xf>
    <xf numFmtId="2" fontId="10" fillId="3" borderId="0" xfId="2" applyNumberFormat="1" applyFont="1" applyFill="1"/>
    <xf numFmtId="2" fontId="10" fillId="3" borderId="1" xfId="2" applyNumberFormat="1" applyFont="1" applyFill="1" applyBorder="1" applyAlignment="1">
      <alignment horizontal="center"/>
    </xf>
    <xf numFmtId="2" fontId="8" fillId="3" borderId="1" xfId="2" applyNumberFormat="1" applyFont="1" applyFill="1" applyBorder="1" applyAlignment="1">
      <alignment horizontal="center"/>
    </xf>
    <xf numFmtId="2" fontId="10" fillId="3" borderId="0" xfId="2" applyNumberFormat="1" applyFont="1" applyFill="1" applyAlignment="1">
      <alignment horizontal="right"/>
    </xf>
    <xf numFmtId="0" fontId="13" fillId="2" borderId="23" xfId="1" applyFill="1" applyBorder="1" applyAlignment="1" applyProtection="1">
      <alignment horizontal="justify" vertical="top" wrapText="1"/>
    </xf>
    <xf numFmtId="0" fontId="13" fillId="2" borderId="23" xfId="1" applyFill="1" applyBorder="1" applyAlignment="1" applyProtection="1">
      <alignment vertical="top"/>
    </xf>
    <xf numFmtId="0" fontId="0" fillId="0" borderId="22" xfId="0" applyFont="1" applyBorder="1" applyAlignment="1">
      <alignment horizontal="left" vertical="top"/>
    </xf>
    <xf numFmtId="2" fontId="17" fillId="2" borderId="23" xfId="0" applyNumberFormat="1" applyFont="1" applyFill="1" applyBorder="1" applyAlignment="1">
      <alignment horizontal="center" vertical="top" wrapText="1"/>
    </xf>
    <xf numFmtId="2" fontId="10" fillId="2" borderId="23" xfId="2" applyNumberFormat="1" applyFont="1" applyFill="1" applyBorder="1" applyAlignment="1">
      <alignment horizontal="center" vertical="center"/>
    </xf>
    <xf numFmtId="0" fontId="13" fillId="0" borderId="23" xfId="1" applyBorder="1" applyAlignment="1" applyProtection="1">
      <alignment wrapText="1"/>
    </xf>
    <xf numFmtId="0" fontId="10" fillId="2" borderId="21" xfId="2" applyFont="1" applyFill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14" fillId="2" borderId="21" xfId="0" applyFont="1" applyFill="1" applyBorder="1" applyAlignment="1">
      <alignment vertical="top"/>
    </xf>
    <xf numFmtId="2" fontId="14" fillId="0" borderId="21" xfId="0" applyNumberFormat="1" applyFont="1" applyBorder="1" applyAlignment="1">
      <alignment horizontal="center" vertical="top"/>
    </xf>
    <xf numFmtId="0" fontId="14" fillId="2" borderId="21" xfId="1" applyNumberFormat="1" applyFont="1" applyFill="1" applyBorder="1" applyAlignment="1" applyProtection="1">
      <alignment vertical="top" wrapText="1"/>
    </xf>
    <xf numFmtId="2" fontId="18" fillId="0" borderId="22" xfId="0" applyNumberFormat="1" applyFont="1" applyFill="1" applyBorder="1" applyAlignment="1">
      <alignment horizontal="center" vertical="top"/>
    </xf>
    <xf numFmtId="2" fontId="19" fillId="0" borderId="22" xfId="0" applyNumberFormat="1" applyFont="1" applyFill="1" applyBorder="1" applyAlignment="1">
      <alignment horizontal="center" vertical="top"/>
    </xf>
    <xf numFmtId="2" fontId="20" fillId="2" borderId="21" xfId="0" applyNumberFormat="1" applyFont="1" applyFill="1" applyBorder="1" applyAlignment="1">
      <alignment horizontal="center" vertical="top"/>
    </xf>
    <xf numFmtId="2" fontId="17" fillId="0" borderId="22" xfId="0" applyNumberFormat="1" applyFont="1" applyFill="1" applyBorder="1" applyAlignment="1">
      <alignment horizontal="center" vertical="top"/>
    </xf>
    <xf numFmtId="0" fontId="10" fillId="2" borderId="24" xfId="2" applyFont="1" applyFill="1" applyBorder="1" applyAlignment="1">
      <alignment vertical="top" wrapText="1"/>
    </xf>
    <xf numFmtId="0" fontId="10" fillId="2" borderId="24" xfId="0" applyFont="1" applyFill="1" applyBorder="1" applyAlignment="1">
      <alignment vertical="top"/>
    </xf>
    <xf numFmtId="2" fontId="18" fillId="0" borderId="24" xfId="0" applyNumberFormat="1" applyFont="1" applyBorder="1" applyAlignment="1">
      <alignment horizontal="center" vertical="top"/>
    </xf>
    <xf numFmtId="2" fontId="10" fillId="2" borderId="24" xfId="2" applyNumberFormat="1" applyFont="1" applyFill="1" applyBorder="1" applyAlignment="1">
      <alignment horizontal="center" vertical="center"/>
    </xf>
    <xf numFmtId="0" fontId="10" fillId="2" borderId="22" xfId="0" applyNumberFormat="1" applyFont="1" applyFill="1" applyBorder="1" applyAlignment="1">
      <alignment horizontal="center" vertical="center" wrapText="1"/>
    </xf>
    <xf numFmtId="0" fontId="10" fillId="2" borderId="21" xfId="0" applyNumberFormat="1" applyFont="1" applyFill="1" applyBorder="1" applyAlignment="1">
      <alignment horizontal="center" vertical="center" wrapText="1"/>
    </xf>
    <xf numFmtId="0" fontId="10" fillId="2" borderId="23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2" fontId="10" fillId="2" borderId="22" xfId="0" applyNumberFormat="1" applyFont="1" applyFill="1" applyBorder="1" applyAlignment="1">
      <alignment horizontal="center" vertical="center" wrapText="1"/>
    </xf>
    <xf numFmtId="0" fontId="10" fillId="2" borderId="24" xfId="0" applyNumberFormat="1" applyFont="1" applyFill="1" applyBorder="1" applyAlignment="1">
      <alignment horizontal="center" vertical="center" wrapText="1"/>
    </xf>
    <xf numFmtId="0" fontId="10" fillId="3" borderId="0" xfId="2" applyFont="1" applyFill="1" applyAlignment="1">
      <alignment horizontal="center" vertical="center"/>
    </xf>
    <xf numFmtId="0" fontId="8" fillId="3" borderId="1" xfId="2" applyFont="1" applyFill="1" applyBorder="1" applyAlignment="1">
      <alignment vertical="center"/>
    </xf>
    <xf numFmtId="2" fontId="10" fillId="3" borderId="1" xfId="2" applyNumberFormat="1" applyFont="1" applyFill="1" applyBorder="1" applyAlignment="1">
      <alignment horizontal="right" vertical="center"/>
    </xf>
    <xf numFmtId="0" fontId="10" fillId="2" borderId="1" xfId="0" applyNumberFormat="1" applyFont="1" applyFill="1" applyBorder="1" applyAlignment="1">
      <alignment vertical="top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top"/>
    </xf>
    <xf numFmtId="0" fontId="13" fillId="2" borderId="1" xfId="1" applyFill="1" applyBorder="1" applyAlignment="1" applyProtection="1">
      <alignment vertical="top"/>
    </xf>
    <xf numFmtId="2" fontId="17" fillId="2" borderId="27" xfId="0" applyNumberFormat="1" applyFont="1" applyFill="1" applyBorder="1" applyAlignment="1">
      <alignment horizontal="center" vertical="center" wrapText="1"/>
    </xf>
    <xf numFmtId="2" fontId="17" fillId="2" borderId="7" xfId="0" applyNumberFormat="1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" xfId="0" quotePrefix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14" fillId="2" borderId="2" xfId="0" quotePrefix="1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13" xfId="0" applyFont="1" applyFill="1" applyBorder="1" applyAlignment="1">
      <alignment vertical="center" wrapText="1"/>
    </xf>
    <xf numFmtId="9" fontId="6" fillId="2" borderId="10" xfId="0" applyNumberFormat="1" applyFont="1" applyFill="1" applyBorder="1" applyAlignment="1">
      <alignment horizontal="left" vertical="center" wrapText="1"/>
    </xf>
    <xf numFmtId="9" fontId="6" fillId="2" borderId="12" xfId="0" applyNumberFormat="1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6" fillId="2" borderId="10" xfId="0" quotePrefix="1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center" vertical="center"/>
    </xf>
    <xf numFmtId="0" fontId="6" fillId="2" borderId="2" xfId="0" quotePrefix="1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2" fontId="7" fillId="2" borderId="13" xfId="0" applyNumberFormat="1" applyFont="1" applyFill="1" applyBorder="1" applyAlignment="1">
      <alignment vertical="center" wrapText="1"/>
    </xf>
    <xf numFmtId="2" fontId="6" fillId="2" borderId="13" xfId="0" applyNumberFormat="1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1" fillId="3" borderId="0" xfId="2" applyFont="1" applyFill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top"/>
    </xf>
    <xf numFmtId="0" fontId="10" fillId="2" borderId="22" xfId="0" applyFont="1" applyFill="1" applyBorder="1" applyAlignment="1">
      <alignment horizontal="center" vertical="top"/>
    </xf>
    <xf numFmtId="0" fontId="10" fillId="2" borderId="23" xfId="0" applyFont="1" applyFill="1" applyBorder="1" applyAlignment="1">
      <alignment horizontal="center" vertical="top"/>
    </xf>
    <xf numFmtId="0" fontId="10" fillId="2" borderId="25" xfId="0" applyFont="1" applyFill="1" applyBorder="1" applyAlignment="1">
      <alignment horizontal="center" vertical="top"/>
    </xf>
    <xf numFmtId="0" fontId="10" fillId="2" borderId="26" xfId="0" applyFont="1" applyFill="1" applyBorder="1" applyAlignment="1">
      <alignment horizontal="center" vertical="top"/>
    </xf>
    <xf numFmtId="0" fontId="10" fillId="2" borderId="7" xfId="0" applyFont="1" applyFill="1" applyBorder="1" applyAlignment="1">
      <alignment horizontal="center" vertical="top"/>
    </xf>
    <xf numFmtId="0" fontId="10" fillId="2" borderId="27" xfId="0" applyFont="1" applyFill="1" applyBorder="1" applyAlignment="1">
      <alignment horizontal="center" vertical="top" wrapText="1"/>
    </xf>
    <xf numFmtId="0" fontId="10" fillId="2" borderId="26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2" borderId="25" xfId="2" applyFont="1" applyFill="1" applyBorder="1" applyAlignment="1">
      <alignment horizontal="center" vertical="top"/>
    </xf>
    <xf numFmtId="0" fontId="10" fillId="2" borderId="26" xfId="2" applyFont="1" applyFill="1" applyBorder="1" applyAlignment="1">
      <alignment horizontal="center" vertical="top"/>
    </xf>
    <xf numFmtId="0" fontId="10" fillId="2" borderId="7" xfId="2" applyFont="1" applyFill="1" applyBorder="1" applyAlignment="1">
      <alignment horizontal="center" vertical="top"/>
    </xf>
    <xf numFmtId="0" fontId="10" fillId="2" borderId="27" xfId="2" applyFont="1" applyFill="1" applyBorder="1" applyAlignment="1">
      <alignment horizontal="center" vertical="top"/>
    </xf>
    <xf numFmtId="0" fontId="10" fillId="2" borderId="27" xfId="0" applyFont="1" applyFill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10" fillId="0" borderId="27" xfId="0" applyFont="1" applyFill="1" applyBorder="1" applyAlignment="1">
      <alignment horizontal="center" vertical="top" wrapText="1"/>
    </xf>
    <xf numFmtId="0" fontId="10" fillId="0" borderId="26" xfId="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horizontal="center" vertical="top" wrapText="1"/>
    </xf>
    <xf numFmtId="0" fontId="0" fillId="0" borderId="26" xfId="0" applyFont="1" applyBorder="1" applyAlignment="1">
      <alignment horizontal="center" vertical="top"/>
    </xf>
    <xf numFmtId="0" fontId="9" fillId="3" borderId="0" xfId="0" applyFont="1" applyFill="1" applyAlignment="1">
      <alignment horizontal="left" vertical="center"/>
    </xf>
  </cellXfs>
  <cellStyles count="5">
    <cellStyle name="Hyperlink" xfId="1" builtinId="8"/>
    <cellStyle name="Normal" xfId="0" builtinId="0" customBuiltin="1"/>
    <cellStyle name="Normal 2" xfId="2"/>
    <cellStyle name="Normal 2 2" xfId="4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aeldung.com/jpa-pagination" TargetMode="External"/><Relationship Id="rId1" Type="http://schemas.openxmlformats.org/officeDocument/2006/relationships/hyperlink" Target="https://docs.jboss.org/hibernate/orm/4.3/manual/en-US/html_single/" TargetMode="Externa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learn.io/learning/hibernate-or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codelearn.io/learning/hibernate-orm" TargetMode="External"/><Relationship Id="rId1" Type="http://schemas.openxmlformats.org/officeDocument/2006/relationships/hyperlink" Target="https://codelearn.io/learning/hibernate-orm" TargetMode="External"/><Relationship Id="rId6" Type="http://schemas.openxmlformats.org/officeDocument/2006/relationships/hyperlink" Target="https://codelearn.io/learning/hibernate-orm" TargetMode="External"/><Relationship Id="rId5" Type="http://schemas.openxmlformats.org/officeDocument/2006/relationships/hyperlink" Target="https://codelearn.io/learning/hibernate-orm" TargetMode="External"/><Relationship Id="rId4" Type="http://schemas.openxmlformats.org/officeDocument/2006/relationships/hyperlink" Target="https://codelearn.io/learning/hibernate-or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7"/>
  <sheetViews>
    <sheetView tabSelected="1" zoomScaleNormal="100" zoomScaleSheetLayoutView="100" workbookViewId="0">
      <selection activeCell="I31" sqref="I31"/>
    </sheetView>
  </sheetViews>
  <sheetFormatPr defaultColWidth="9.140625" defaultRowHeight="12.75"/>
  <cols>
    <col min="1" max="1" width="4.85546875" style="16" customWidth="1"/>
    <col min="2" max="2" width="17.42578125" style="16" customWidth="1"/>
    <col min="3" max="3" width="19.140625" style="16" customWidth="1"/>
    <col min="4" max="4" width="9.7109375" style="16" customWidth="1"/>
    <col min="5" max="5" width="54.28515625" style="16" customWidth="1"/>
    <col min="6" max="6" width="12.42578125" style="16" customWidth="1"/>
    <col min="7" max="7" width="7.85546875" style="16" customWidth="1"/>
    <col min="8" max="16384" width="9.140625" style="16"/>
  </cols>
  <sheetData>
    <row r="1" spans="1:7" ht="29.25" customHeight="1">
      <c r="A1" s="150" t="str">
        <f>C3 &amp; " - Syllabus"</f>
        <v>Hibernate ORM - Syllabus</v>
      </c>
      <c r="B1" s="150"/>
      <c r="C1" s="150"/>
      <c r="D1" s="150"/>
      <c r="E1" s="150"/>
      <c r="F1" s="150"/>
    </row>
    <row r="2" spans="1:7" ht="6" customHeight="1">
      <c r="A2" s="17"/>
    </row>
    <row r="3" spans="1:7">
      <c r="A3" s="18">
        <v>1</v>
      </c>
      <c r="B3" s="19" t="s">
        <v>11</v>
      </c>
      <c r="C3" s="124" t="s">
        <v>90</v>
      </c>
      <c r="D3" s="124"/>
      <c r="E3" s="124"/>
      <c r="F3" s="125"/>
    </row>
    <row r="4" spans="1:7">
      <c r="A4" s="20">
        <v>2</v>
      </c>
      <c r="B4" s="21" t="s">
        <v>10</v>
      </c>
      <c r="C4" s="122" t="s">
        <v>72</v>
      </c>
      <c r="D4" s="122"/>
      <c r="E4" s="122"/>
      <c r="F4" s="123"/>
    </row>
    <row r="5" spans="1:7">
      <c r="A5" s="20">
        <v>3</v>
      </c>
      <c r="B5" s="21" t="s">
        <v>8</v>
      </c>
      <c r="C5" s="126" t="s">
        <v>123</v>
      </c>
      <c r="D5" s="126"/>
      <c r="E5" s="126"/>
      <c r="F5" s="127"/>
    </row>
    <row r="6" spans="1:7" ht="18" customHeight="1">
      <c r="A6" s="20">
        <v>4</v>
      </c>
      <c r="B6" s="21" t="s">
        <v>12</v>
      </c>
      <c r="C6" s="122" t="s">
        <v>58</v>
      </c>
      <c r="D6" s="122"/>
      <c r="E6" s="122"/>
      <c r="F6" s="123"/>
    </row>
    <row r="7" spans="1:7" ht="42.75" customHeight="1">
      <c r="A7" s="146">
        <v>5</v>
      </c>
      <c r="B7" s="158" t="s">
        <v>13</v>
      </c>
      <c r="C7" s="122" t="s">
        <v>124</v>
      </c>
      <c r="D7" s="122"/>
      <c r="E7" s="122"/>
      <c r="F7" s="123"/>
    </row>
    <row r="8" spans="1:7">
      <c r="A8" s="147"/>
      <c r="B8" s="159"/>
      <c r="C8" s="61" t="s">
        <v>27</v>
      </c>
      <c r="D8" s="61" t="s">
        <v>28</v>
      </c>
      <c r="E8" s="130" t="s">
        <v>51</v>
      </c>
      <c r="F8" s="152"/>
    </row>
    <row r="9" spans="1:7" ht="32.450000000000003" customHeight="1">
      <c r="A9" s="147"/>
      <c r="B9" s="159"/>
      <c r="C9" s="60" t="s">
        <v>75</v>
      </c>
      <c r="D9" s="59" t="s">
        <v>76</v>
      </c>
      <c r="E9" s="151" t="s">
        <v>77</v>
      </c>
      <c r="F9" s="127"/>
    </row>
    <row r="10" spans="1:7" ht="32.450000000000003" customHeight="1">
      <c r="A10" s="147"/>
      <c r="B10" s="159"/>
      <c r="C10" s="60" t="s">
        <v>79</v>
      </c>
      <c r="D10" s="59" t="s">
        <v>80</v>
      </c>
      <c r="E10" s="151" t="s">
        <v>78</v>
      </c>
      <c r="F10" s="127"/>
    </row>
    <row r="11" spans="1:7" ht="24.6" customHeight="1">
      <c r="A11" s="147"/>
      <c r="B11" s="159"/>
      <c r="C11" s="140" t="s">
        <v>81</v>
      </c>
      <c r="D11" s="142"/>
      <c r="E11" s="142"/>
      <c r="F11" s="141"/>
    </row>
    <row r="12" spans="1:7" ht="149.44999999999999" customHeight="1">
      <c r="A12" s="148"/>
      <c r="B12" s="160"/>
      <c r="C12" s="149" t="s">
        <v>119</v>
      </c>
      <c r="D12" s="142"/>
      <c r="E12" s="142"/>
      <c r="F12" s="141"/>
    </row>
    <row r="13" spans="1:7" ht="222" customHeight="1">
      <c r="A13" s="20">
        <v>6</v>
      </c>
      <c r="B13" s="21" t="s">
        <v>14</v>
      </c>
      <c r="C13" s="119" t="s">
        <v>178</v>
      </c>
      <c r="D13" s="119"/>
      <c r="E13" s="119"/>
      <c r="F13" s="120"/>
      <c r="G13" s="22"/>
    </row>
    <row r="14" spans="1:7" ht="24" customHeight="1">
      <c r="A14" s="128">
        <v>7</v>
      </c>
      <c r="B14" s="132" t="s">
        <v>15</v>
      </c>
      <c r="C14" s="62" t="s">
        <v>16</v>
      </c>
      <c r="D14" s="23">
        <f>ORM_Schedule!I43</f>
        <v>0.34895833333333331</v>
      </c>
      <c r="E14" s="69" t="s">
        <v>65</v>
      </c>
      <c r="F14" s="155" t="s">
        <v>179</v>
      </c>
    </row>
    <row r="15" spans="1:7" ht="24" customHeight="1">
      <c r="A15" s="128"/>
      <c r="B15" s="132"/>
      <c r="C15" s="62" t="s">
        <v>17</v>
      </c>
      <c r="D15" s="23">
        <f>ORM_Schedule!I44</f>
        <v>0.22395833333333334</v>
      </c>
      <c r="E15" s="69" t="s">
        <v>66</v>
      </c>
      <c r="F15" s="156"/>
    </row>
    <row r="16" spans="1:7" ht="24" customHeight="1">
      <c r="A16" s="128"/>
      <c r="B16" s="132"/>
      <c r="C16" s="67" t="s">
        <v>19</v>
      </c>
      <c r="D16" s="23">
        <f>ORM_Schedule!I45</f>
        <v>0.203125</v>
      </c>
      <c r="E16" s="69" t="s">
        <v>131</v>
      </c>
      <c r="F16" s="156"/>
    </row>
    <row r="17" spans="1:6" ht="24" customHeight="1">
      <c r="A17" s="128"/>
      <c r="B17" s="132"/>
      <c r="C17" s="63" t="s">
        <v>18</v>
      </c>
      <c r="D17" s="23">
        <f>ORM_Schedule!I46</f>
        <v>2.0833333333333332E-2</v>
      </c>
      <c r="E17" s="69" t="s">
        <v>132</v>
      </c>
      <c r="F17" s="156"/>
    </row>
    <row r="18" spans="1:6" ht="24" customHeight="1">
      <c r="A18" s="128"/>
      <c r="B18" s="157"/>
      <c r="C18" s="118" t="s">
        <v>64</v>
      </c>
      <c r="D18" s="23">
        <f>ORM_Schedule!I47</f>
        <v>0.125</v>
      </c>
      <c r="E18" s="69" t="s">
        <v>64</v>
      </c>
      <c r="F18" s="156"/>
    </row>
    <row r="19" spans="1:6" ht="24" customHeight="1">
      <c r="A19" s="128"/>
      <c r="B19" s="132"/>
      <c r="C19" s="68" t="s">
        <v>42</v>
      </c>
      <c r="D19" s="23">
        <f>ORM_Schedule!I48</f>
        <v>7.8125E-2</v>
      </c>
      <c r="E19" s="69" t="s">
        <v>133</v>
      </c>
      <c r="F19" s="156"/>
    </row>
    <row r="20" spans="1:6" ht="18" customHeight="1">
      <c r="A20" s="128">
        <v>8</v>
      </c>
      <c r="B20" s="132" t="s">
        <v>29</v>
      </c>
      <c r="C20" s="132" t="s">
        <v>20</v>
      </c>
      <c r="D20" s="126" t="s">
        <v>86</v>
      </c>
      <c r="E20" s="126"/>
      <c r="F20" s="127"/>
    </row>
    <row r="21" spans="1:6" ht="18" customHeight="1">
      <c r="A21" s="128"/>
      <c r="B21" s="132"/>
      <c r="C21" s="132"/>
      <c r="D21" s="126" t="s">
        <v>87</v>
      </c>
      <c r="E21" s="126"/>
      <c r="F21" s="127"/>
    </row>
    <row r="22" spans="1:6" ht="18" customHeight="1">
      <c r="A22" s="128"/>
      <c r="B22" s="132"/>
      <c r="C22" s="62"/>
      <c r="D22" s="126" t="s">
        <v>88</v>
      </c>
      <c r="E22" s="126"/>
      <c r="F22" s="127"/>
    </row>
    <row r="23" spans="1:6" ht="14.45" customHeight="1">
      <c r="A23" s="128"/>
      <c r="B23" s="132"/>
      <c r="C23" s="132" t="s">
        <v>2</v>
      </c>
      <c r="D23" s="28" t="s">
        <v>85</v>
      </c>
      <c r="E23" s="26"/>
      <c r="F23" s="27"/>
    </row>
    <row r="24" spans="1:6" ht="14.45" customHeight="1">
      <c r="A24" s="128"/>
      <c r="B24" s="132"/>
      <c r="C24" s="132"/>
      <c r="D24" s="28" t="s">
        <v>89</v>
      </c>
      <c r="E24" s="26"/>
      <c r="F24" s="27"/>
    </row>
    <row r="25" spans="1:6" ht="14.45" customHeight="1">
      <c r="A25" s="128"/>
      <c r="B25" s="132"/>
      <c r="C25" s="132"/>
      <c r="D25" s="25"/>
      <c r="E25" s="26"/>
      <c r="F25" s="27"/>
    </row>
    <row r="26" spans="1:6" ht="68.45" customHeight="1">
      <c r="A26" s="128"/>
      <c r="B26" s="132"/>
      <c r="C26" s="62" t="s">
        <v>21</v>
      </c>
      <c r="D26" s="153" t="s">
        <v>134</v>
      </c>
      <c r="E26" s="153"/>
      <c r="F26" s="154"/>
    </row>
    <row r="27" spans="1:6" ht="17.45" customHeight="1">
      <c r="A27" s="128">
        <v>9</v>
      </c>
      <c r="B27" s="132" t="s">
        <v>22</v>
      </c>
      <c r="C27" s="62" t="s">
        <v>23</v>
      </c>
      <c r="D27" s="71">
        <v>2</v>
      </c>
      <c r="E27" s="138" t="s">
        <v>135</v>
      </c>
      <c r="F27" s="139"/>
    </row>
    <row r="28" spans="1:6" ht="33.6" customHeight="1">
      <c r="A28" s="128"/>
      <c r="B28" s="132"/>
      <c r="C28" s="62" t="s">
        <v>24</v>
      </c>
      <c r="D28" s="71">
        <v>1</v>
      </c>
      <c r="E28" s="140" t="s">
        <v>187</v>
      </c>
      <c r="F28" s="141"/>
    </row>
    <row r="29" spans="1:6" ht="51.95" customHeight="1">
      <c r="A29" s="128"/>
      <c r="B29" s="132"/>
      <c r="C29" s="62" t="s">
        <v>25</v>
      </c>
      <c r="D29" s="71">
        <v>1</v>
      </c>
      <c r="E29" s="140" t="s">
        <v>188</v>
      </c>
      <c r="F29" s="141"/>
    </row>
    <row r="30" spans="1:6" ht="48.95" customHeight="1">
      <c r="A30" s="128"/>
      <c r="B30" s="132"/>
      <c r="C30" s="62" t="s">
        <v>26</v>
      </c>
      <c r="D30" s="140" t="s">
        <v>189</v>
      </c>
      <c r="E30" s="142"/>
      <c r="F30" s="141"/>
    </row>
    <row r="31" spans="1:6" ht="31.5" customHeight="1">
      <c r="A31" s="128">
        <v>10</v>
      </c>
      <c r="B31" s="130" t="s">
        <v>30</v>
      </c>
      <c r="C31" s="62" t="s">
        <v>32</v>
      </c>
      <c r="D31" s="143" t="s">
        <v>136</v>
      </c>
      <c r="E31" s="144"/>
      <c r="F31" s="145"/>
    </row>
    <row r="32" spans="1:6" ht="44.45" customHeight="1">
      <c r="A32" s="128"/>
      <c r="B32" s="130"/>
      <c r="C32" s="62" t="s">
        <v>33</v>
      </c>
      <c r="D32" s="121" t="s">
        <v>137</v>
      </c>
      <c r="E32" s="122"/>
      <c r="F32" s="123"/>
    </row>
    <row r="33" spans="1:6" ht="87.6" customHeight="1">
      <c r="A33" s="128"/>
      <c r="B33" s="130"/>
      <c r="C33" s="62" t="s">
        <v>34</v>
      </c>
      <c r="D33" s="121" t="s">
        <v>164</v>
      </c>
      <c r="E33" s="122"/>
      <c r="F33" s="123"/>
    </row>
    <row r="34" spans="1:6" ht="27" customHeight="1">
      <c r="A34" s="128"/>
      <c r="B34" s="130"/>
      <c r="C34" s="62" t="s">
        <v>31</v>
      </c>
      <c r="D34" s="136" t="s">
        <v>165</v>
      </c>
      <c r="E34" s="136"/>
      <c r="F34" s="137"/>
    </row>
    <row r="35" spans="1:6" ht="33" customHeight="1">
      <c r="A35" s="128"/>
      <c r="B35" s="130"/>
      <c r="C35" s="62" t="s">
        <v>43</v>
      </c>
      <c r="D35" s="135" t="s">
        <v>166</v>
      </c>
      <c r="E35" s="136"/>
      <c r="F35" s="137"/>
    </row>
    <row r="36" spans="1:6" ht="34.5" customHeight="1">
      <c r="A36" s="128"/>
      <c r="B36" s="130"/>
      <c r="C36" s="62" t="s">
        <v>50</v>
      </c>
      <c r="D36" s="133" t="s">
        <v>71</v>
      </c>
      <c r="E36" s="133"/>
      <c r="F36" s="134"/>
    </row>
    <row r="37" spans="1:6" ht="40.5" customHeight="1">
      <c r="A37" s="129"/>
      <c r="B37" s="131"/>
      <c r="C37" s="70" t="s">
        <v>35</v>
      </c>
      <c r="D37" s="133" t="s">
        <v>138</v>
      </c>
      <c r="E37" s="133"/>
      <c r="F37" s="134"/>
    </row>
  </sheetData>
  <mergeCells count="40">
    <mergeCell ref="A7:A12"/>
    <mergeCell ref="C12:F12"/>
    <mergeCell ref="A1:F1"/>
    <mergeCell ref="A27:A30"/>
    <mergeCell ref="B27:B30"/>
    <mergeCell ref="E10:F10"/>
    <mergeCell ref="C11:F11"/>
    <mergeCell ref="E8:F8"/>
    <mergeCell ref="A20:A26"/>
    <mergeCell ref="A14:A19"/>
    <mergeCell ref="D26:F26"/>
    <mergeCell ref="F14:F19"/>
    <mergeCell ref="B14:B19"/>
    <mergeCell ref="E9:F9"/>
    <mergeCell ref="D20:F20"/>
    <mergeCell ref="B7:B12"/>
    <mergeCell ref="A31:A37"/>
    <mergeCell ref="B31:B37"/>
    <mergeCell ref="D32:F32"/>
    <mergeCell ref="C23:C25"/>
    <mergeCell ref="B20:B26"/>
    <mergeCell ref="D37:F37"/>
    <mergeCell ref="C20:C21"/>
    <mergeCell ref="D35:F35"/>
    <mergeCell ref="D21:F21"/>
    <mergeCell ref="E27:F27"/>
    <mergeCell ref="D34:F34"/>
    <mergeCell ref="D36:F36"/>
    <mergeCell ref="E28:F28"/>
    <mergeCell ref="E29:F29"/>
    <mergeCell ref="D30:F30"/>
    <mergeCell ref="D31:F31"/>
    <mergeCell ref="C13:F13"/>
    <mergeCell ref="D33:F33"/>
    <mergeCell ref="C3:F3"/>
    <mergeCell ref="C4:F4"/>
    <mergeCell ref="C5:F5"/>
    <mergeCell ref="C6:F6"/>
    <mergeCell ref="C7:F7"/>
    <mergeCell ref="D22:F22"/>
  </mergeCells>
  <phoneticPr fontId="4" type="noConversion"/>
  <hyperlinks>
    <hyperlink ref="D23" r:id="rId1"/>
    <hyperlink ref="D24" r:id="rId2"/>
  </hyperlinks>
  <pageMargins left="0.70866141732283505" right="0.70866141732283505" top="0.31496062992126" bottom="0.31496062992126" header="0.23622047244094499" footer="0.23622047244094499"/>
  <pageSetup paperSize="9" scale="90" orientation="landscape" r:id="rId3"/>
  <headerFooter>
    <oddFooter>&amp;L18e-BM/DT/FSOFT v1/1&amp;CInternal use&amp;R&amp;P/&amp;N</oddFooter>
  </headerFooter>
  <customProperties>
    <customPr name="DVSECTION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4"/>
  <sheetViews>
    <sheetView zoomScale="85" zoomScaleNormal="85" zoomScaleSheetLayoutView="100" workbookViewId="0">
      <pane ySplit="2" topLeftCell="A3" activePane="bottomLeft" state="frozen"/>
      <selection pane="bottomLeft" activeCell="B9" sqref="B9:B14"/>
    </sheetView>
  </sheetViews>
  <sheetFormatPr defaultColWidth="9" defaultRowHeight="12.75"/>
  <cols>
    <col min="1" max="1" width="8.28515625" style="8" customWidth="1"/>
    <col min="2" max="2" width="18.28515625" style="8" customWidth="1"/>
    <col min="3" max="3" width="9.42578125" style="9" customWidth="1"/>
    <col min="4" max="4" width="11.7109375" style="9" customWidth="1"/>
    <col min="5" max="5" width="37" style="8" customWidth="1"/>
    <col min="6" max="6" width="10.42578125" style="109" customWidth="1"/>
    <col min="7" max="7" width="14.85546875" style="8" customWidth="1"/>
    <col min="8" max="8" width="9.140625" style="83" customWidth="1"/>
    <col min="9" max="9" width="9.140625" style="10" customWidth="1"/>
    <col min="10" max="10" width="59.42578125" style="10" customWidth="1"/>
    <col min="11" max="16384" width="9" style="8"/>
  </cols>
  <sheetData>
    <row r="1" spans="1:10" ht="36.75" customHeight="1">
      <c r="A1" s="161" t="str">
        <f>ORM_Syllabus!C3 &amp; " - Training Schedule"</f>
        <v>Hibernate ORM - Training Schedule</v>
      </c>
      <c r="B1" s="161"/>
      <c r="C1" s="161"/>
      <c r="D1" s="161"/>
      <c r="E1" s="161"/>
      <c r="F1" s="161"/>
      <c r="G1" s="161"/>
      <c r="H1" s="161"/>
      <c r="I1" s="161"/>
      <c r="J1" s="161"/>
    </row>
    <row r="2" spans="1:10" ht="42" customHeight="1">
      <c r="A2" s="162" t="s">
        <v>52</v>
      </c>
      <c r="B2" s="162"/>
      <c r="C2" s="29" t="s">
        <v>121</v>
      </c>
      <c r="D2" s="29" t="s">
        <v>53</v>
      </c>
      <c r="E2" s="64" t="s">
        <v>39</v>
      </c>
      <c r="F2" s="30" t="s">
        <v>54</v>
      </c>
      <c r="G2" s="29" t="s">
        <v>38</v>
      </c>
      <c r="H2" s="72" t="s">
        <v>120</v>
      </c>
      <c r="I2" s="29" t="s">
        <v>55</v>
      </c>
      <c r="J2" s="29" t="s">
        <v>40</v>
      </c>
    </row>
    <row r="3" spans="1:10">
      <c r="A3" s="168" t="s">
        <v>156</v>
      </c>
      <c r="B3" s="170" t="s">
        <v>73</v>
      </c>
      <c r="C3" s="176" t="s">
        <v>102</v>
      </c>
      <c r="D3" s="31"/>
      <c r="E3" s="32" t="s">
        <v>125</v>
      </c>
      <c r="F3" s="103"/>
      <c r="G3" s="33" t="s">
        <v>16</v>
      </c>
      <c r="H3" s="73">
        <v>0.5</v>
      </c>
      <c r="I3" s="53" t="s">
        <v>56</v>
      </c>
      <c r="J3" s="35" t="s">
        <v>126</v>
      </c>
    </row>
    <row r="4" spans="1:10" ht="76.5">
      <c r="A4" s="168"/>
      <c r="B4" s="171"/>
      <c r="C4" s="177"/>
      <c r="D4" s="31" t="s">
        <v>53</v>
      </c>
      <c r="E4" s="36" t="s">
        <v>127</v>
      </c>
      <c r="F4" s="103" t="s">
        <v>76</v>
      </c>
      <c r="G4" s="37" t="s">
        <v>16</v>
      </c>
      <c r="H4" s="74">
        <v>1.5</v>
      </c>
      <c r="I4" s="34" t="s">
        <v>56</v>
      </c>
      <c r="J4" s="65" t="s">
        <v>175</v>
      </c>
    </row>
    <row r="5" spans="1:10">
      <c r="A5" s="168"/>
      <c r="B5" s="171"/>
      <c r="C5" s="177"/>
      <c r="D5" s="31" t="s">
        <v>128</v>
      </c>
      <c r="E5" s="86" t="s">
        <v>129</v>
      </c>
      <c r="F5" s="103" t="s">
        <v>76</v>
      </c>
      <c r="G5" s="37" t="s">
        <v>19</v>
      </c>
      <c r="H5" s="75">
        <v>1</v>
      </c>
      <c r="I5" s="34" t="s">
        <v>56</v>
      </c>
      <c r="J5" s="38"/>
    </row>
    <row r="6" spans="1:10" ht="51">
      <c r="A6" s="168"/>
      <c r="B6" s="171"/>
      <c r="C6" s="177"/>
      <c r="D6" s="54" t="s">
        <v>83</v>
      </c>
      <c r="E6" s="55" t="s">
        <v>104</v>
      </c>
      <c r="F6" s="103" t="s">
        <v>76</v>
      </c>
      <c r="G6" s="37" t="s">
        <v>17</v>
      </c>
      <c r="H6" s="76">
        <v>1.5</v>
      </c>
      <c r="I6" s="34" t="s">
        <v>112</v>
      </c>
      <c r="J6" s="39" t="s">
        <v>82</v>
      </c>
    </row>
    <row r="7" spans="1:10" ht="29.25" customHeight="1">
      <c r="A7" s="168"/>
      <c r="B7" s="171"/>
      <c r="C7" s="177"/>
      <c r="D7" s="54" t="s">
        <v>115</v>
      </c>
      <c r="E7" s="55" t="s">
        <v>150</v>
      </c>
      <c r="F7" s="103" t="s">
        <v>76</v>
      </c>
      <c r="G7" s="37" t="s">
        <v>17</v>
      </c>
      <c r="H7" s="76">
        <v>1</v>
      </c>
      <c r="I7" s="34" t="s">
        <v>112</v>
      </c>
      <c r="J7" s="39"/>
    </row>
    <row r="8" spans="1:10">
      <c r="A8" s="169"/>
      <c r="B8" s="172"/>
      <c r="C8" s="178"/>
      <c r="D8" s="51" t="s">
        <v>122</v>
      </c>
      <c r="E8" s="40" t="s">
        <v>130</v>
      </c>
      <c r="F8" s="105" t="s">
        <v>76</v>
      </c>
      <c r="G8" s="41" t="s">
        <v>16</v>
      </c>
      <c r="H8" s="87">
        <v>1</v>
      </c>
      <c r="I8" s="88" t="s">
        <v>112</v>
      </c>
      <c r="J8" s="89" t="s">
        <v>167</v>
      </c>
    </row>
    <row r="9" spans="1:10" s="24" customFormat="1">
      <c r="A9" s="167" t="s">
        <v>155</v>
      </c>
      <c r="B9" s="173" t="s">
        <v>74</v>
      </c>
      <c r="C9" s="179" t="s">
        <v>105</v>
      </c>
      <c r="D9" s="90" t="s">
        <v>128</v>
      </c>
      <c r="E9" s="91" t="s">
        <v>140</v>
      </c>
      <c r="F9" s="106" t="s">
        <v>80</v>
      </c>
      <c r="G9" s="92" t="s">
        <v>19</v>
      </c>
      <c r="H9" s="93">
        <v>0.75</v>
      </c>
      <c r="I9" s="93" t="s">
        <v>56</v>
      </c>
      <c r="J9" s="94" t="s">
        <v>141</v>
      </c>
    </row>
    <row r="10" spans="1:10" ht="76.5">
      <c r="A10" s="168"/>
      <c r="B10" s="174"/>
      <c r="C10" s="177"/>
      <c r="D10" s="31" t="s">
        <v>53</v>
      </c>
      <c r="E10" s="36" t="s">
        <v>139</v>
      </c>
      <c r="F10" s="107" t="s">
        <v>80</v>
      </c>
      <c r="G10" s="37" t="s">
        <v>16</v>
      </c>
      <c r="H10" s="74">
        <v>1.25</v>
      </c>
      <c r="I10" s="34" t="s">
        <v>56</v>
      </c>
      <c r="J10" s="65" t="s">
        <v>174</v>
      </c>
    </row>
    <row r="11" spans="1:10">
      <c r="A11" s="168"/>
      <c r="B11" s="174"/>
      <c r="C11" s="177"/>
      <c r="D11" s="31" t="s">
        <v>128</v>
      </c>
      <c r="E11" s="86" t="s">
        <v>129</v>
      </c>
      <c r="F11" s="103" t="s">
        <v>80</v>
      </c>
      <c r="G11" s="37" t="s">
        <v>19</v>
      </c>
      <c r="H11" s="75">
        <v>1</v>
      </c>
      <c r="I11" s="34" t="s">
        <v>56</v>
      </c>
      <c r="J11" s="38"/>
    </row>
    <row r="12" spans="1:10" ht="51">
      <c r="A12" s="168"/>
      <c r="B12" s="174"/>
      <c r="C12" s="177"/>
      <c r="D12" s="54" t="s">
        <v>84</v>
      </c>
      <c r="E12" s="55" t="s">
        <v>113</v>
      </c>
      <c r="F12" s="103" t="s">
        <v>80</v>
      </c>
      <c r="G12" s="37" t="s">
        <v>17</v>
      </c>
      <c r="H12" s="76">
        <v>2</v>
      </c>
      <c r="I12" s="34" t="s">
        <v>112</v>
      </c>
      <c r="J12" s="39" t="s">
        <v>82</v>
      </c>
    </row>
    <row r="13" spans="1:10" ht="18.95" customHeight="1">
      <c r="A13" s="168"/>
      <c r="B13" s="174"/>
      <c r="C13" s="177"/>
      <c r="D13" s="54" t="s">
        <v>115</v>
      </c>
      <c r="E13" s="55" t="s">
        <v>149</v>
      </c>
      <c r="F13" s="103" t="s">
        <v>80</v>
      </c>
      <c r="G13" s="37" t="s">
        <v>17</v>
      </c>
      <c r="H13" s="76">
        <v>1</v>
      </c>
      <c r="I13" s="34" t="s">
        <v>112</v>
      </c>
      <c r="J13" s="39"/>
    </row>
    <row r="14" spans="1:10" ht="18.95" customHeight="1">
      <c r="A14" s="169"/>
      <c r="B14" s="175"/>
      <c r="C14" s="178"/>
      <c r="D14" s="51" t="s">
        <v>122</v>
      </c>
      <c r="E14" s="40" t="s">
        <v>142</v>
      </c>
      <c r="F14" s="105" t="s">
        <v>80</v>
      </c>
      <c r="G14" s="41" t="s">
        <v>16</v>
      </c>
      <c r="H14" s="87">
        <v>1</v>
      </c>
      <c r="I14" s="88" t="s">
        <v>112</v>
      </c>
      <c r="J14" s="89" t="s">
        <v>167</v>
      </c>
    </row>
    <row r="15" spans="1:10" s="24" customFormat="1">
      <c r="A15" s="167" t="s">
        <v>154</v>
      </c>
      <c r="B15" s="173" t="s">
        <v>147</v>
      </c>
      <c r="C15" s="179" t="s">
        <v>106</v>
      </c>
      <c r="D15" s="45" t="s">
        <v>23</v>
      </c>
      <c r="E15" s="56" t="s">
        <v>94</v>
      </c>
      <c r="F15" s="104" t="s">
        <v>80</v>
      </c>
      <c r="G15" s="43" t="s">
        <v>18</v>
      </c>
      <c r="H15" s="77">
        <v>0.5</v>
      </c>
      <c r="I15" s="57" t="s">
        <v>56</v>
      </c>
      <c r="J15" s="44" t="s">
        <v>96</v>
      </c>
    </row>
    <row r="16" spans="1:10" s="24" customFormat="1" ht="140.25">
      <c r="A16" s="168"/>
      <c r="B16" s="174"/>
      <c r="C16" s="177"/>
      <c r="D16" s="31" t="s">
        <v>53</v>
      </c>
      <c r="E16" s="32" t="s">
        <v>143</v>
      </c>
      <c r="F16" s="103" t="s">
        <v>80</v>
      </c>
      <c r="G16" s="33" t="s">
        <v>16</v>
      </c>
      <c r="H16" s="78">
        <v>1.5</v>
      </c>
      <c r="I16" s="34" t="s">
        <v>56</v>
      </c>
      <c r="J16" s="65" t="s">
        <v>173</v>
      </c>
    </row>
    <row r="17" spans="1:10" s="24" customFormat="1">
      <c r="A17" s="168"/>
      <c r="B17" s="174"/>
      <c r="C17" s="177"/>
      <c r="D17" s="31" t="s">
        <v>128</v>
      </c>
      <c r="E17" s="86" t="s">
        <v>129</v>
      </c>
      <c r="F17" s="103" t="s">
        <v>80</v>
      </c>
      <c r="G17" s="37" t="s">
        <v>19</v>
      </c>
      <c r="H17" s="75">
        <v>1</v>
      </c>
      <c r="I17" s="34" t="s">
        <v>56</v>
      </c>
      <c r="J17" s="38"/>
    </row>
    <row r="18" spans="1:10" ht="25.5">
      <c r="A18" s="168"/>
      <c r="B18" s="174"/>
      <c r="C18" s="177"/>
      <c r="D18" s="54" t="s">
        <v>84</v>
      </c>
      <c r="E18" s="55" t="s">
        <v>146</v>
      </c>
      <c r="F18" s="103" t="s">
        <v>80</v>
      </c>
      <c r="G18" s="37" t="s">
        <v>16</v>
      </c>
      <c r="H18" s="95">
        <v>2</v>
      </c>
      <c r="I18" s="34" t="s">
        <v>112</v>
      </c>
      <c r="J18" s="36"/>
    </row>
    <row r="19" spans="1:10">
      <c r="A19" s="168"/>
      <c r="B19" s="174"/>
      <c r="C19" s="177"/>
      <c r="D19" s="54" t="s">
        <v>116</v>
      </c>
      <c r="E19" s="55" t="s">
        <v>163</v>
      </c>
      <c r="F19" s="103" t="s">
        <v>80</v>
      </c>
      <c r="G19" s="37" t="s">
        <v>17</v>
      </c>
      <c r="H19" s="76">
        <v>1</v>
      </c>
      <c r="I19" s="34" t="s">
        <v>112</v>
      </c>
      <c r="J19" s="36"/>
    </row>
    <row r="20" spans="1:10" ht="17.45" customHeight="1">
      <c r="A20" s="169"/>
      <c r="B20" s="175"/>
      <c r="C20" s="178"/>
      <c r="D20" s="51" t="s">
        <v>122</v>
      </c>
      <c r="E20" s="40" t="s">
        <v>144</v>
      </c>
      <c r="F20" s="105" t="s">
        <v>80</v>
      </c>
      <c r="G20" s="41" t="s">
        <v>16</v>
      </c>
      <c r="H20" s="87">
        <v>1</v>
      </c>
      <c r="I20" s="88" t="s">
        <v>112</v>
      </c>
      <c r="J20" s="89" t="s">
        <v>167</v>
      </c>
    </row>
    <row r="21" spans="1:10" s="24" customFormat="1" ht="24.95" customHeight="1">
      <c r="A21" s="167" t="s">
        <v>153</v>
      </c>
      <c r="B21" s="173" t="s">
        <v>151</v>
      </c>
      <c r="C21" s="179" t="s">
        <v>107</v>
      </c>
      <c r="D21" s="90" t="s">
        <v>128</v>
      </c>
      <c r="E21" s="91" t="s">
        <v>140</v>
      </c>
      <c r="F21" s="106" t="s">
        <v>80</v>
      </c>
      <c r="G21" s="92" t="s">
        <v>19</v>
      </c>
      <c r="H21" s="93">
        <v>0.75</v>
      </c>
      <c r="I21" s="93" t="s">
        <v>56</v>
      </c>
      <c r="J21" s="94" t="s">
        <v>141</v>
      </c>
    </row>
    <row r="22" spans="1:10" s="24" customFormat="1" ht="54" customHeight="1">
      <c r="A22" s="168"/>
      <c r="B22" s="174"/>
      <c r="C22" s="177"/>
      <c r="D22" s="31" t="s">
        <v>53</v>
      </c>
      <c r="E22" s="32" t="s">
        <v>148</v>
      </c>
      <c r="F22" s="103" t="s">
        <v>80</v>
      </c>
      <c r="G22" s="33" t="s">
        <v>16</v>
      </c>
      <c r="H22" s="78">
        <v>1.25</v>
      </c>
      <c r="I22" s="34" t="s">
        <v>56</v>
      </c>
      <c r="J22" s="65" t="s">
        <v>172</v>
      </c>
    </row>
    <row r="23" spans="1:10" s="24" customFormat="1">
      <c r="A23" s="168"/>
      <c r="B23" s="174"/>
      <c r="C23" s="177"/>
      <c r="D23" s="31" t="s">
        <v>128</v>
      </c>
      <c r="E23" s="86" t="s">
        <v>129</v>
      </c>
      <c r="F23" s="103" t="s">
        <v>80</v>
      </c>
      <c r="G23" s="37" t="s">
        <v>19</v>
      </c>
      <c r="H23" s="75">
        <v>1</v>
      </c>
      <c r="I23" s="34" t="s">
        <v>56</v>
      </c>
      <c r="J23" s="38"/>
    </row>
    <row r="24" spans="1:10" ht="25.5">
      <c r="A24" s="168"/>
      <c r="B24" s="174"/>
      <c r="C24" s="177"/>
      <c r="D24" s="54" t="s">
        <v>84</v>
      </c>
      <c r="E24" s="55" t="s">
        <v>146</v>
      </c>
      <c r="F24" s="103" t="s">
        <v>80</v>
      </c>
      <c r="G24" s="37" t="s">
        <v>16</v>
      </c>
      <c r="H24" s="95">
        <v>1.5</v>
      </c>
      <c r="I24" s="34" t="s">
        <v>112</v>
      </c>
      <c r="J24" s="36"/>
    </row>
    <row r="25" spans="1:10">
      <c r="A25" s="168"/>
      <c r="B25" s="174"/>
      <c r="C25" s="177"/>
      <c r="D25" s="54" t="s">
        <v>118</v>
      </c>
      <c r="E25" s="55" t="s">
        <v>162</v>
      </c>
      <c r="F25" s="103" t="s">
        <v>80</v>
      </c>
      <c r="G25" s="37" t="s">
        <v>17</v>
      </c>
      <c r="H25" s="76">
        <v>1</v>
      </c>
      <c r="I25" s="34" t="s">
        <v>112</v>
      </c>
      <c r="J25" s="36"/>
    </row>
    <row r="26" spans="1:10" ht="17.45" customHeight="1">
      <c r="A26" s="169"/>
      <c r="B26" s="175"/>
      <c r="C26" s="178"/>
      <c r="D26" s="51" t="s">
        <v>122</v>
      </c>
      <c r="E26" s="40" t="s">
        <v>144</v>
      </c>
      <c r="F26" s="105" t="s">
        <v>80</v>
      </c>
      <c r="G26" s="41" t="s">
        <v>16</v>
      </c>
      <c r="H26" s="87">
        <v>1</v>
      </c>
      <c r="I26" s="88" t="s">
        <v>112</v>
      </c>
      <c r="J26" s="89" t="s">
        <v>167</v>
      </c>
    </row>
    <row r="27" spans="1:10">
      <c r="A27" s="167" t="s">
        <v>152</v>
      </c>
      <c r="B27" s="183" t="s">
        <v>108</v>
      </c>
      <c r="C27" s="179" t="s">
        <v>109</v>
      </c>
      <c r="D27" s="90" t="s">
        <v>128</v>
      </c>
      <c r="E27" s="91" t="s">
        <v>140</v>
      </c>
      <c r="F27" s="106" t="s">
        <v>80</v>
      </c>
      <c r="G27" s="92" t="s">
        <v>19</v>
      </c>
      <c r="H27" s="93">
        <v>0.75</v>
      </c>
      <c r="I27" s="93" t="s">
        <v>56</v>
      </c>
      <c r="J27" s="94" t="s">
        <v>141</v>
      </c>
    </row>
    <row r="28" spans="1:10" ht="76.5">
      <c r="A28" s="168"/>
      <c r="B28" s="184"/>
      <c r="C28" s="177"/>
      <c r="D28" s="31" t="s">
        <v>103</v>
      </c>
      <c r="E28" s="36" t="s">
        <v>157</v>
      </c>
      <c r="F28" s="103" t="s">
        <v>80</v>
      </c>
      <c r="G28" s="33" t="s">
        <v>16</v>
      </c>
      <c r="H28" s="96">
        <v>1.25</v>
      </c>
      <c r="I28" s="34" t="s">
        <v>56</v>
      </c>
      <c r="J28" s="36" t="s">
        <v>171</v>
      </c>
    </row>
    <row r="29" spans="1:10">
      <c r="A29" s="168"/>
      <c r="B29" s="184"/>
      <c r="C29" s="177"/>
      <c r="D29" s="31" t="s">
        <v>128</v>
      </c>
      <c r="E29" s="86" t="s">
        <v>129</v>
      </c>
      <c r="F29" s="103" t="s">
        <v>80</v>
      </c>
      <c r="G29" s="37" t="s">
        <v>19</v>
      </c>
      <c r="H29" s="75">
        <v>1</v>
      </c>
      <c r="I29" s="34" t="s">
        <v>56</v>
      </c>
      <c r="J29" s="36"/>
    </row>
    <row r="30" spans="1:10" ht="51">
      <c r="A30" s="168"/>
      <c r="B30" s="184"/>
      <c r="C30" s="177"/>
      <c r="D30" s="54" t="s">
        <v>84</v>
      </c>
      <c r="E30" s="55" t="s">
        <v>146</v>
      </c>
      <c r="F30" s="103" t="s">
        <v>80</v>
      </c>
      <c r="G30" s="37" t="s">
        <v>17</v>
      </c>
      <c r="H30" s="76">
        <v>1.5</v>
      </c>
      <c r="I30" s="34" t="s">
        <v>112</v>
      </c>
      <c r="J30" s="39" t="s">
        <v>82</v>
      </c>
    </row>
    <row r="31" spans="1:10">
      <c r="A31" s="168"/>
      <c r="B31" s="184"/>
      <c r="C31" s="177"/>
      <c r="D31" s="54" t="s">
        <v>117</v>
      </c>
      <c r="E31" s="55" t="s">
        <v>161</v>
      </c>
      <c r="F31" s="103" t="s">
        <v>80</v>
      </c>
      <c r="G31" s="37" t="s">
        <v>17</v>
      </c>
      <c r="H31" s="76">
        <v>1</v>
      </c>
      <c r="I31" s="34" t="s">
        <v>112</v>
      </c>
      <c r="J31" s="39"/>
    </row>
    <row r="32" spans="1:10">
      <c r="A32" s="169"/>
      <c r="B32" s="185"/>
      <c r="C32" s="178"/>
      <c r="D32" s="51" t="s">
        <v>122</v>
      </c>
      <c r="E32" s="40" t="s">
        <v>158</v>
      </c>
      <c r="F32" s="105" t="s">
        <v>80</v>
      </c>
      <c r="G32" s="41" t="s">
        <v>16</v>
      </c>
      <c r="H32" s="87">
        <v>1</v>
      </c>
      <c r="I32" s="88" t="s">
        <v>112</v>
      </c>
      <c r="J32" s="84" t="s">
        <v>167</v>
      </c>
    </row>
    <row r="33" spans="1:10">
      <c r="A33" s="167" t="s">
        <v>169</v>
      </c>
      <c r="B33" s="181" t="s">
        <v>110</v>
      </c>
      <c r="C33" s="179" t="s">
        <v>111</v>
      </c>
      <c r="D33" s="45" t="s">
        <v>23</v>
      </c>
      <c r="E33" s="56" t="s">
        <v>95</v>
      </c>
      <c r="F33" s="104" t="s">
        <v>80</v>
      </c>
      <c r="G33" s="46" t="s">
        <v>18</v>
      </c>
      <c r="H33" s="97">
        <v>0.5</v>
      </c>
      <c r="I33" s="57" t="s">
        <v>56</v>
      </c>
      <c r="J33" s="44" t="s">
        <v>96</v>
      </c>
    </row>
    <row r="34" spans="1:10" ht="51">
      <c r="A34" s="168"/>
      <c r="B34" s="186"/>
      <c r="C34" s="177"/>
      <c r="D34" s="31" t="s">
        <v>53</v>
      </c>
      <c r="E34" s="36" t="s">
        <v>159</v>
      </c>
      <c r="F34" s="103" t="s">
        <v>80</v>
      </c>
      <c r="G34" s="37" t="s">
        <v>19</v>
      </c>
      <c r="H34" s="98">
        <v>1.5</v>
      </c>
      <c r="I34" s="34" t="s">
        <v>56</v>
      </c>
      <c r="J34" s="36" t="s">
        <v>170</v>
      </c>
    </row>
    <row r="35" spans="1:10" ht="18.95" customHeight="1">
      <c r="A35" s="168"/>
      <c r="B35" s="186"/>
      <c r="C35" s="177"/>
      <c r="D35" s="31" t="s">
        <v>128</v>
      </c>
      <c r="E35" s="86" t="s">
        <v>129</v>
      </c>
      <c r="F35" s="103" t="s">
        <v>80</v>
      </c>
      <c r="G35" s="37" t="s">
        <v>19</v>
      </c>
      <c r="H35" s="75">
        <v>1</v>
      </c>
      <c r="I35" s="34" t="s">
        <v>56</v>
      </c>
      <c r="J35" s="36"/>
    </row>
    <row r="36" spans="1:10">
      <c r="A36" s="168"/>
      <c r="B36" s="186"/>
      <c r="C36" s="177"/>
      <c r="D36" s="54" t="s">
        <v>145</v>
      </c>
      <c r="E36" s="55" t="s">
        <v>146</v>
      </c>
      <c r="F36" s="103" t="s">
        <v>80</v>
      </c>
      <c r="G36" s="37" t="s">
        <v>17</v>
      </c>
      <c r="H36" s="74">
        <v>0.75</v>
      </c>
      <c r="I36" s="34" t="s">
        <v>112</v>
      </c>
      <c r="J36" s="50"/>
    </row>
    <row r="37" spans="1:10">
      <c r="A37" s="169"/>
      <c r="B37" s="182"/>
      <c r="C37" s="178"/>
      <c r="D37" s="51" t="s">
        <v>122</v>
      </c>
      <c r="E37" s="40" t="s">
        <v>160</v>
      </c>
      <c r="F37" s="105" t="s">
        <v>80</v>
      </c>
      <c r="G37" s="41" t="s">
        <v>16</v>
      </c>
      <c r="H37" s="87">
        <v>1</v>
      </c>
      <c r="I37" s="88" t="s">
        <v>112</v>
      </c>
      <c r="J37" s="85" t="s">
        <v>167</v>
      </c>
    </row>
    <row r="38" spans="1:10">
      <c r="A38" s="180"/>
      <c r="B38" s="181" t="s">
        <v>180</v>
      </c>
      <c r="C38" s="179" t="s">
        <v>181</v>
      </c>
      <c r="D38" s="66" t="s">
        <v>63</v>
      </c>
      <c r="E38" s="112" t="s">
        <v>63</v>
      </c>
      <c r="F38" s="113" t="s">
        <v>80</v>
      </c>
      <c r="G38" s="114" t="s">
        <v>64</v>
      </c>
      <c r="H38" s="116">
        <v>3</v>
      </c>
      <c r="I38" s="58" t="s">
        <v>112</v>
      </c>
      <c r="J38" s="115"/>
    </row>
    <row r="39" spans="1:10">
      <c r="A39" s="172"/>
      <c r="B39" s="182"/>
      <c r="C39" s="178"/>
      <c r="D39" s="66" t="s">
        <v>180</v>
      </c>
      <c r="E39" s="112" t="s">
        <v>180</v>
      </c>
      <c r="F39" s="113" t="s">
        <v>80</v>
      </c>
      <c r="G39" s="114" t="s">
        <v>64</v>
      </c>
      <c r="H39" s="117">
        <v>3</v>
      </c>
      <c r="I39" s="58" t="s">
        <v>56</v>
      </c>
      <c r="J39" s="115"/>
    </row>
    <row r="40" spans="1:10" ht="16.5" customHeight="1">
      <c r="A40" s="165" t="s">
        <v>25</v>
      </c>
      <c r="B40" s="163" t="s">
        <v>25</v>
      </c>
      <c r="C40" s="174" t="s">
        <v>182</v>
      </c>
      <c r="D40" s="42" t="s">
        <v>91</v>
      </c>
      <c r="E40" s="99" t="s">
        <v>92</v>
      </c>
      <c r="F40" s="108" t="s">
        <v>80</v>
      </c>
      <c r="G40" s="100" t="s">
        <v>42</v>
      </c>
      <c r="H40" s="101">
        <v>0.75</v>
      </c>
      <c r="I40" s="102" t="s">
        <v>56</v>
      </c>
      <c r="J40" s="99"/>
    </row>
    <row r="41" spans="1:10" ht="16.5" customHeight="1">
      <c r="A41" s="166"/>
      <c r="B41" s="164"/>
      <c r="C41" s="175"/>
      <c r="D41" s="51" t="s">
        <v>91</v>
      </c>
      <c r="E41" s="40" t="s">
        <v>93</v>
      </c>
      <c r="F41" s="105" t="s">
        <v>80</v>
      </c>
      <c r="G41" s="41" t="s">
        <v>42</v>
      </c>
      <c r="H41" s="79">
        <v>3</v>
      </c>
      <c r="I41" s="88" t="s">
        <v>56</v>
      </c>
      <c r="J41" s="52"/>
    </row>
    <row r="42" spans="1:10">
      <c r="H42" s="80"/>
      <c r="I42" s="8"/>
    </row>
    <row r="43" spans="1:10">
      <c r="G43" s="3" t="s">
        <v>16</v>
      </c>
      <c r="H43" s="81">
        <f>SUMIF(G$3:G$41,G43,H$3:H$41)</f>
        <v>16.75</v>
      </c>
      <c r="I43" s="11">
        <f>H43/$H$49</f>
        <v>0.34895833333333331</v>
      </c>
    </row>
    <row r="44" spans="1:10">
      <c r="G44" s="3" t="s">
        <v>17</v>
      </c>
      <c r="H44" s="81">
        <f t="shared" ref="H44:H48" si="0">SUMIF(G$3:G$41,G44,H$3:H$41)</f>
        <v>10.75</v>
      </c>
      <c r="I44" s="11">
        <f t="shared" ref="I44:I48" si="1">H44/$H$49</f>
        <v>0.22395833333333334</v>
      </c>
    </row>
    <row r="45" spans="1:10">
      <c r="G45" s="3" t="s">
        <v>19</v>
      </c>
      <c r="H45" s="81">
        <f t="shared" si="0"/>
        <v>9.75</v>
      </c>
      <c r="I45" s="11">
        <f t="shared" si="1"/>
        <v>0.203125</v>
      </c>
    </row>
    <row r="46" spans="1:10">
      <c r="G46" s="3" t="s">
        <v>18</v>
      </c>
      <c r="H46" s="81">
        <f t="shared" si="0"/>
        <v>1</v>
      </c>
      <c r="I46" s="11">
        <f t="shared" si="1"/>
        <v>2.0833333333333332E-2</v>
      </c>
    </row>
    <row r="47" spans="1:10">
      <c r="G47" s="3" t="s">
        <v>64</v>
      </c>
      <c r="H47" s="81">
        <f t="shared" si="0"/>
        <v>6</v>
      </c>
      <c r="I47" s="11">
        <f t="shared" si="1"/>
        <v>0.125</v>
      </c>
    </row>
    <row r="48" spans="1:10">
      <c r="G48" s="3" t="s">
        <v>42</v>
      </c>
      <c r="H48" s="81">
        <f t="shared" si="0"/>
        <v>3.75</v>
      </c>
      <c r="I48" s="11">
        <f t="shared" si="1"/>
        <v>7.8125E-2</v>
      </c>
    </row>
    <row r="49" spans="5:9">
      <c r="G49" s="3" t="s">
        <v>41</v>
      </c>
      <c r="H49" s="82">
        <f>SUM(H43:H48)</f>
        <v>48</v>
      </c>
      <c r="I49" s="11">
        <f>H49/$H$49</f>
        <v>1</v>
      </c>
    </row>
    <row r="50" spans="5:9">
      <c r="G50" s="8" t="s">
        <v>114</v>
      </c>
    </row>
    <row r="51" spans="5:9">
      <c r="G51" s="110" t="s">
        <v>56</v>
      </c>
      <c r="H51" s="111">
        <f>SUMIF($I$3:$I$41,G51,$H$3:$H$41)</f>
        <v>24.75</v>
      </c>
    </row>
    <row r="52" spans="5:9">
      <c r="G52" s="110" t="s">
        <v>168</v>
      </c>
      <c r="H52" s="111">
        <f>SUMIF($I$3:$I$41,"Homework",$H$3:$H$41)</f>
        <v>23.25</v>
      </c>
    </row>
    <row r="64" spans="5:9">
      <c r="E64" s="8">
        <v>0.5</v>
      </c>
    </row>
    <row r="65" spans="5:5">
      <c r="E65" s="8">
        <v>0.05</v>
      </c>
    </row>
    <row r="66" spans="5:5">
      <c r="E66" s="8">
        <v>0.25</v>
      </c>
    </row>
    <row r="67" spans="5:5">
      <c r="E67" s="8">
        <v>0.5</v>
      </c>
    </row>
    <row r="68" spans="5:5">
      <c r="E68" s="8">
        <v>8.3333333333333329E-2</v>
      </c>
    </row>
    <row r="69" spans="5:5">
      <c r="E69" s="8">
        <v>0.1</v>
      </c>
    </row>
    <row r="70" spans="5:5">
      <c r="E70" s="8">
        <v>0.1</v>
      </c>
    </row>
    <row r="71" spans="5:5">
      <c r="E71" s="8">
        <v>1.5</v>
      </c>
    </row>
    <row r="72" spans="5:5">
      <c r="E72" s="8">
        <v>1.5</v>
      </c>
    </row>
    <row r="73" spans="5:5">
      <c r="E73" s="8">
        <v>0.33333333333333331</v>
      </c>
    </row>
    <row r="74" spans="5:5">
      <c r="E74" s="8">
        <v>0.5</v>
      </c>
    </row>
    <row r="75" spans="5:5">
      <c r="E75" s="8">
        <v>0.16666666666666666</v>
      </c>
    </row>
    <row r="76" spans="5:5">
      <c r="E76" s="8">
        <v>0.1</v>
      </c>
    </row>
    <row r="77" spans="5:5">
      <c r="E77" s="8">
        <v>0.4</v>
      </c>
    </row>
    <row r="78" spans="5:5">
      <c r="E78" s="8">
        <v>0.28333333333333333</v>
      </c>
    </row>
    <row r="79" spans="5:5">
      <c r="E79" s="8">
        <v>0.16666666666666666</v>
      </c>
    </row>
    <row r="80" spans="5:5">
      <c r="E80" s="8">
        <v>4</v>
      </c>
    </row>
    <row r="81" spans="5:5">
      <c r="E81" s="8">
        <v>1.5</v>
      </c>
    </row>
    <row r="82" spans="5:5">
      <c r="E82" s="8">
        <v>0.33333333333333331</v>
      </c>
    </row>
    <row r="83" spans="5:5">
      <c r="E83" s="8">
        <v>0.33333333333333331</v>
      </c>
    </row>
    <row r="84" spans="5:5">
      <c r="E84" s="8">
        <v>8.3333333333333329E-2</v>
      </c>
    </row>
    <row r="85" spans="5:5">
      <c r="E85" s="8">
        <v>0.25</v>
      </c>
    </row>
    <row r="86" spans="5:5">
      <c r="E86" s="8">
        <v>0.25</v>
      </c>
    </row>
    <row r="87" spans="5:5">
      <c r="E87" s="8">
        <v>8.3333333333333329E-2</v>
      </c>
    </row>
    <row r="88" spans="5:5">
      <c r="E88" s="8">
        <v>0.25</v>
      </c>
    </row>
    <row r="89" spans="5:5">
      <c r="E89" s="8">
        <v>0.33333333333333331</v>
      </c>
    </row>
    <row r="90" spans="5:5">
      <c r="E90" s="8">
        <v>0.41666666666666669</v>
      </c>
    </row>
    <row r="91" spans="5:5">
      <c r="E91" s="8">
        <v>0.25</v>
      </c>
    </row>
    <row r="92" spans="5:5">
      <c r="E92" s="8">
        <v>0.41666666666666669</v>
      </c>
    </row>
    <row r="93" spans="5:5">
      <c r="E93" s="8">
        <v>0.33333333333333331</v>
      </c>
    </row>
    <row r="94" spans="5:5">
      <c r="E94" s="8">
        <v>4</v>
      </c>
    </row>
    <row r="95" spans="5:5">
      <c r="E95" s="8">
        <v>1.5</v>
      </c>
    </row>
    <row r="96" spans="5:5">
      <c r="E96" s="8">
        <v>0.33333333333333331</v>
      </c>
    </row>
    <row r="97" spans="5:5">
      <c r="E97" s="8">
        <v>0.33333333333333331</v>
      </c>
    </row>
    <row r="98" spans="5:5">
      <c r="E98" s="8">
        <v>0.5</v>
      </c>
    </row>
    <row r="99" spans="5:5">
      <c r="E99" s="8">
        <v>0.5</v>
      </c>
    </row>
    <row r="100" spans="5:5">
      <c r="E100" s="8">
        <v>1</v>
      </c>
    </row>
    <row r="101" spans="5:5">
      <c r="E101" s="8">
        <v>0.33333333333333331</v>
      </c>
    </row>
    <row r="102" spans="5:5">
      <c r="E102" s="8">
        <v>4</v>
      </c>
    </row>
    <row r="103" spans="5:5">
      <c r="E103" s="8">
        <v>1.5</v>
      </c>
    </row>
    <row r="104" spans="5:5">
      <c r="E104" s="8">
        <v>0.33333333333333331</v>
      </c>
    </row>
    <row r="105" spans="5:5">
      <c r="E105" s="8">
        <v>0.33333333333333331</v>
      </c>
    </row>
    <row r="106" spans="5:5">
      <c r="E106" s="8">
        <v>0.33333333333333331</v>
      </c>
    </row>
    <row r="107" spans="5:5">
      <c r="E107" s="8">
        <v>0.5</v>
      </c>
    </row>
    <row r="108" spans="5:5">
      <c r="E108" s="8">
        <v>0.5</v>
      </c>
    </row>
    <row r="109" spans="5:5">
      <c r="E109" s="8">
        <v>0.5</v>
      </c>
    </row>
    <row r="110" spans="5:5">
      <c r="E110" s="8">
        <v>0.75</v>
      </c>
    </row>
    <row r="111" spans="5:5">
      <c r="E111" s="8">
        <v>2.5</v>
      </c>
    </row>
    <row r="112" spans="5:5">
      <c r="E112" s="8">
        <v>3</v>
      </c>
    </row>
    <row r="113" spans="5:5">
      <c r="E113" s="8">
        <v>0.75</v>
      </c>
    </row>
    <row r="114" spans="5:5">
      <c r="E114" s="8">
        <v>2.5</v>
      </c>
    </row>
  </sheetData>
  <autoFilter ref="A2:J41"/>
  <dataConsolidate/>
  <mergeCells count="26">
    <mergeCell ref="C9:C14"/>
    <mergeCell ref="A38:A39"/>
    <mergeCell ref="B38:B39"/>
    <mergeCell ref="C38:C39"/>
    <mergeCell ref="B27:B32"/>
    <mergeCell ref="B33:B37"/>
    <mergeCell ref="C15:C20"/>
    <mergeCell ref="C21:C26"/>
    <mergeCell ref="C27:C32"/>
    <mergeCell ref="C33:C37"/>
    <mergeCell ref="A1:J1"/>
    <mergeCell ref="A2:B2"/>
    <mergeCell ref="B40:B41"/>
    <mergeCell ref="A40:A41"/>
    <mergeCell ref="A27:A32"/>
    <mergeCell ref="A33:A37"/>
    <mergeCell ref="A21:A26"/>
    <mergeCell ref="A15:A20"/>
    <mergeCell ref="A9:A14"/>
    <mergeCell ref="A3:A8"/>
    <mergeCell ref="B3:B8"/>
    <mergeCell ref="B9:B14"/>
    <mergeCell ref="B15:B20"/>
    <mergeCell ref="B21:B26"/>
    <mergeCell ref="C40:C41"/>
    <mergeCell ref="C3:C8"/>
  </mergeCells>
  <phoneticPr fontId="16"/>
  <dataValidations count="3">
    <dataValidation type="list" allowBlank="1" showInputMessage="1" showErrorMessage="1" sqref="I3:I8 I10:I20 I22:I26 I28:I41">
      <formula1>"Online, Offline, Homework"</formula1>
    </dataValidation>
    <dataValidation type="list" allowBlank="1" showInputMessage="1" showErrorMessage="1" sqref="I9 I21 I27">
      <formula1>"Online,Offline,Homework"</formula1>
    </dataValidation>
    <dataValidation type="list" allowBlank="1" showErrorMessage="1" sqref="G3:G41">
      <formula1>"Concept/Lecture, Assignment/Lab, Test/Quiz, Exam, Guides/Review, Seminar/Workshop, Class Meeting"</formula1>
    </dataValidation>
  </dataValidations>
  <hyperlinks>
    <hyperlink ref="J8" r:id="rId1"/>
    <hyperlink ref="J14" r:id="rId2"/>
    <hyperlink ref="J20" r:id="rId3"/>
    <hyperlink ref="J26" r:id="rId4"/>
    <hyperlink ref="J32" r:id="rId5"/>
    <hyperlink ref="J37" r:id="rId6"/>
  </hyperlinks>
  <pageMargins left="0.44" right="0.70866141732283505" top="0.4" bottom="0.55000000000000004" header="0.31496062992126" footer="0.31496062992126"/>
  <pageSetup paperSize="9" scale="42" fitToHeight="2" orientation="landscape" r:id="rId7"/>
  <headerFooter>
    <oddFooter>&amp;L18e-BM/DT/FSOFT v1/1&amp;CInternal use&amp;R&amp;P/&amp;N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ORM_Syllabus!$D$9:$D$10</xm:f>
          </x14:formula1>
          <xm:sqref>F3:F41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"/>
  <sheetViews>
    <sheetView view="pageBreakPreview" zoomScale="85" zoomScaleNormal="100" zoomScaleSheetLayoutView="85" workbookViewId="0">
      <selection activeCell="A3" sqref="A3:XFD5"/>
    </sheetView>
  </sheetViews>
  <sheetFormatPr defaultColWidth="9.140625" defaultRowHeight="12.75"/>
  <cols>
    <col min="1" max="1" width="3.140625" style="13" customWidth="1"/>
    <col min="2" max="2" width="14.42578125" style="13" customWidth="1"/>
    <col min="3" max="3" width="23.28515625" style="13" customWidth="1"/>
    <col min="4" max="4" width="12.5703125" style="13" customWidth="1"/>
    <col min="5" max="5" width="30.85546875" style="13" customWidth="1"/>
    <col min="6" max="6" width="14.42578125" style="13" customWidth="1"/>
    <col min="7" max="7" width="9.42578125" style="13" customWidth="1"/>
    <col min="8" max="16384" width="9.140625" style="13"/>
  </cols>
  <sheetData>
    <row r="1" spans="1:7" s="12" customFormat="1" ht="20.25" customHeight="1">
      <c r="A1" s="187" t="s">
        <v>36</v>
      </c>
      <c r="B1" s="187"/>
      <c r="C1" s="187"/>
      <c r="D1" s="187"/>
      <c r="E1" s="187"/>
      <c r="F1" s="187"/>
      <c r="G1" s="187"/>
    </row>
    <row r="2" spans="1:7">
      <c r="B2" s="7" t="s">
        <v>37</v>
      </c>
      <c r="C2" s="7" t="s">
        <v>27</v>
      </c>
      <c r="D2" s="7" t="s">
        <v>57</v>
      </c>
      <c r="E2" s="7" t="s">
        <v>0</v>
      </c>
      <c r="F2" s="7" t="s">
        <v>1</v>
      </c>
    </row>
    <row r="3" spans="1:7" ht="18.95" customHeight="1">
      <c r="B3" s="14" t="s">
        <v>47</v>
      </c>
      <c r="C3" s="4" t="s">
        <v>185</v>
      </c>
      <c r="D3" s="4" t="s">
        <v>186</v>
      </c>
      <c r="E3" s="4" t="s">
        <v>101</v>
      </c>
      <c r="F3" s="4"/>
    </row>
    <row r="4" spans="1:7" ht="18.95" customHeight="1">
      <c r="B4" s="15" t="s">
        <v>48</v>
      </c>
      <c r="C4" s="4" t="s">
        <v>59</v>
      </c>
      <c r="D4" s="4" t="s">
        <v>60</v>
      </c>
      <c r="E4" s="4" t="s">
        <v>101</v>
      </c>
      <c r="F4" s="4"/>
    </row>
    <row r="5" spans="1:7" ht="18.95" customHeight="1">
      <c r="B5" s="15" t="s">
        <v>49</v>
      </c>
      <c r="C5" s="4" t="s">
        <v>69</v>
      </c>
      <c r="D5" s="4" t="s">
        <v>70</v>
      </c>
      <c r="E5" s="4" t="s">
        <v>101</v>
      </c>
      <c r="F5" s="4"/>
    </row>
    <row r="6" spans="1:7" s="12" customFormat="1" ht="20.25" customHeight="1">
      <c r="A6" s="187" t="s">
        <v>3</v>
      </c>
      <c r="B6" s="187"/>
      <c r="C6" s="187"/>
      <c r="D6" s="187"/>
      <c r="E6" s="187"/>
      <c r="F6" s="187"/>
      <c r="G6" s="187"/>
    </row>
    <row r="7" spans="1:7">
      <c r="A7" s="13" t="s">
        <v>4</v>
      </c>
    </row>
    <row r="9" spans="1:7" ht="25.5">
      <c r="B9" s="7" t="s">
        <v>5</v>
      </c>
      <c r="C9" s="7" t="s">
        <v>6</v>
      </c>
      <c r="D9" s="7" t="s">
        <v>9</v>
      </c>
      <c r="E9" s="7" t="s">
        <v>7</v>
      </c>
      <c r="F9" s="7" t="s">
        <v>8</v>
      </c>
    </row>
    <row r="10" spans="1:7" ht="19.5" customHeight="1">
      <c r="B10" s="5">
        <v>43922</v>
      </c>
      <c r="C10" s="6" t="s">
        <v>61</v>
      </c>
      <c r="D10" s="48" t="s">
        <v>62</v>
      </c>
      <c r="E10" s="6" t="s">
        <v>67</v>
      </c>
      <c r="F10" s="49" t="s">
        <v>176</v>
      </c>
    </row>
    <row r="11" spans="1:7" ht="56.45" customHeight="1">
      <c r="B11" s="5">
        <v>43936</v>
      </c>
      <c r="C11" s="6" t="s">
        <v>68</v>
      </c>
      <c r="D11" s="48" t="s">
        <v>62</v>
      </c>
      <c r="E11" s="6" t="s">
        <v>100</v>
      </c>
      <c r="F11" s="49" t="s">
        <v>177</v>
      </c>
    </row>
    <row r="12" spans="1:7" ht="63.75">
      <c r="B12" s="47">
        <v>43941</v>
      </c>
      <c r="C12" s="6" t="s">
        <v>183</v>
      </c>
      <c r="D12" s="48" t="s">
        <v>97</v>
      </c>
      <c r="E12" s="6" t="s">
        <v>98</v>
      </c>
      <c r="F12" s="49" t="s">
        <v>184</v>
      </c>
    </row>
    <row r="13" spans="1:7">
      <c r="B13" s="47">
        <v>43961</v>
      </c>
      <c r="C13" s="6" t="s">
        <v>99</v>
      </c>
      <c r="D13" s="48" t="s">
        <v>97</v>
      </c>
      <c r="E13" s="6" t="s">
        <v>99</v>
      </c>
      <c r="F13" s="49" t="s">
        <v>123</v>
      </c>
    </row>
    <row r="14" spans="1:7">
      <c r="B14" s="47"/>
      <c r="C14" s="6"/>
      <c r="D14" s="48"/>
      <c r="E14" s="6"/>
      <c r="F14" s="49"/>
    </row>
    <row r="15" spans="1:7">
      <c r="B15" s="47"/>
      <c r="C15" s="6"/>
      <c r="D15" s="48"/>
      <c r="E15" s="6"/>
      <c r="F15" s="49"/>
    </row>
    <row r="16" spans="1:7">
      <c r="B16" s="47"/>
      <c r="C16" s="6"/>
      <c r="D16" s="48"/>
      <c r="E16" s="6"/>
      <c r="F16" s="49"/>
    </row>
    <row r="17" spans="2:6">
      <c r="B17" s="47"/>
      <c r="C17" s="6"/>
      <c r="D17" s="48"/>
      <c r="E17" s="6"/>
      <c r="F17" s="49"/>
    </row>
  </sheetData>
  <mergeCells count="2">
    <mergeCell ref="A1:G1"/>
    <mergeCell ref="A6:G6"/>
  </mergeCells>
  <phoneticPr fontId="4" type="noConversion"/>
  <pageMargins left="0.7" right="0.41" top="0.75" bottom="0.75" header="0.3" footer="0.3"/>
  <pageSetup paperSize="9" scale="96" orientation="portrait" r:id="rId1"/>
  <headerFooter>
    <oddFooter>&amp;L18e-BM/DT/FSOFT v1/1&amp;CInternal use&amp;R&amp;P/&amp;N</oddFooter>
  </headerFooter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5"/>
  <sheetViews>
    <sheetView workbookViewId="0">
      <selection activeCell="AL4" sqref="AL4"/>
    </sheetView>
  </sheetViews>
  <sheetFormatPr defaultRowHeight="12.75"/>
  <sheetData>
    <row r="1" spans="1:256">
      <c r="A1" t="e">
        <f>IF(ORM_Syllabus!1:1,"AAAAAH7b/wA=",0)</f>
        <v>#VALUE!</v>
      </c>
      <c r="B1" t="e">
        <f>AND(ORM_Syllabus!#REF!,"AAAAAH7b/wE=")</f>
        <v>#REF!</v>
      </c>
      <c r="C1" t="e">
        <f>AND(ORM_Syllabus!B1,"AAAAAH7b/wI=")</f>
        <v>#VALUE!</v>
      </c>
      <c r="D1" t="e">
        <f>AND(ORM_Syllabus!C1,"AAAAAH7b/wM=")</f>
        <v>#VALUE!</v>
      </c>
      <c r="E1" t="e">
        <f>AND(ORM_Syllabus!D1,"AAAAAH7b/wQ=")</f>
        <v>#VALUE!</v>
      </c>
      <c r="F1" t="e">
        <f>AND(ORM_Syllabus!E1,"AAAAAH7b/wU=")</f>
        <v>#VALUE!</v>
      </c>
      <c r="G1" t="e">
        <f>AND(ORM_Syllabus!F1,"AAAAAH7b/wY=")</f>
        <v>#VALUE!</v>
      </c>
      <c r="H1" t="e">
        <f>AND(ORM_Syllabus!G1,"AAAAAH7b/wc=")</f>
        <v>#VALUE!</v>
      </c>
      <c r="I1" t="e">
        <f>IF(ORM_Syllabus!#REF!,"AAAAAH7b/wg=",0)</f>
        <v>#REF!</v>
      </c>
      <c r="J1" t="e">
        <f>AND(ORM_Syllabus!#REF!,"AAAAAH7b/wk=")</f>
        <v>#REF!</v>
      </c>
      <c r="K1" t="e">
        <f>AND(ORM_Syllabus!#REF!,"AAAAAH7b/wo=")</f>
        <v>#REF!</v>
      </c>
      <c r="L1" t="e">
        <f>AND(ORM_Syllabus!#REF!,"AAAAAH7b/ws=")</f>
        <v>#REF!</v>
      </c>
      <c r="M1" t="e">
        <f>AND(ORM_Syllabus!#REF!,"AAAAAH7b/ww=")</f>
        <v>#REF!</v>
      </c>
      <c r="N1" t="e">
        <f>AND(ORM_Syllabus!#REF!,"AAAAAH7b/w0=")</f>
        <v>#REF!</v>
      </c>
      <c r="O1" t="e">
        <f>AND(ORM_Syllabus!#REF!,"AAAAAH7b/w4=")</f>
        <v>#REF!</v>
      </c>
      <c r="P1" t="e">
        <f>AND(ORM_Syllabus!#REF!,"AAAAAH7b/w8=")</f>
        <v>#REF!</v>
      </c>
      <c r="Q1">
        <f>IF(ORM_Syllabus!3:3,"AAAAAH7b/xA=",0)</f>
        <v>0</v>
      </c>
      <c r="R1" t="e">
        <f>AND(ORM_Syllabus!A3,"AAAAAH7b/xE=")</f>
        <v>#VALUE!</v>
      </c>
      <c r="S1" t="e">
        <f>AND(ORM_Syllabus!B3,"AAAAAH7b/xI=")</f>
        <v>#VALUE!</v>
      </c>
      <c r="T1" t="e">
        <f>AND(ORM_Syllabus!C3,"AAAAAH7b/xM=")</f>
        <v>#VALUE!</v>
      </c>
      <c r="U1" t="e">
        <f>AND(ORM_Syllabus!D3,"AAAAAH7b/xQ=")</f>
        <v>#VALUE!</v>
      </c>
      <c r="V1" t="e">
        <f>AND(ORM_Syllabus!E3,"AAAAAH7b/xU=")</f>
        <v>#VALUE!</v>
      </c>
      <c r="W1" t="e">
        <f>AND(ORM_Syllabus!F3,"AAAAAH7b/xY=")</f>
        <v>#VALUE!</v>
      </c>
      <c r="X1" t="e">
        <f>AND(ORM_Syllabus!G3,"AAAAAH7b/xc=")</f>
        <v>#VALUE!</v>
      </c>
      <c r="Y1">
        <f>IF(ORM_Syllabus!4:4,"AAAAAH7b/xg=",0)</f>
        <v>0</v>
      </c>
      <c r="Z1" t="e">
        <f>AND(ORM_Syllabus!A4,"AAAAAH7b/xk=")</f>
        <v>#VALUE!</v>
      </c>
      <c r="AA1" t="e">
        <f>AND(ORM_Syllabus!B4,"AAAAAH7b/xo=")</f>
        <v>#VALUE!</v>
      </c>
      <c r="AB1" t="e">
        <f>AND(ORM_Syllabus!C4,"AAAAAH7b/xs=")</f>
        <v>#VALUE!</v>
      </c>
      <c r="AC1" t="e">
        <f>AND(ORM_Syllabus!D4,"AAAAAH7b/xw=")</f>
        <v>#VALUE!</v>
      </c>
      <c r="AD1" t="e">
        <f>AND(ORM_Syllabus!E4,"AAAAAH7b/x0=")</f>
        <v>#VALUE!</v>
      </c>
      <c r="AE1" t="e">
        <f>AND(ORM_Syllabus!F4,"AAAAAH7b/x4=")</f>
        <v>#VALUE!</v>
      </c>
      <c r="AF1" t="e">
        <f>AND(ORM_Syllabus!G4,"AAAAAH7b/x8=")</f>
        <v>#VALUE!</v>
      </c>
      <c r="AG1">
        <f>IF(ORM_Syllabus!5:5,"AAAAAH7b/yA=",0)</f>
        <v>0</v>
      </c>
      <c r="AH1" t="e">
        <f>AND(ORM_Syllabus!A5,"AAAAAH7b/yE=")</f>
        <v>#VALUE!</v>
      </c>
      <c r="AI1" t="e">
        <f>AND(ORM_Syllabus!B5,"AAAAAH7b/yI=")</f>
        <v>#VALUE!</v>
      </c>
      <c r="AJ1" t="e">
        <f>AND(ORM_Syllabus!C5,"AAAAAH7b/yM=")</f>
        <v>#VALUE!</v>
      </c>
      <c r="AK1" t="e">
        <f>AND(ORM_Syllabus!D5,"AAAAAH7b/yQ=")</f>
        <v>#VALUE!</v>
      </c>
      <c r="AL1" t="e">
        <f>AND(ORM_Syllabus!E5,"AAAAAH7b/yU=")</f>
        <v>#VALUE!</v>
      </c>
      <c r="AM1" t="e">
        <f>AND(ORM_Syllabus!F5,"AAAAAH7b/yY=")</f>
        <v>#VALUE!</v>
      </c>
      <c r="AN1" t="e">
        <f>AND(ORM_Syllabus!G5,"AAAAAH7b/yc=")</f>
        <v>#VALUE!</v>
      </c>
      <c r="AO1">
        <f>IF(ORM_Syllabus!6:6,"AAAAAH7b/yg=",0)</f>
        <v>0</v>
      </c>
      <c r="AP1" t="e">
        <f>AND(ORM_Syllabus!A6,"AAAAAH7b/yk=")</f>
        <v>#VALUE!</v>
      </c>
      <c r="AQ1" t="e">
        <f>AND(ORM_Syllabus!B6,"AAAAAH7b/yo=")</f>
        <v>#VALUE!</v>
      </c>
      <c r="AR1" t="e">
        <f>AND(ORM_Syllabus!C6,"AAAAAH7b/ys=")</f>
        <v>#VALUE!</v>
      </c>
      <c r="AS1" t="e">
        <f>AND(ORM_Syllabus!D6,"AAAAAH7b/yw=")</f>
        <v>#VALUE!</v>
      </c>
      <c r="AT1" t="e">
        <f>AND(ORM_Syllabus!E6,"AAAAAH7b/y0=")</f>
        <v>#VALUE!</v>
      </c>
      <c r="AU1" t="e">
        <f>AND(ORM_Syllabus!F6,"AAAAAH7b/y4=")</f>
        <v>#VALUE!</v>
      </c>
      <c r="AV1" t="e">
        <f>AND(ORM_Syllabus!G6,"AAAAAH7b/y8=")</f>
        <v>#VALUE!</v>
      </c>
      <c r="AW1">
        <f>IF(ORM_Syllabus!7:7,"AAAAAH7b/zA=",0)</f>
        <v>0</v>
      </c>
      <c r="AX1" t="e">
        <f>AND(ORM_Syllabus!A7,"AAAAAH7b/zE=")</f>
        <v>#VALUE!</v>
      </c>
      <c r="AY1" t="e">
        <f>AND(ORM_Syllabus!B7,"AAAAAH7b/zI=")</f>
        <v>#VALUE!</v>
      </c>
      <c r="AZ1" t="e">
        <f>AND(ORM_Syllabus!C7,"AAAAAH7b/zM=")</f>
        <v>#VALUE!</v>
      </c>
      <c r="BA1" t="e">
        <f>AND(ORM_Syllabus!D7,"AAAAAH7b/zQ=")</f>
        <v>#VALUE!</v>
      </c>
      <c r="BB1" t="e">
        <f>AND(ORM_Syllabus!E7,"AAAAAH7b/zU=")</f>
        <v>#VALUE!</v>
      </c>
      <c r="BC1" t="e">
        <f>AND(ORM_Syllabus!F7,"AAAAAH7b/zY=")</f>
        <v>#VALUE!</v>
      </c>
      <c r="BD1" t="e">
        <f>AND(ORM_Syllabus!G7,"AAAAAH7b/zc=")</f>
        <v>#VALUE!</v>
      </c>
      <c r="BE1">
        <f>IF(ORM_Syllabus!8:8,"AAAAAH7b/zg=",0)</f>
        <v>0</v>
      </c>
      <c r="BF1" t="e">
        <f>AND(ORM_Syllabus!A8,"AAAAAH7b/zk=")</f>
        <v>#VALUE!</v>
      </c>
      <c r="BG1" t="e">
        <f>AND(ORM_Syllabus!B8,"AAAAAH7b/zo=")</f>
        <v>#VALUE!</v>
      </c>
      <c r="BH1" t="e">
        <f>AND(ORM_Syllabus!C8,"AAAAAH7b/zs=")</f>
        <v>#VALUE!</v>
      </c>
      <c r="BI1" t="e">
        <f>AND(ORM_Syllabus!D8,"AAAAAH7b/zw=")</f>
        <v>#VALUE!</v>
      </c>
      <c r="BJ1" t="e">
        <f>AND(ORM_Syllabus!E8,"AAAAAH7b/z0=")</f>
        <v>#VALUE!</v>
      </c>
      <c r="BK1" t="e">
        <f>AND(ORM_Syllabus!F8,"AAAAAH7b/z4=")</f>
        <v>#VALUE!</v>
      </c>
      <c r="BL1" t="e">
        <f>AND(ORM_Syllabus!G8,"AAAAAH7b/z8=")</f>
        <v>#VALUE!</v>
      </c>
      <c r="BM1">
        <f>IF(ORM_Syllabus!9:9,"AAAAAH7b/0A=",0)</f>
        <v>0</v>
      </c>
      <c r="BN1" t="e">
        <f>AND(ORM_Syllabus!A9,"AAAAAH7b/0E=")</f>
        <v>#VALUE!</v>
      </c>
      <c r="BO1" t="e">
        <f>AND(ORM_Syllabus!B9,"AAAAAH7b/0I=")</f>
        <v>#VALUE!</v>
      </c>
      <c r="BP1" t="e">
        <f>AND(ORM_Syllabus!C9,"AAAAAH7b/0M=")</f>
        <v>#VALUE!</v>
      </c>
      <c r="BQ1" t="e">
        <f>AND(ORM_Syllabus!D9,"AAAAAH7b/0Q=")</f>
        <v>#VALUE!</v>
      </c>
      <c r="BR1" t="e">
        <f>AND(ORM_Syllabus!E9,"AAAAAH7b/0U=")</f>
        <v>#VALUE!</v>
      </c>
      <c r="BS1" t="e">
        <f>AND(ORM_Syllabus!F9,"AAAAAH7b/0Y=")</f>
        <v>#VALUE!</v>
      </c>
      <c r="BT1" t="e">
        <f>AND(ORM_Syllabus!G9,"AAAAAH7b/0c=")</f>
        <v>#VALUE!</v>
      </c>
      <c r="BU1" t="e">
        <f>IF(ORM_Syllabus!#REF!,"AAAAAH7b/0g=",0)</f>
        <v>#REF!</v>
      </c>
      <c r="BV1" t="e">
        <f>AND(ORM_Syllabus!#REF!,"AAAAAH7b/0k=")</f>
        <v>#REF!</v>
      </c>
      <c r="BW1" t="e">
        <f>AND(ORM_Syllabus!#REF!,"AAAAAH7b/0o=")</f>
        <v>#REF!</v>
      </c>
      <c r="BX1" t="e">
        <f>AND(ORM_Syllabus!#REF!,"AAAAAH7b/0s=")</f>
        <v>#REF!</v>
      </c>
      <c r="BY1" t="e">
        <f>AND(ORM_Syllabus!#REF!,"AAAAAH7b/0w=")</f>
        <v>#REF!</v>
      </c>
      <c r="BZ1" t="e">
        <f>AND(ORM_Syllabus!#REF!,"AAAAAH7b/00=")</f>
        <v>#REF!</v>
      </c>
      <c r="CA1" t="e">
        <f>AND(ORM_Syllabus!#REF!,"AAAAAH7b/04=")</f>
        <v>#REF!</v>
      </c>
      <c r="CB1" t="e">
        <f>AND(ORM_Syllabus!#REF!,"AAAAAH7b/08=")</f>
        <v>#REF!</v>
      </c>
      <c r="CC1" t="e">
        <f>IF(ORM_Syllabus!#REF!,"AAAAAH7b/1A=",0)</f>
        <v>#REF!</v>
      </c>
      <c r="CD1" t="e">
        <f>AND(ORM_Syllabus!#REF!,"AAAAAH7b/1E=")</f>
        <v>#REF!</v>
      </c>
      <c r="CE1" t="e">
        <f>AND(ORM_Syllabus!#REF!,"AAAAAH7b/1I=")</f>
        <v>#REF!</v>
      </c>
      <c r="CF1" t="e">
        <f>AND(ORM_Syllabus!#REF!,"AAAAAH7b/1M=")</f>
        <v>#REF!</v>
      </c>
      <c r="CG1" t="e">
        <f>AND(ORM_Syllabus!#REF!,"AAAAAH7b/1Q=")</f>
        <v>#REF!</v>
      </c>
      <c r="CH1" t="e">
        <f>AND(ORM_Syllabus!#REF!,"AAAAAH7b/1U=")</f>
        <v>#REF!</v>
      </c>
      <c r="CI1" t="e">
        <f>AND(ORM_Syllabus!#REF!,"AAAAAH7b/1Y=")</f>
        <v>#REF!</v>
      </c>
      <c r="CJ1" t="e">
        <f>AND(ORM_Syllabus!#REF!,"AAAAAH7b/1c=")</f>
        <v>#REF!</v>
      </c>
      <c r="CK1">
        <f>IF(ORM_Syllabus!13:13,"AAAAAH7b/1g=",0)</f>
        <v>0</v>
      </c>
      <c r="CL1" t="e">
        <f>AND(ORM_Syllabus!A13,"AAAAAH7b/1k=")</f>
        <v>#VALUE!</v>
      </c>
      <c r="CM1" t="e">
        <f>AND(ORM_Syllabus!B13,"AAAAAH7b/1o=")</f>
        <v>#VALUE!</v>
      </c>
      <c r="CN1" t="e">
        <f>AND(ORM_Syllabus!C13,"AAAAAH7b/1s=")</f>
        <v>#VALUE!</v>
      </c>
      <c r="CO1" t="e">
        <f>AND(ORM_Syllabus!D13,"AAAAAH7b/1w=")</f>
        <v>#VALUE!</v>
      </c>
      <c r="CP1" t="e">
        <f>AND(ORM_Syllabus!E13,"AAAAAH7b/10=")</f>
        <v>#VALUE!</v>
      </c>
      <c r="CQ1" t="e">
        <f>AND(ORM_Syllabus!F13,"AAAAAH7b/14=")</f>
        <v>#VALUE!</v>
      </c>
      <c r="CR1" t="e">
        <f>AND(ORM_Syllabus!G13,"AAAAAH7b/18=")</f>
        <v>#VALUE!</v>
      </c>
      <c r="CS1">
        <f>IF(ORM_Syllabus!14:14,"AAAAAH7b/2A=",0)</f>
        <v>0</v>
      </c>
      <c r="CT1" t="e">
        <f>AND(ORM_Syllabus!A14,"AAAAAH7b/2E=")</f>
        <v>#VALUE!</v>
      </c>
      <c r="CU1" t="e">
        <f>AND(ORM_Syllabus!B14,"AAAAAH7b/2I=")</f>
        <v>#VALUE!</v>
      </c>
      <c r="CV1" t="e">
        <f>AND(ORM_Syllabus!C14,"AAAAAH7b/2M=")</f>
        <v>#VALUE!</v>
      </c>
      <c r="CW1" t="e">
        <f>AND(ORM_Syllabus!D14,"AAAAAH7b/2Q=")</f>
        <v>#VALUE!</v>
      </c>
      <c r="CX1" t="e">
        <f>AND(ORM_Syllabus!E14,"AAAAAH7b/2U=")</f>
        <v>#VALUE!</v>
      </c>
      <c r="CY1" t="e">
        <f>AND(ORM_Syllabus!F14,"AAAAAH7b/2Y=")</f>
        <v>#VALUE!</v>
      </c>
      <c r="CZ1" t="e">
        <f>AND(ORM_Syllabus!G14,"AAAAAH7b/2c=")</f>
        <v>#VALUE!</v>
      </c>
      <c r="DA1">
        <f>IF(ORM_Syllabus!15:15,"AAAAAH7b/2g=",0)</f>
        <v>0</v>
      </c>
      <c r="DB1" t="e">
        <f>AND(ORM_Syllabus!A15,"AAAAAH7b/2k=")</f>
        <v>#VALUE!</v>
      </c>
      <c r="DC1" t="e">
        <f>AND(ORM_Syllabus!B15,"AAAAAH7b/2o=")</f>
        <v>#VALUE!</v>
      </c>
      <c r="DD1" t="e">
        <f>AND(ORM_Syllabus!C15,"AAAAAH7b/2s=")</f>
        <v>#VALUE!</v>
      </c>
      <c r="DE1" t="e">
        <f>AND(ORM_Syllabus!D15,"AAAAAH7b/2w=")</f>
        <v>#VALUE!</v>
      </c>
      <c r="DF1" t="e">
        <f>AND(ORM_Syllabus!E15,"AAAAAH7b/20=")</f>
        <v>#VALUE!</v>
      </c>
      <c r="DG1" t="e">
        <f>AND(ORM_Syllabus!F15,"AAAAAH7b/24=")</f>
        <v>#VALUE!</v>
      </c>
      <c r="DH1" t="e">
        <f>AND(ORM_Syllabus!G15,"AAAAAH7b/28=")</f>
        <v>#VALUE!</v>
      </c>
      <c r="DI1">
        <f>IF(ORM_Syllabus!16:16,"AAAAAH7b/3A=",0)</f>
        <v>0</v>
      </c>
      <c r="DJ1" t="e">
        <f>AND(ORM_Syllabus!A16,"AAAAAH7b/3E=")</f>
        <v>#VALUE!</v>
      </c>
      <c r="DK1" t="e">
        <f>AND(ORM_Syllabus!B16,"AAAAAH7b/3I=")</f>
        <v>#VALUE!</v>
      </c>
      <c r="DL1" t="e">
        <f>AND(ORM_Syllabus!C16,"AAAAAH7b/3M=")</f>
        <v>#VALUE!</v>
      </c>
      <c r="DM1" t="e">
        <f>AND(ORM_Syllabus!D16,"AAAAAH7b/3Q=")</f>
        <v>#VALUE!</v>
      </c>
      <c r="DN1" t="e">
        <f>AND(ORM_Syllabus!E16,"AAAAAH7b/3U=")</f>
        <v>#VALUE!</v>
      </c>
      <c r="DO1" t="e">
        <f>AND(ORM_Syllabus!F16,"AAAAAH7b/3Y=")</f>
        <v>#VALUE!</v>
      </c>
      <c r="DP1" t="e">
        <f>AND(ORM_Syllabus!G16,"AAAAAH7b/3c=")</f>
        <v>#VALUE!</v>
      </c>
      <c r="DQ1">
        <f>IF(ORM_Syllabus!17:17,"AAAAAH7b/3g=",0)</f>
        <v>0</v>
      </c>
      <c r="DR1" t="e">
        <f>AND(ORM_Syllabus!A17,"AAAAAH7b/3k=")</f>
        <v>#VALUE!</v>
      </c>
      <c r="DS1" t="e">
        <f>AND(ORM_Syllabus!B17,"AAAAAH7b/3o=")</f>
        <v>#VALUE!</v>
      </c>
      <c r="DT1" t="e">
        <f>AND(ORM_Syllabus!C17,"AAAAAH7b/3s=")</f>
        <v>#VALUE!</v>
      </c>
      <c r="DU1" t="e">
        <f>AND(ORM_Syllabus!D17,"AAAAAH7b/3w=")</f>
        <v>#VALUE!</v>
      </c>
      <c r="DV1" t="e">
        <f>AND(ORM_Syllabus!E17,"AAAAAH7b/30=")</f>
        <v>#VALUE!</v>
      </c>
      <c r="DW1" t="e">
        <f>AND(ORM_Syllabus!F17,"AAAAAH7b/34=")</f>
        <v>#VALUE!</v>
      </c>
      <c r="DX1" t="e">
        <f>AND(ORM_Syllabus!G17,"AAAAAH7b/38=")</f>
        <v>#VALUE!</v>
      </c>
      <c r="DY1">
        <f>IF(ORM_Syllabus!19:19,"AAAAAH7b/4A=",0)</f>
        <v>0</v>
      </c>
      <c r="DZ1" t="e">
        <f>AND(ORM_Syllabus!A19,"AAAAAH7b/4E=")</f>
        <v>#VALUE!</v>
      </c>
      <c r="EA1" t="e">
        <f>AND(ORM_Syllabus!B19,"AAAAAH7b/4I=")</f>
        <v>#VALUE!</v>
      </c>
      <c r="EB1" t="e">
        <f>AND(ORM_Syllabus!C19,"AAAAAH7b/4M=")</f>
        <v>#VALUE!</v>
      </c>
      <c r="EC1" t="e">
        <f>AND(ORM_Syllabus!D19,"AAAAAH7b/4Q=")</f>
        <v>#VALUE!</v>
      </c>
      <c r="ED1" t="e">
        <f>AND(ORM_Syllabus!E19,"AAAAAH7b/4U=")</f>
        <v>#VALUE!</v>
      </c>
      <c r="EE1" t="e">
        <f>AND(ORM_Syllabus!F19,"AAAAAH7b/4Y=")</f>
        <v>#VALUE!</v>
      </c>
      <c r="EF1" t="e">
        <f>AND(ORM_Syllabus!G19,"AAAAAH7b/4c=")</f>
        <v>#VALUE!</v>
      </c>
      <c r="EG1">
        <f>IF(ORM_Syllabus!20:20,"AAAAAH7b/4g=",0)</f>
        <v>0</v>
      </c>
      <c r="EH1" t="e">
        <f>AND(ORM_Syllabus!A20,"AAAAAH7b/4k=")</f>
        <v>#VALUE!</v>
      </c>
      <c r="EI1" t="e">
        <f>AND(ORM_Syllabus!B20,"AAAAAH7b/4o=")</f>
        <v>#VALUE!</v>
      </c>
      <c r="EJ1" t="e">
        <f>AND(ORM_Syllabus!C20,"AAAAAH7b/4s=")</f>
        <v>#VALUE!</v>
      </c>
      <c r="EK1" t="e">
        <f>AND(ORM_Syllabus!D20,"AAAAAH7b/4w=")</f>
        <v>#VALUE!</v>
      </c>
      <c r="EL1" t="e">
        <f>AND(ORM_Syllabus!E20,"AAAAAH7b/40=")</f>
        <v>#VALUE!</v>
      </c>
      <c r="EM1" t="e">
        <f>AND(ORM_Syllabus!F20,"AAAAAH7b/44=")</f>
        <v>#VALUE!</v>
      </c>
      <c r="EN1" t="e">
        <f>AND(ORM_Syllabus!G20,"AAAAAH7b/48=")</f>
        <v>#VALUE!</v>
      </c>
      <c r="EO1">
        <f>IF(ORM_Syllabus!21:21,"AAAAAH7b/5A=",0)</f>
        <v>0</v>
      </c>
      <c r="EP1" t="e">
        <f>AND(ORM_Syllabus!A21,"AAAAAH7b/5E=")</f>
        <v>#VALUE!</v>
      </c>
      <c r="EQ1" t="e">
        <f>AND(ORM_Syllabus!B21,"AAAAAH7b/5I=")</f>
        <v>#VALUE!</v>
      </c>
      <c r="ER1" t="e">
        <f>AND(ORM_Syllabus!C21,"AAAAAH7b/5M=")</f>
        <v>#VALUE!</v>
      </c>
      <c r="ES1" t="e">
        <f>AND(ORM_Syllabus!D21,"AAAAAH7b/5Q=")</f>
        <v>#VALUE!</v>
      </c>
      <c r="ET1" t="e">
        <f>AND(ORM_Syllabus!E21,"AAAAAH7b/5U=")</f>
        <v>#VALUE!</v>
      </c>
      <c r="EU1" t="e">
        <f>AND(ORM_Syllabus!F21,"AAAAAH7b/5Y=")</f>
        <v>#VALUE!</v>
      </c>
      <c r="EV1" t="e">
        <f>AND(ORM_Syllabus!G21,"AAAAAH7b/5c=")</f>
        <v>#VALUE!</v>
      </c>
      <c r="EW1">
        <f>IF(ORM_Syllabus!23:23,"AAAAAH7b/5g=",0)</f>
        <v>0</v>
      </c>
      <c r="EX1" t="e">
        <f>AND(ORM_Syllabus!A23,"AAAAAH7b/5k=")</f>
        <v>#VALUE!</v>
      </c>
      <c r="EY1" t="e">
        <f>AND(ORM_Syllabus!B23,"AAAAAH7b/5o=")</f>
        <v>#VALUE!</v>
      </c>
      <c r="EZ1" t="e">
        <f>AND(ORM_Syllabus!C23,"AAAAAH7b/5s=")</f>
        <v>#VALUE!</v>
      </c>
      <c r="FA1" t="e">
        <f>AND(ORM_Syllabus!D23,"AAAAAH7b/5w=")</f>
        <v>#VALUE!</v>
      </c>
      <c r="FB1" t="e">
        <f>AND(ORM_Syllabus!E23,"AAAAAH7b/50=")</f>
        <v>#VALUE!</v>
      </c>
      <c r="FC1" t="e">
        <f>AND(ORM_Syllabus!F23,"AAAAAH7b/54=")</f>
        <v>#VALUE!</v>
      </c>
      <c r="FD1" t="e">
        <f>AND(ORM_Syllabus!G23,"AAAAAH7b/58=")</f>
        <v>#VALUE!</v>
      </c>
      <c r="FE1">
        <f>IF(ORM_Syllabus!24:24,"AAAAAH7b/6A=",0)</f>
        <v>0</v>
      </c>
      <c r="FF1" t="e">
        <f>AND(ORM_Syllabus!A24,"AAAAAH7b/6E=")</f>
        <v>#VALUE!</v>
      </c>
      <c r="FG1" t="e">
        <f>AND(ORM_Syllabus!B24,"AAAAAH7b/6I=")</f>
        <v>#VALUE!</v>
      </c>
      <c r="FH1" t="e">
        <f>AND(ORM_Syllabus!C24,"AAAAAH7b/6M=")</f>
        <v>#VALUE!</v>
      </c>
      <c r="FI1" t="e">
        <f>AND(ORM_Syllabus!D24,"AAAAAH7b/6Q=")</f>
        <v>#VALUE!</v>
      </c>
      <c r="FJ1" t="e">
        <f>AND(ORM_Syllabus!E24,"AAAAAH7b/6U=")</f>
        <v>#VALUE!</v>
      </c>
      <c r="FK1" t="e">
        <f>AND(ORM_Syllabus!F24,"AAAAAH7b/6Y=")</f>
        <v>#VALUE!</v>
      </c>
      <c r="FL1" t="e">
        <f>AND(ORM_Syllabus!G24,"AAAAAH7b/6c=")</f>
        <v>#VALUE!</v>
      </c>
      <c r="FM1">
        <f>IF(ORM_Syllabus!25:25,"AAAAAH7b/6g=",0)</f>
        <v>0</v>
      </c>
      <c r="FN1" t="e">
        <f>AND(ORM_Syllabus!A25,"AAAAAH7b/6k=")</f>
        <v>#VALUE!</v>
      </c>
      <c r="FO1" t="e">
        <f>AND(ORM_Syllabus!B25,"AAAAAH7b/6o=")</f>
        <v>#VALUE!</v>
      </c>
      <c r="FP1" t="e">
        <f>AND(ORM_Syllabus!C25,"AAAAAH7b/6s=")</f>
        <v>#VALUE!</v>
      </c>
      <c r="FQ1" t="e">
        <f>AND(ORM_Syllabus!D25,"AAAAAH7b/6w=")</f>
        <v>#VALUE!</v>
      </c>
      <c r="FR1" t="e">
        <f>AND(ORM_Syllabus!E25,"AAAAAH7b/60=")</f>
        <v>#VALUE!</v>
      </c>
      <c r="FS1" t="e">
        <f>AND(ORM_Syllabus!F25,"AAAAAH7b/64=")</f>
        <v>#VALUE!</v>
      </c>
      <c r="FT1" t="e">
        <f>AND(ORM_Syllabus!G25,"AAAAAH7b/68=")</f>
        <v>#VALUE!</v>
      </c>
      <c r="FU1">
        <f>IF(ORM_Syllabus!26:26,"AAAAAH7b/7A=",0)</f>
        <v>0</v>
      </c>
      <c r="FV1" t="e">
        <f>AND(ORM_Syllabus!A26,"AAAAAH7b/7E=")</f>
        <v>#VALUE!</v>
      </c>
      <c r="FW1" t="e">
        <f>AND(ORM_Syllabus!B26,"AAAAAH7b/7I=")</f>
        <v>#VALUE!</v>
      </c>
      <c r="FX1" t="e">
        <f>AND(ORM_Syllabus!C26,"AAAAAH7b/7M=")</f>
        <v>#VALUE!</v>
      </c>
      <c r="FY1" t="e">
        <f>AND(ORM_Syllabus!D26,"AAAAAH7b/7Q=")</f>
        <v>#VALUE!</v>
      </c>
      <c r="FZ1" t="e">
        <f>AND(ORM_Syllabus!E26,"AAAAAH7b/7U=")</f>
        <v>#VALUE!</v>
      </c>
      <c r="GA1" t="e">
        <f>AND(ORM_Syllabus!F26,"AAAAAH7b/7Y=")</f>
        <v>#VALUE!</v>
      </c>
      <c r="GB1" t="e">
        <f>AND(ORM_Syllabus!G26,"AAAAAH7b/7c=")</f>
        <v>#VALUE!</v>
      </c>
      <c r="GC1">
        <f>IF(ORM_Syllabus!27:27,"AAAAAH7b/7g=",0)</f>
        <v>0</v>
      </c>
      <c r="GD1" t="e">
        <f>AND(ORM_Syllabus!A27,"AAAAAH7b/7k=")</f>
        <v>#VALUE!</v>
      </c>
      <c r="GE1" t="e">
        <f>AND(ORM_Syllabus!B27,"AAAAAH7b/7o=")</f>
        <v>#VALUE!</v>
      </c>
      <c r="GF1" t="e">
        <f>AND(ORM_Syllabus!C27,"AAAAAH7b/7s=")</f>
        <v>#VALUE!</v>
      </c>
      <c r="GG1" t="e">
        <f>AND(ORM_Syllabus!D27,"AAAAAH7b/7w=")</f>
        <v>#VALUE!</v>
      </c>
      <c r="GH1" t="e">
        <f>AND(ORM_Syllabus!E27,"AAAAAH7b/70=")</f>
        <v>#VALUE!</v>
      </c>
      <c r="GI1" t="e">
        <f>AND(ORM_Syllabus!F27,"AAAAAH7b/74=")</f>
        <v>#VALUE!</v>
      </c>
      <c r="GJ1" t="e">
        <f>AND(ORM_Syllabus!G27,"AAAAAH7b/78=")</f>
        <v>#VALUE!</v>
      </c>
      <c r="GK1">
        <f>IF(ORM_Syllabus!28:28,"AAAAAH7b/8A=",0)</f>
        <v>0</v>
      </c>
      <c r="GL1" t="e">
        <f>AND(ORM_Syllabus!A28,"AAAAAH7b/8E=")</f>
        <v>#VALUE!</v>
      </c>
      <c r="GM1" t="e">
        <f>AND(ORM_Syllabus!B28,"AAAAAH7b/8I=")</f>
        <v>#VALUE!</v>
      </c>
      <c r="GN1" t="e">
        <f>AND(ORM_Syllabus!C28,"AAAAAH7b/8M=")</f>
        <v>#VALUE!</v>
      </c>
      <c r="GO1" t="e">
        <f>AND(ORM_Syllabus!D28,"AAAAAH7b/8Q=")</f>
        <v>#VALUE!</v>
      </c>
      <c r="GP1" t="e">
        <f>AND(ORM_Syllabus!E28,"AAAAAH7b/8U=")</f>
        <v>#VALUE!</v>
      </c>
      <c r="GQ1" t="e">
        <f>AND(ORM_Syllabus!F28,"AAAAAH7b/8Y=")</f>
        <v>#VALUE!</v>
      </c>
      <c r="GR1" t="e">
        <f>AND(ORM_Syllabus!G28,"AAAAAH7b/8c=")</f>
        <v>#VALUE!</v>
      </c>
      <c r="GS1">
        <f>IF(ORM_Syllabus!29:29,"AAAAAH7b/8g=",0)</f>
        <v>0</v>
      </c>
      <c r="GT1" t="e">
        <f>AND(ORM_Syllabus!A29,"AAAAAH7b/8k=")</f>
        <v>#VALUE!</v>
      </c>
      <c r="GU1" t="e">
        <f>AND(ORM_Syllabus!B29,"AAAAAH7b/8o=")</f>
        <v>#VALUE!</v>
      </c>
      <c r="GV1" t="e">
        <f>AND(ORM_Syllabus!C29,"AAAAAH7b/8s=")</f>
        <v>#VALUE!</v>
      </c>
      <c r="GW1" t="e">
        <f>AND(ORM_Syllabus!D29,"AAAAAH7b/8w=")</f>
        <v>#VALUE!</v>
      </c>
      <c r="GX1" t="e">
        <f>AND(ORM_Syllabus!E29,"AAAAAH7b/80=")</f>
        <v>#VALUE!</v>
      </c>
      <c r="GY1" t="e">
        <f>AND(ORM_Syllabus!F29,"AAAAAH7b/84=")</f>
        <v>#VALUE!</v>
      </c>
      <c r="GZ1" t="e">
        <f>AND(ORM_Syllabus!G29,"AAAAAH7b/88=")</f>
        <v>#VALUE!</v>
      </c>
      <c r="HA1">
        <f>IF(ORM_Syllabus!30:30,"AAAAAH7b/9A=",0)</f>
        <v>0</v>
      </c>
      <c r="HB1" t="e">
        <f>AND(ORM_Syllabus!A30,"AAAAAH7b/9E=")</f>
        <v>#VALUE!</v>
      </c>
      <c r="HC1" t="e">
        <f>AND(ORM_Syllabus!B30,"AAAAAH7b/9I=")</f>
        <v>#VALUE!</v>
      </c>
      <c r="HD1" t="e">
        <f>AND(ORM_Syllabus!C30,"AAAAAH7b/9M=")</f>
        <v>#VALUE!</v>
      </c>
      <c r="HE1" t="e">
        <f>AND(ORM_Syllabus!D30,"AAAAAH7b/9Q=")</f>
        <v>#VALUE!</v>
      </c>
      <c r="HF1" t="e">
        <f>AND(ORM_Syllabus!E30,"AAAAAH7b/9U=")</f>
        <v>#VALUE!</v>
      </c>
      <c r="HG1" t="e">
        <f>AND(ORM_Syllabus!F30,"AAAAAH7b/9Y=")</f>
        <v>#VALUE!</v>
      </c>
      <c r="HH1" t="e">
        <f>AND(ORM_Syllabus!G30,"AAAAAH7b/9c=")</f>
        <v>#VALUE!</v>
      </c>
      <c r="HI1">
        <f>IF(ORM_Syllabus!31:31,"AAAAAH7b/9g=",0)</f>
        <v>0</v>
      </c>
      <c r="HJ1" t="e">
        <f>AND(ORM_Syllabus!A31,"AAAAAH7b/9k=")</f>
        <v>#VALUE!</v>
      </c>
      <c r="HK1" t="e">
        <f>AND(ORM_Syllabus!B31,"AAAAAH7b/9o=")</f>
        <v>#VALUE!</v>
      </c>
      <c r="HL1" t="e">
        <f>AND(ORM_Syllabus!C31,"AAAAAH7b/9s=")</f>
        <v>#VALUE!</v>
      </c>
      <c r="HM1" t="e">
        <f>AND(ORM_Syllabus!D31,"AAAAAH7b/9w=")</f>
        <v>#VALUE!</v>
      </c>
      <c r="HN1" t="e">
        <f>AND(ORM_Syllabus!E31,"AAAAAH7b/90=")</f>
        <v>#VALUE!</v>
      </c>
      <c r="HO1" t="e">
        <f>AND(ORM_Syllabus!F31,"AAAAAH7b/94=")</f>
        <v>#VALUE!</v>
      </c>
      <c r="HP1" t="e">
        <f>AND(ORM_Syllabus!G31,"AAAAAH7b/98=")</f>
        <v>#VALUE!</v>
      </c>
      <c r="HQ1">
        <f>IF(ORM_Syllabus!32:32,"AAAAAH7b/+A=",0)</f>
        <v>0</v>
      </c>
      <c r="HR1" t="e">
        <f>AND(ORM_Syllabus!A32,"AAAAAH7b/+E=")</f>
        <v>#VALUE!</v>
      </c>
      <c r="HS1" t="e">
        <f>AND(ORM_Syllabus!B32,"AAAAAH7b/+I=")</f>
        <v>#VALUE!</v>
      </c>
      <c r="HT1" t="e">
        <f>AND(ORM_Syllabus!C32,"AAAAAH7b/+M=")</f>
        <v>#VALUE!</v>
      </c>
      <c r="HU1" t="e">
        <f>AND(ORM_Syllabus!D32,"AAAAAH7b/+Q=")</f>
        <v>#VALUE!</v>
      </c>
      <c r="HV1" t="e">
        <f>AND(ORM_Syllabus!E32,"AAAAAH7b/+U=")</f>
        <v>#VALUE!</v>
      </c>
      <c r="HW1" t="e">
        <f>AND(ORM_Syllabus!F32,"AAAAAH7b/+Y=")</f>
        <v>#VALUE!</v>
      </c>
      <c r="HX1" t="e">
        <f>AND(ORM_Syllabus!G32,"AAAAAH7b/+c=")</f>
        <v>#VALUE!</v>
      </c>
      <c r="HY1">
        <f>IF(ORM_Syllabus!33:33,"AAAAAH7b/+g=",0)</f>
        <v>0</v>
      </c>
      <c r="HZ1" t="e">
        <f>AND(ORM_Syllabus!A33,"AAAAAH7b/+k=")</f>
        <v>#VALUE!</v>
      </c>
      <c r="IA1" t="e">
        <f>AND(ORM_Syllabus!B33,"AAAAAH7b/+o=")</f>
        <v>#VALUE!</v>
      </c>
      <c r="IB1" t="e">
        <f>AND(ORM_Syllabus!C33,"AAAAAH7b/+s=")</f>
        <v>#VALUE!</v>
      </c>
      <c r="IC1" t="e">
        <f>AND(ORM_Syllabus!D33,"AAAAAH7b/+w=")</f>
        <v>#VALUE!</v>
      </c>
      <c r="ID1" t="e">
        <f>AND(ORM_Syllabus!E33,"AAAAAH7b/+0=")</f>
        <v>#VALUE!</v>
      </c>
      <c r="IE1" t="e">
        <f>AND(ORM_Syllabus!F33,"AAAAAH7b/+4=")</f>
        <v>#VALUE!</v>
      </c>
      <c r="IF1" t="e">
        <f>AND(ORM_Syllabus!G33,"AAAAAH7b/+8=")</f>
        <v>#VALUE!</v>
      </c>
      <c r="IG1">
        <f>IF(ORM_Syllabus!34:34,"AAAAAH7b//A=",0)</f>
        <v>0</v>
      </c>
      <c r="IH1" t="e">
        <f>AND(ORM_Syllabus!A34,"AAAAAH7b//E=")</f>
        <v>#VALUE!</v>
      </c>
      <c r="II1" t="e">
        <f>AND(ORM_Syllabus!B34,"AAAAAH7b//I=")</f>
        <v>#VALUE!</v>
      </c>
      <c r="IJ1" t="e">
        <f>AND(ORM_Syllabus!C34,"AAAAAH7b//M=")</f>
        <v>#VALUE!</v>
      </c>
      <c r="IK1" t="e">
        <f>AND(ORM_Syllabus!D34,"AAAAAH7b//Q=")</f>
        <v>#VALUE!</v>
      </c>
      <c r="IL1" t="e">
        <f>AND(ORM_Syllabus!E34,"AAAAAH7b//U=")</f>
        <v>#VALUE!</v>
      </c>
      <c r="IM1" t="e">
        <f>AND(ORM_Syllabus!F34,"AAAAAH7b//Y=")</f>
        <v>#VALUE!</v>
      </c>
      <c r="IN1" t="e">
        <f>AND(ORM_Syllabus!G34,"AAAAAH7b//c=")</f>
        <v>#VALUE!</v>
      </c>
      <c r="IO1">
        <f>IF(ORM_Syllabus!35:35,"AAAAAH7b//g=",0)</f>
        <v>0</v>
      </c>
      <c r="IP1" t="e">
        <f>AND(ORM_Syllabus!A35,"AAAAAH7b//k=")</f>
        <v>#VALUE!</v>
      </c>
      <c r="IQ1" t="e">
        <f>AND(ORM_Syllabus!B35,"AAAAAH7b//o=")</f>
        <v>#VALUE!</v>
      </c>
      <c r="IR1" t="e">
        <f>AND(ORM_Syllabus!C35,"AAAAAH7b//s=")</f>
        <v>#VALUE!</v>
      </c>
      <c r="IS1" t="e">
        <f>AND(ORM_Syllabus!D35,"AAAAAH7b//w=")</f>
        <v>#VALUE!</v>
      </c>
      <c r="IT1" t="e">
        <f>AND(ORM_Syllabus!E35,"AAAAAH7b//0=")</f>
        <v>#VALUE!</v>
      </c>
      <c r="IU1" t="e">
        <f>AND(ORM_Syllabus!F35,"AAAAAH7b//4=")</f>
        <v>#VALUE!</v>
      </c>
      <c r="IV1" t="e">
        <f>AND(ORM_Syllabus!G35,"AAAAAH7b//8=")</f>
        <v>#VALUE!</v>
      </c>
    </row>
    <row r="2" spans="1:256">
      <c r="A2">
        <f>IF(ORM_Syllabus!36:36,"AAAAAH/vfwA=",0)</f>
        <v>0</v>
      </c>
      <c r="B2" t="e">
        <f>AND(ORM_Syllabus!A36,"AAAAAH/vfwE=")</f>
        <v>#VALUE!</v>
      </c>
      <c r="C2" t="e">
        <f>AND(ORM_Syllabus!B36,"AAAAAH/vfwI=")</f>
        <v>#VALUE!</v>
      </c>
      <c r="D2" t="e">
        <f>AND(ORM_Syllabus!C36,"AAAAAH/vfwM=")</f>
        <v>#VALUE!</v>
      </c>
      <c r="E2" t="e">
        <f>AND(ORM_Syllabus!D36,"AAAAAH/vfwQ=")</f>
        <v>#VALUE!</v>
      </c>
      <c r="F2" t="e">
        <f>AND(ORM_Syllabus!E36,"AAAAAH/vfwU=")</f>
        <v>#VALUE!</v>
      </c>
      <c r="G2" t="e">
        <f>AND(ORM_Syllabus!F36,"AAAAAH/vfwY=")</f>
        <v>#VALUE!</v>
      </c>
      <c r="H2" t="e">
        <f>AND(ORM_Syllabus!G36,"AAAAAH/vfwc=")</f>
        <v>#VALUE!</v>
      </c>
      <c r="I2">
        <f>IF(ORM_Syllabus!37:37,"AAAAAH/vfwg=",0)</f>
        <v>0</v>
      </c>
      <c r="J2" t="e">
        <f>AND(ORM_Syllabus!A37,"AAAAAH/vfwk=")</f>
        <v>#VALUE!</v>
      </c>
      <c r="K2" t="e">
        <f>AND(ORM_Syllabus!B37,"AAAAAH/vfwo=")</f>
        <v>#VALUE!</v>
      </c>
      <c r="L2" t="e">
        <f>AND(ORM_Syllabus!C37,"AAAAAH/vfws=")</f>
        <v>#VALUE!</v>
      </c>
      <c r="M2" t="e">
        <f>AND(ORM_Syllabus!D37,"AAAAAH/vfww=")</f>
        <v>#VALUE!</v>
      </c>
      <c r="N2" t="e">
        <f>AND(ORM_Syllabus!E37,"AAAAAH/vfw0=")</f>
        <v>#VALUE!</v>
      </c>
      <c r="O2" t="e">
        <f>AND(ORM_Syllabus!F37,"AAAAAH/vfw4=")</f>
        <v>#VALUE!</v>
      </c>
      <c r="P2" t="e">
        <f>AND(ORM_Syllabus!G37,"AAAAAH/vfw8=")</f>
        <v>#VALUE!</v>
      </c>
      <c r="Q2" t="e">
        <f>IF(ORM_Syllabus!#REF!,"AAAAAH/vfxA=",0)</f>
        <v>#REF!</v>
      </c>
      <c r="R2">
        <f>IF(ORM_Syllabus!A:A,"AAAAAH/vfxE=",0)</f>
        <v>0</v>
      </c>
      <c r="S2">
        <f>IF(ORM_Syllabus!B:B,"AAAAAH/vfxI=",0)</f>
        <v>0</v>
      </c>
      <c r="T2">
        <f>IF(ORM_Syllabus!C:C,"AAAAAH/vfxM=",0)</f>
        <v>0</v>
      </c>
      <c r="U2">
        <f>IF(ORM_Syllabus!D:D,"AAAAAH/vfxQ=",0)</f>
        <v>0</v>
      </c>
      <c r="V2">
        <f>IF(ORM_Syllabus!E:E,"AAAAAH/vfxU=",0)</f>
        <v>0</v>
      </c>
      <c r="W2">
        <f>IF(ORM_Syllabus!F:F,"AAAAAH/vfxY=",0)</f>
        <v>0</v>
      </c>
      <c r="X2">
        <f>IF(ORM_Syllabus!G:G,"AAAAAH/vfxc=",0)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>
        <f>IF('Author and Rec of Changes'!1:1,"AAAAABPz/4M=",0)</f>
        <v>0</v>
      </c>
      <c r="EC3" t="e">
        <f>AND('Author and Rec of Changes'!A1,"AAAAABPz/4Q=")</f>
        <v>#VALUE!</v>
      </c>
      <c r="ED3" t="e">
        <f>AND('Author and Rec of Changes'!B1,"AAAAABPz/4U=")</f>
        <v>#VALUE!</v>
      </c>
      <c r="EE3" t="e">
        <f>AND('Author and Rec of Changes'!C1,"AAAAABPz/4Y=")</f>
        <v>#VALUE!</v>
      </c>
      <c r="EF3" t="e">
        <f>AND('Author and Rec of Changes'!E1,"AAAAABPz/4c=")</f>
        <v>#VALUE!</v>
      </c>
      <c r="EG3" t="e">
        <f>AND('Author and Rec of Changes'!F1,"AAAAABPz/4g=")</f>
        <v>#VALUE!</v>
      </c>
      <c r="EH3" t="e">
        <f>AND('Author and Rec of Changes'!G1,"AAAAABPz/4k=")</f>
        <v>#VALUE!</v>
      </c>
      <c r="EI3" t="e">
        <f>IF('Author and Rec of Changes'!#REF!,"AAAAABPz/4o=",0)</f>
        <v>#REF!</v>
      </c>
      <c r="EJ3" t="e">
        <f>AND('Author and Rec of Changes'!#REF!,"AAAAABPz/4s=")</f>
        <v>#REF!</v>
      </c>
      <c r="EK3" t="e">
        <f>AND('Author and Rec of Changes'!#REF!,"AAAAABPz/4w=")</f>
        <v>#REF!</v>
      </c>
      <c r="EL3" t="e">
        <f>AND('Author and Rec of Changes'!#REF!,"AAAAABPz/40=")</f>
        <v>#REF!</v>
      </c>
      <c r="EM3" t="e">
        <f>AND('Author and Rec of Changes'!#REF!,"AAAAABPz/44=")</f>
        <v>#REF!</v>
      </c>
      <c r="EN3" t="e">
        <f>AND('Author and Rec of Changes'!#REF!,"AAAAABPz/48=")</f>
        <v>#REF!</v>
      </c>
      <c r="EO3" t="e">
        <f>AND('Author and Rec of Changes'!#REF!,"AAAAABPz/5A=")</f>
        <v>#REF!</v>
      </c>
      <c r="EP3">
        <f>IF('Author and Rec of Changes'!2:2,"AAAAABPz/5E=",0)</f>
        <v>0</v>
      </c>
      <c r="EQ3" t="e">
        <f>AND('Author and Rec of Changes'!A2,"AAAAABPz/5I=")</f>
        <v>#VALUE!</v>
      </c>
      <c r="ER3" t="e">
        <f>AND('Author and Rec of Changes'!B2,"AAAAABPz/5M=")</f>
        <v>#VALUE!</v>
      </c>
      <c r="ES3" t="e">
        <f>AND('Author and Rec of Changes'!C2,"AAAAABPz/5Q=")</f>
        <v>#VALUE!</v>
      </c>
      <c r="ET3" t="e">
        <f>AND('Author and Rec of Changes'!E2,"AAAAABPz/5U=")</f>
        <v>#VALUE!</v>
      </c>
      <c r="EU3" t="e">
        <f>AND('Author and Rec of Changes'!F2,"AAAAABPz/5Y=")</f>
        <v>#VALUE!</v>
      </c>
      <c r="EV3" t="e">
        <f>AND('Author and Rec of Changes'!G2,"AAAAABPz/5c=")</f>
        <v>#VALUE!</v>
      </c>
      <c r="EW3">
        <f>IF('Author and Rec of Changes'!3:3,"AAAAABPz/5g=",0)</f>
        <v>0</v>
      </c>
      <c r="EX3" t="e">
        <f>AND('Author and Rec of Changes'!A3,"AAAAABPz/5k=")</f>
        <v>#VALUE!</v>
      </c>
      <c r="EY3" t="e">
        <f>AND('Author and Rec of Changes'!B3,"AAAAABPz/5o=")</f>
        <v>#VALUE!</v>
      </c>
      <c r="EZ3" t="e">
        <f>AND('Author and Rec of Changes'!C3,"AAAAABPz/5s=")</f>
        <v>#VALUE!</v>
      </c>
      <c r="FA3" t="e">
        <f>AND('Author and Rec of Changes'!E3,"AAAAABPz/5w=")</f>
        <v>#VALUE!</v>
      </c>
      <c r="FB3" t="e">
        <f>AND('Author and Rec of Changes'!F3,"AAAAABPz/50=")</f>
        <v>#VALUE!</v>
      </c>
      <c r="FC3" t="e">
        <f>AND('Author and Rec of Changes'!G3,"AAAAABPz/54=")</f>
        <v>#VALUE!</v>
      </c>
      <c r="FD3" t="e">
        <f>IF('Author and Rec of Changes'!#REF!,"AAAAABPz/58=",0)</f>
        <v>#REF!</v>
      </c>
      <c r="FE3" t="e">
        <f>AND('Author and Rec of Changes'!#REF!,"AAAAABPz/6A=")</f>
        <v>#REF!</v>
      </c>
      <c r="FF3" t="e">
        <f>AND('Author and Rec of Changes'!#REF!,"AAAAABPz/6E=")</f>
        <v>#REF!</v>
      </c>
      <c r="FG3" t="e">
        <f>AND('Author and Rec of Changes'!#REF!,"AAAAABPz/6I=")</f>
        <v>#REF!</v>
      </c>
      <c r="FH3" t="e">
        <f>AND('Author and Rec of Changes'!#REF!,"AAAAABPz/6M=")</f>
        <v>#REF!</v>
      </c>
      <c r="FI3" t="e">
        <f>AND('Author and Rec of Changes'!#REF!,"AAAAABPz/6Q=")</f>
        <v>#REF!</v>
      </c>
      <c r="FJ3" t="e">
        <f>AND('Author and Rec of Changes'!#REF!,"AAAAABPz/6U=")</f>
        <v>#REF!</v>
      </c>
      <c r="FK3" t="e">
        <f>IF('Author and Rec of Changes'!#REF!,"AAAAABPz/6Y=",0)</f>
        <v>#REF!</v>
      </c>
      <c r="FL3" t="e">
        <f>AND('Author and Rec of Changes'!#REF!,"AAAAABPz/6c=")</f>
        <v>#REF!</v>
      </c>
      <c r="FM3" t="e">
        <f>AND('Author and Rec of Changes'!#REF!,"AAAAABPz/6g=")</f>
        <v>#REF!</v>
      </c>
      <c r="FN3" t="e">
        <f>AND('Author and Rec of Changes'!#REF!,"AAAAABPz/6k=")</f>
        <v>#REF!</v>
      </c>
      <c r="FO3" t="e">
        <f>AND('Author and Rec of Changes'!#REF!,"AAAAABPz/6o=")</f>
        <v>#REF!</v>
      </c>
      <c r="FP3" t="e">
        <f>AND('Author and Rec of Changes'!#REF!,"AAAAABPz/6s=")</f>
        <v>#REF!</v>
      </c>
      <c r="FQ3" t="e">
        <f>AND('Author and Rec of Changes'!#REF!,"AAAAABPz/6w=")</f>
        <v>#REF!</v>
      </c>
      <c r="FR3">
        <f>IF('Author and Rec of Changes'!4:4,"AAAAABPz/60=",0)</f>
        <v>0</v>
      </c>
      <c r="FS3" t="e">
        <f>AND('Author and Rec of Changes'!A4,"AAAAABPz/64=")</f>
        <v>#VALUE!</v>
      </c>
      <c r="FT3" t="e">
        <f>AND('Author and Rec of Changes'!B4,"AAAAABPz/68=")</f>
        <v>#VALUE!</v>
      </c>
      <c r="FU3" t="e">
        <f>AND('Author and Rec of Changes'!C4,"AAAAABPz/7A=")</f>
        <v>#VALUE!</v>
      </c>
      <c r="FV3" t="e">
        <f>AND('Author and Rec of Changes'!E4,"AAAAABPz/7E=")</f>
        <v>#VALUE!</v>
      </c>
      <c r="FW3" t="e">
        <f>AND('Author and Rec of Changes'!F4,"AAAAABPz/7I=")</f>
        <v>#VALUE!</v>
      </c>
      <c r="FX3" t="e">
        <f>AND('Author and Rec of Changes'!G4,"AAAAABPz/7M=")</f>
        <v>#VALUE!</v>
      </c>
      <c r="FY3" t="e">
        <f>IF('Author and Rec of Changes'!#REF!,"AAAAABPz/7Q=",0)</f>
        <v>#REF!</v>
      </c>
      <c r="FZ3" t="e">
        <f>AND('Author and Rec of Changes'!#REF!,"AAAAABPz/7U=")</f>
        <v>#REF!</v>
      </c>
      <c r="GA3" t="e">
        <f>AND('Author and Rec of Changes'!#REF!,"AAAAABPz/7Y=")</f>
        <v>#REF!</v>
      </c>
      <c r="GB3" t="e">
        <f>AND('Author and Rec of Changes'!#REF!,"AAAAABPz/7c=")</f>
        <v>#REF!</v>
      </c>
      <c r="GC3" t="e">
        <f>AND('Author and Rec of Changes'!#REF!,"AAAAABPz/7g=")</f>
        <v>#REF!</v>
      </c>
      <c r="GD3" t="e">
        <f>AND('Author and Rec of Changes'!#REF!,"AAAAABPz/7k=")</f>
        <v>#REF!</v>
      </c>
      <c r="GE3" t="e">
        <f>AND('Author and Rec of Changes'!#REF!,"AAAAABPz/7o=")</f>
        <v>#REF!</v>
      </c>
      <c r="GF3" t="e">
        <f>IF('Author and Rec of Changes'!#REF!,"AAAAABPz/7s=",0)</f>
        <v>#REF!</v>
      </c>
      <c r="GG3" t="e">
        <f>AND('Author and Rec of Changes'!#REF!,"AAAAABPz/7w=")</f>
        <v>#REF!</v>
      </c>
      <c r="GH3" t="e">
        <f>AND('Author and Rec of Changes'!#REF!,"AAAAABPz/70=")</f>
        <v>#REF!</v>
      </c>
      <c r="GI3" t="e">
        <f>AND('Author and Rec of Changes'!#REF!,"AAAAABPz/74=")</f>
        <v>#REF!</v>
      </c>
      <c r="GJ3" t="e">
        <f>AND('Author and Rec of Changes'!#REF!,"AAAAABPz/78=")</f>
        <v>#REF!</v>
      </c>
      <c r="GK3" t="e">
        <f>AND('Author and Rec of Changes'!#REF!,"AAAAABPz/8A=")</f>
        <v>#REF!</v>
      </c>
      <c r="GL3" t="e">
        <f>AND('Author and Rec of Changes'!#REF!,"AAAAABPz/8E=")</f>
        <v>#REF!</v>
      </c>
      <c r="GM3" t="e">
        <f>IF('Author and Rec of Changes'!#REF!,"AAAAABPz/8I=",0)</f>
        <v>#REF!</v>
      </c>
      <c r="GN3" t="e">
        <f>AND('Author and Rec of Changes'!#REF!,"AAAAABPz/8M=")</f>
        <v>#REF!</v>
      </c>
      <c r="GO3" t="e">
        <f>AND('Author and Rec of Changes'!#REF!,"AAAAABPz/8Q=")</f>
        <v>#REF!</v>
      </c>
      <c r="GP3" t="e">
        <f>AND('Author and Rec of Changes'!#REF!,"AAAAABPz/8U=")</f>
        <v>#REF!</v>
      </c>
      <c r="GQ3" t="e">
        <f>AND('Author and Rec of Changes'!#REF!,"AAAAABPz/8Y=")</f>
        <v>#REF!</v>
      </c>
      <c r="GR3" t="e">
        <f>AND('Author and Rec of Changes'!#REF!,"AAAAABPz/8c=")</f>
        <v>#REF!</v>
      </c>
      <c r="GS3" t="e">
        <f>AND('Author and Rec of Changes'!#REF!,"AAAAABPz/8g=")</f>
        <v>#REF!</v>
      </c>
      <c r="GT3" t="e">
        <f>IF('Author and Rec of Changes'!#REF!,"AAAAABPz/8k=",0)</f>
        <v>#REF!</v>
      </c>
      <c r="GU3" t="e">
        <f>AND('Author and Rec of Changes'!#REF!,"AAAAABPz/8o=")</f>
        <v>#REF!</v>
      </c>
      <c r="GV3" t="e">
        <f>AND('Author and Rec of Changes'!#REF!,"AAAAABPz/8s=")</f>
        <v>#REF!</v>
      </c>
      <c r="GW3" t="e">
        <f>AND('Author and Rec of Changes'!#REF!,"AAAAABPz/8w=")</f>
        <v>#REF!</v>
      </c>
      <c r="GX3" t="e">
        <f>AND('Author and Rec of Changes'!#REF!,"AAAAABPz/80=")</f>
        <v>#REF!</v>
      </c>
      <c r="GY3" t="e">
        <f>AND('Author and Rec of Changes'!#REF!,"AAAAABPz/84=")</f>
        <v>#REF!</v>
      </c>
      <c r="GZ3" t="e">
        <f>AND('Author and Rec of Changes'!#REF!,"AAAAABPz/88=")</f>
        <v>#REF!</v>
      </c>
      <c r="HA3" t="e">
        <f>IF('Author and Rec of Changes'!#REF!,"AAAAABPz/9A=",0)</f>
        <v>#REF!</v>
      </c>
      <c r="HB3" t="e">
        <f>AND('Author and Rec of Changes'!#REF!,"AAAAABPz/9E=")</f>
        <v>#REF!</v>
      </c>
      <c r="HC3" t="e">
        <f>AND('Author and Rec of Changes'!#REF!,"AAAAABPz/9I=")</f>
        <v>#REF!</v>
      </c>
      <c r="HD3" t="e">
        <f>AND('Author and Rec of Changes'!#REF!,"AAAAABPz/9M=")</f>
        <v>#REF!</v>
      </c>
      <c r="HE3" t="e">
        <f>AND('Author and Rec of Changes'!#REF!,"AAAAABPz/9Q=")</f>
        <v>#REF!</v>
      </c>
      <c r="HF3" t="e">
        <f>AND('Author and Rec of Changes'!#REF!,"AAAAABPz/9U=")</f>
        <v>#REF!</v>
      </c>
      <c r="HG3" t="e">
        <f>AND('Author and Rec of Changes'!#REF!,"AAAAABPz/9Y=")</f>
        <v>#REF!</v>
      </c>
      <c r="HH3" t="e">
        <f>IF('Author and Rec of Changes'!#REF!,"AAAAABPz/9c=",0)</f>
        <v>#REF!</v>
      </c>
      <c r="HI3" t="e">
        <f>AND('Author and Rec of Changes'!#REF!,"AAAAABPz/9g=")</f>
        <v>#REF!</v>
      </c>
      <c r="HJ3" t="e">
        <f>AND('Author and Rec of Changes'!#REF!,"AAAAABPz/9k=")</f>
        <v>#REF!</v>
      </c>
      <c r="HK3" t="e">
        <f>AND('Author and Rec of Changes'!#REF!,"AAAAABPz/9o=")</f>
        <v>#REF!</v>
      </c>
      <c r="HL3" t="e">
        <f>AND('Author and Rec of Changes'!#REF!,"AAAAABPz/9s=")</f>
        <v>#REF!</v>
      </c>
      <c r="HM3" t="e">
        <f>AND('Author and Rec of Changes'!#REF!,"AAAAABPz/9w=")</f>
        <v>#REF!</v>
      </c>
      <c r="HN3" t="e">
        <f>AND('Author and Rec of Changes'!#REF!,"AAAAABPz/90=")</f>
        <v>#REF!</v>
      </c>
      <c r="HO3" t="e">
        <f>IF('Author and Rec of Changes'!#REF!,"AAAAABPz/94=",0)</f>
        <v>#REF!</v>
      </c>
      <c r="HP3" t="e">
        <f>AND('Author and Rec of Changes'!#REF!,"AAAAABPz/98=")</f>
        <v>#REF!</v>
      </c>
      <c r="HQ3" t="e">
        <f>AND('Author and Rec of Changes'!#REF!,"AAAAABPz/+A=")</f>
        <v>#REF!</v>
      </c>
      <c r="HR3" t="e">
        <f>AND('Author and Rec of Changes'!#REF!,"AAAAABPz/+E=")</f>
        <v>#REF!</v>
      </c>
      <c r="HS3" t="e">
        <f>AND('Author and Rec of Changes'!#REF!,"AAAAABPz/+I=")</f>
        <v>#REF!</v>
      </c>
      <c r="HT3" t="e">
        <f>AND('Author and Rec of Changes'!#REF!,"AAAAABPz/+M=")</f>
        <v>#REF!</v>
      </c>
      <c r="HU3" t="e">
        <f>AND('Author and Rec of Changes'!#REF!,"AAAAABPz/+Q=")</f>
        <v>#REF!</v>
      </c>
      <c r="HV3">
        <f>IF('Author and Rec of Changes'!5:5,"AAAAABPz/+U=",0)</f>
        <v>0</v>
      </c>
      <c r="HW3" t="e">
        <f>AND('Author and Rec of Changes'!A5,"AAAAABPz/+Y=")</f>
        <v>#VALUE!</v>
      </c>
      <c r="HX3" t="e">
        <f>AND('Author and Rec of Changes'!B5,"AAAAABPz/+c=")</f>
        <v>#VALUE!</v>
      </c>
      <c r="HY3" t="e">
        <f>AND('Author and Rec of Changes'!C5,"AAAAABPz/+g=")</f>
        <v>#VALUE!</v>
      </c>
      <c r="HZ3" t="e">
        <f>AND('Author and Rec of Changes'!E5,"AAAAABPz/+k=")</f>
        <v>#VALUE!</v>
      </c>
      <c r="IA3" t="e">
        <f>AND('Author and Rec of Changes'!F5,"AAAAABPz/+o=")</f>
        <v>#VALUE!</v>
      </c>
      <c r="IB3" t="e">
        <f>AND('Author and Rec of Changes'!G5,"AAAAABPz/+s=")</f>
        <v>#VALUE!</v>
      </c>
      <c r="IC3" t="e">
        <f>IF('Author and Rec of Changes'!#REF!,"AAAAABPz/+w=",0)</f>
        <v>#REF!</v>
      </c>
      <c r="ID3" t="e">
        <f>AND('Author and Rec of Changes'!#REF!,"AAAAABPz/+0=")</f>
        <v>#REF!</v>
      </c>
      <c r="IE3" t="e">
        <f>AND('Author and Rec of Changes'!#REF!,"AAAAABPz/+4=")</f>
        <v>#REF!</v>
      </c>
      <c r="IF3" t="e">
        <f>AND('Author and Rec of Changes'!#REF!,"AAAAABPz/+8=")</f>
        <v>#REF!</v>
      </c>
      <c r="IG3" t="e">
        <f>AND('Author and Rec of Changes'!#REF!,"AAAAABPz//A=")</f>
        <v>#REF!</v>
      </c>
      <c r="IH3" t="e">
        <f>AND('Author and Rec of Changes'!#REF!,"AAAAABPz//E=")</f>
        <v>#REF!</v>
      </c>
      <c r="II3" t="e">
        <f>AND('Author and Rec of Changes'!#REF!,"AAAAABPz//I=")</f>
        <v>#REF!</v>
      </c>
      <c r="IJ3" t="e">
        <f>IF('Author and Rec of Changes'!#REF!,"AAAAABPz//M=",0)</f>
        <v>#REF!</v>
      </c>
      <c r="IK3" t="e">
        <f>AND('Author and Rec of Changes'!#REF!,"AAAAABPz//Q=")</f>
        <v>#REF!</v>
      </c>
      <c r="IL3" t="e">
        <f>AND('Author and Rec of Changes'!#REF!,"AAAAABPz//U=")</f>
        <v>#REF!</v>
      </c>
      <c r="IM3" t="e">
        <f>AND('Author and Rec of Changes'!#REF!,"AAAAABPz//Y=")</f>
        <v>#REF!</v>
      </c>
      <c r="IN3" t="e">
        <f>AND('Author and Rec of Changes'!#REF!,"AAAAABPz//c=")</f>
        <v>#REF!</v>
      </c>
      <c r="IO3" t="e">
        <f>AND('Author and Rec of Changes'!#REF!,"AAAAABPz//g=")</f>
        <v>#REF!</v>
      </c>
      <c r="IP3" t="e">
        <f>AND('Author and Rec of Changes'!#REF!,"AAAAABPz//k=")</f>
        <v>#REF!</v>
      </c>
      <c r="IQ3">
        <f>IF('Author and Rec of Changes'!6:6,"AAAAABPz//o=",0)</f>
        <v>0</v>
      </c>
      <c r="IR3" t="e">
        <f>AND('Author and Rec of Changes'!A6,"AAAAABPz//s=")</f>
        <v>#VALUE!</v>
      </c>
      <c r="IS3" t="e">
        <f>AND('Author and Rec of Changes'!B6,"AAAAABPz//w=")</f>
        <v>#VALUE!</v>
      </c>
      <c r="IT3" t="e">
        <f>AND('Author and Rec of Changes'!C6,"AAAAABPz//0=")</f>
        <v>#VALUE!</v>
      </c>
      <c r="IU3" t="e">
        <f>AND('Author and Rec of Changes'!E6,"AAAAABPz//4=")</f>
        <v>#VALUE!</v>
      </c>
      <c r="IV3" t="e">
        <f>AND('Author and Rec of Changes'!F6,"AAAAABPz//8=")</f>
        <v>#VALUE!</v>
      </c>
    </row>
    <row r="4" spans="1:256" ht="15">
      <c r="A4" t="e">
        <f>AND('Author and Rec of Changes'!G6,"AAAAAH/rVAA=")</f>
        <v>#VALUE!</v>
      </c>
      <c r="B4">
        <f>IF('Author and Rec of Changes'!7:7,"AAAAAH/rVAE=",0)</f>
        <v>0</v>
      </c>
      <c r="C4" t="e">
        <f>AND('Author and Rec of Changes'!A7,"AAAAAH/rVAI=")</f>
        <v>#VALUE!</v>
      </c>
      <c r="D4" t="e">
        <f>AND('Author and Rec of Changes'!B7,"AAAAAH/rVAM=")</f>
        <v>#VALUE!</v>
      </c>
      <c r="E4" t="e">
        <f>AND('Author and Rec of Changes'!C7,"AAAAAH/rVAQ=")</f>
        <v>#VALUE!</v>
      </c>
      <c r="F4" t="e">
        <f>AND('Author and Rec of Changes'!E7,"AAAAAH/rVAU=")</f>
        <v>#VALUE!</v>
      </c>
      <c r="G4" t="e">
        <f>AND('Author and Rec of Changes'!F7,"AAAAAH/rVAY=")</f>
        <v>#VALUE!</v>
      </c>
      <c r="H4" t="e">
        <f>AND('Author and Rec of Changes'!G7,"AAAAAH/rVAc=")</f>
        <v>#VALUE!</v>
      </c>
      <c r="I4">
        <f>IF('Author and Rec of Changes'!8:8,"AAAAAH/rVAg=",0)</f>
        <v>0</v>
      </c>
      <c r="J4" t="e">
        <f>AND('Author and Rec of Changes'!A8,"AAAAAH/rVAk=")</f>
        <v>#VALUE!</v>
      </c>
      <c r="K4" t="e">
        <f>AND('Author and Rec of Changes'!B8,"AAAAAH/rVAo=")</f>
        <v>#VALUE!</v>
      </c>
      <c r="L4" t="e">
        <f>AND('Author and Rec of Changes'!C8,"AAAAAH/rVAs=")</f>
        <v>#VALUE!</v>
      </c>
      <c r="M4" t="e">
        <f>AND('Author and Rec of Changes'!E8,"AAAAAH/rVAw=")</f>
        <v>#VALUE!</v>
      </c>
      <c r="N4" t="e">
        <f>AND('Author and Rec of Changes'!F8,"AAAAAH/rVA0=")</f>
        <v>#VALUE!</v>
      </c>
      <c r="O4" t="e">
        <f>AND('Author and Rec of Changes'!G8,"AAAAAH/rVA4=")</f>
        <v>#VALUE!</v>
      </c>
      <c r="P4">
        <f>IF('Author and Rec of Changes'!9:9,"AAAAAH/rVA8=",0)</f>
        <v>0</v>
      </c>
      <c r="Q4" t="e">
        <f>AND('Author and Rec of Changes'!A9,"AAAAAH/rVBA=")</f>
        <v>#VALUE!</v>
      </c>
      <c r="R4" t="e">
        <f>AND('Author and Rec of Changes'!B9,"AAAAAH/rVBE=")</f>
        <v>#VALUE!</v>
      </c>
      <c r="S4" t="e">
        <f>AND('Author and Rec of Changes'!C9,"AAAAAH/rVBI=")</f>
        <v>#VALUE!</v>
      </c>
      <c r="T4" t="e">
        <f>AND('Author and Rec of Changes'!D9,"AAAAAH/rVBM=")</f>
        <v>#VALUE!</v>
      </c>
      <c r="U4" t="e">
        <f>AND('Author and Rec of Changes'!E9,"AAAAAH/rVBQ=")</f>
        <v>#VALUE!</v>
      </c>
      <c r="V4" t="e">
        <f>AND('Author and Rec of Changes'!F9,"AAAAAH/rVBU=")</f>
        <v>#VALUE!</v>
      </c>
      <c r="W4">
        <f>IF('Author and Rec of Changes'!10:10,"AAAAAH/rVBY=",0)</f>
        <v>0</v>
      </c>
      <c r="X4">
        <f>IF('Author and Rec of Changes'!11:11,"AAAAAH/rVBc=",0)</f>
        <v>0</v>
      </c>
      <c r="Y4">
        <f>IF('Author and Rec of Changes'!12:12,"AAAAAH/rVBg=",0)</f>
        <v>0</v>
      </c>
      <c r="Z4">
        <f>IF('Author and Rec of Changes'!13:13,"AAAAAH/rVBk=",0)</f>
        <v>0</v>
      </c>
      <c r="AA4">
        <f>IF('Author and Rec of Changes'!14:14,"AAAAAH/rVBo=",0)</f>
        <v>0</v>
      </c>
      <c r="AB4">
        <f>IF('Author and Rec of Changes'!15:15,"AAAAAH/rVBs=",0)</f>
        <v>0</v>
      </c>
      <c r="AC4">
        <f>IF('Author and Rec of Changes'!16:16,"AAAAAH/rVBw=",0)</f>
        <v>0</v>
      </c>
      <c r="AD4">
        <f>IF('Author and Rec of Changes'!A:A,"AAAAAH/rVB0=",0)</f>
        <v>0</v>
      </c>
      <c r="AE4" t="e">
        <f>IF('Author and Rec of Changes'!B:B,"AAAAAH/rVB4=",0)</f>
        <v>#VALUE!</v>
      </c>
      <c r="AF4" t="e">
        <f>IF('Author and Rec of Changes'!C:C,"AAAAAH/rVB8=",0)</f>
        <v>#VALUE!</v>
      </c>
      <c r="AG4" t="e">
        <f>IF('Author and Rec of Changes'!E:E,"AAAAAH/rVCA=",0)</f>
        <v>#VALUE!</v>
      </c>
      <c r="AH4">
        <f>IF('Author and Rec of Changes'!F:F,"AAAAAH/rVCE=",0)</f>
        <v>0</v>
      </c>
      <c r="AI4">
        <f>IF('Author and Rec of Changes'!G:G,"AAAAAH/rVCI=",0)</f>
        <v>0</v>
      </c>
      <c r="AJ4" t="s">
        <v>44</v>
      </c>
      <c r="AK4" s="1" t="s">
        <v>45</v>
      </c>
      <c r="AL4" s="2" t="s">
        <v>46</v>
      </c>
      <c r="AM4" t="e">
        <f>IF("N",[0]!_xlnm._FilterDatabase,"AAAAAH/rVCY=")</f>
        <v>#VALUE!</v>
      </c>
    </row>
    <row r="5" spans="1:256">
      <c r="A5" t="e">
        <f>AND(ORM_Syllabus!A1,"AAAAACvx+wA=")</f>
        <v>#VALUE!</v>
      </c>
      <c r="B5" t="e">
        <f>IF(ORM_Syllabus!#REF!,"AAAAACvx+wE=",0)</f>
        <v>#REF!</v>
      </c>
      <c r="C5" t="e">
        <f>AND(ORM_Syllabus!#REF!,"AAAAACvx+wI=")</f>
        <v>#REF!</v>
      </c>
      <c r="D5" t="e">
        <f>AND(ORM_Syllabus!#REF!,"AAAAACvx+wM=")</f>
        <v>#REF!</v>
      </c>
      <c r="E5" t="e">
        <f>AND(ORM_Syllabus!#REF!,"AAAAACvx+wQ=")</f>
        <v>#REF!</v>
      </c>
      <c r="F5" t="e">
        <f>AND(ORM_Syllabus!#REF!,"AAAAACvx+wU=")</f>
        <v>#REF!</v>
      </c>
      <c r="G5" t="e">
        <f>AND(ORM_Syllabus!#REF!,"AAAAACvx+wY=")</f>
        <v>#REF!</v>
      </c>
      <c r="H5" t="e">
        <f>AND(ORM_Syllabus!#REF!,"AAAAACvx+wc=")</f>
        <v>#REF!</v>
      </c>
      <c r="I5" t="e">
        <f>AND(ORM_Syllabus!#REF!,"AAAAACvx+wg=")</f>
        <v>#REF!</v>
      </c>
      <c r="J5" t="e">
        <f>IF(ORM_Syllabus!#REF!,"AAAAACvx+wk=",0)</f>
        <v>#REF!</v>
      </c>
      <c r="K5" t="e">
        <f>AND(ORM_Syllabus!#REF!,"AAAAACvx+wo=")</f>
        <v>#REF!</v>
      </c>
      <c r="L5" t="e">
        <f>AND(ORM_Syllabus!#REF!,"AAAAACvx+ws=")</f>
        <v>#REF!</v>
      </c>
      <c r="M5" t="e">
        <f>AND(ORM_Syllabus!#REF!,"AAAAACvx+ww=")</f>
        <v>#REF!</v>
      </c>
      <c r="N5" t="e">
        <f>AND(ORM_Syllabus!#REF!,"AAAAACvx+w0=")</f>
        <v>#REF!</v>
      </c>
      <c r="O5" t="e">
        <f>AND(ORM_Syllabus!#REF!,"AAAAACvx+w4=")</f>
        <v>#REF!</v>
      </c>
      <c r="P5" t="e">
        <f>AND(ORM_Syllabus!#REF!,"AAAAACvx+w8=")</f>
        <v>#REF!</v>
      </c>
      <c r="Q5" t="e">
        <f>AND(ORM_Syllabus!#REF!,"AAAAACvx+xA=")</f>
        <v>#REF!</v>
      </c>
    </row>
  </sheetData>
  <phoneticPr fontId="4" type="noConversion"/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ORM_Syllabus</vt:lpstr>
      <vt:lpstr>ORM_Schedule</vt:lpstr>
      <vt:lpstr>Author and Rec of Changes</vt:lpstr>
      <vt:lpstr>'Author and Rec of Changes'!Print_Area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Trung Kien</dc:creator>
  <cp:keywords>Syllabus</cp:keywords>
  <dc:description>- Sửa đổi toàn bộ cấu trúc &amp; nội dung tài liệu
Lý do:
Phục vụ nhu cầu thực tế</dc:description>
  <cp:lastModifiedBy>Nguyen Thi Minh Nguyet (FA.DN)</cp:lastModifiedBy>
  <cp:lastPrinted>2019-10-04T04:21:40Z</cp:lastPrinted>
  <dcterms:created xsi:type="dcterms:W3CDTF">2010-11-19T03:46:05Z</dcterms:created>
  <dcterms:modified xsi:type="dcterms:W3CDTF">2020-06-23T08:13:27Z</dcterms:modified>
  <cp:category>Template</cp:category>
  <cp:contentStatus>20/11/2012</cp:contentStatus>
</cp:coreProperties>
</file>